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rown\Box\2021 Kentucky Rate Case\PSC DR3 - AG DR2\PSC DR3\PSC DR3 Attachments\"/>
    </mc:Choice>
  </mc:AlternateContent>
  <xr:revisionPtr revIDLastSave="0" documentId="11_30955EDC26F66D43967DE67EA813B844FD62C929" xr6:coauthVersionLast="47" xr6:coauthVersionMax="47" xr10:uidLastSave="{00000000-0000-0000-0000-000000000000}"/>
  <bookViews>
    <workbookView xWindow="28680" yWindow="-120" windowWidth="29040" windowHeight="15840" tabRatio="948" xr2:uid="{00000000-000D-0000-FFFF-FFFF00000000}"/>
  </bookViews>
  <sheets>
    <sheet name="PSC 3-3(a)" sheetId="36" r:id="rId1"/>
    <sheet name="PSC 3-3(b)" sheetId="5" r:id="rId2"/>
    <sheet name="2010" sheetId="3" r:id="rId3"/>
    <sheet name="2011" sheetId="6" r:id="rId4"/>
    <sheet name="2012" sheetId="8" r:id="rId5"/>
    <sheet name="2013" sheetId="10" r:id="rId6"/>
    <sheet name="2014" sheetId="11" r:id="rId7"/>
    <sheet name="2015" sheetId="12" r:id="rId8"/>
    <sheet name="2016" sheetId="13" r:id="rId9"/>
    <sheet name="2017" sheetId="17" r:id="rId10"/>
    <sheet name="2018" sheetId="18" r:id="rId11"/>
    <sheet name="2019" sheetId="27" r:id="rId12"/>
    <sheet name="2020" sheetId="31" r:id="rId13"/>
    <sheet name="2021" sheetId="34" r:id="rId14"/>
    <sheet name="2022" sheetId="35" r:id="rId15"/>
    <sheet name="Schedule III" sheetId="26" r:id="rId16"/>
    <sheet name="Tax Rates" sheetId="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123Graph_A">[3]DSAR!$G$6:$G$32</definedName>
    <definedName name="__123Graph_ACCMS">[3]DSAR!$J$6:$J$32</definedName>
    <definedName name="__123Graph_ACCSP">[3]DSAR!$K$6:$K$32</definedName>
    <definedName name="__123Graph_ACG">[3]DSAR!$I$6:$I$32</definedName>
    <definedName name="__123Graph_ACM">[3]DSAR!$D$6:$D$32</definedName>
    <definedName name="__123Graph_ACMS">[3]DSAR!$H$6:$H$32</definedName>
    <definedName name="__123Graph_ACSP">[3]DSAR!$G$6:$G$32</definedName>
    <definedName name="__123Graph_AHG">[3]DSAR!$B$6:$B$32</definedName>
    <definedName name="__123Graph_AHMS">[3]DSAR!$C$6:$C$32</definedName>
    <definedName name="__123Graph_AILL">[3]DSAR!$AL$6:$AL$23</definedName>
    <definedName name="__123Graph_AIOWA">[3]DSAR!$W$6:$W$31</definedName>
    <definedName name="__123Graph_AKEOTA">[3]DSAR!$F$6:$F$32</definedName>
    <definedName name="__123Graph_ALOUD">[3]DSAR!$E$6:$E$32</definedName>
    <definedName name="__123Graph_ANL">[3]DSAR!$M$6:$M$32</definedName>
    <definedName name="__123Graph_ASAY">[3]DSAR!$L$6:$L$32</definedName>
    <definedName name="__123Graph_ATOTSYS">[3]DSAR!$T$6:$T$23</definedName>
    <definedName name="__123Graph_B">[3]DSAR!$BK$6:$BK$32</definedName>
    <definedName name="__123Graph_BCCMS">[3]DSAR!$BM$6:$BM$32</definedName>
    <definedName name="__123Graph_BCCSP">[3]DSAR!$BN$6:$BN$32</definedName>
    <definedName name="__123Graph_BCG">[3]DSAR!$BO$6:$BO$32</definedName>
    <definedName name="__123Graph_BCM">[3]DSAR!$BQ$6:$BQ$32</definedName>
    <definedName name="__123Graph_BCMS">[3]DSAR!$BL$6:$BL$32</definedName>
    <definedName name="__123Graph_BCSP">[3]DSAR!$BK$6:$BK$32</definedName>
    <definedName name="__123Graph_BHG">[3]DSAR!$BS$6:$BS$32</definedName>
    <definedName name="__123Graph_BHMS">[3]DSAR!$BR$6:$BR$32</definedName>
    <definedName name="__123Graph_BILL">[3]DSAR!$AM$6:$AM$32</definedName>
    <definedName name="__123Graph_BIOWA">[3]DSAR!$X$6:$X$32</definedName>
    <definedName name="__123Graph_BKEOTA">[3]DSAR!$BJ$6:$BJ$32</definedName>
    <definedName name="__123Graph_BLOUD">[3]DSAR!$BP$6:$BP$32</definedName>
    <definedName name="__123Graph_BNL">[3]DSAR!$AA$6:$AA$32</definedName>
    <definedName name="__123Graph_BSAY">[3]DSAR!$AF$6:$AF$32</definedName>
    <definedName name="__123Graph_BTOTSYS">[3]DSAR!$U$6:$U$32</definedName>
    <definedName name="__123Graph_C">[3]DSAR!$AW$6:$AW$23</definedName>
    <definedName name="__123Graph_CCCMS">[3]DSAR!$AY$6:$AY$29</definedName>
    <definedName name="__123Graph_CCCSP">[3]DSAR!$AZ$6:$AZ$29</definedName>
    <definedName name="__123Graph_CCG">[3]DSAR!$BA$6:$BA$29</definedName>
    <definedName name="__123Graph_CCM">[3]DSAR!$BC$6:$BC$31</definedName>
    <definedName name="__123Graph_CCMS">[3]DSAR!$AX$6:$AX$31</definedName>
    <definedName name="__123Graph_CCSP">[3]DSAR!$AW$6:$AW$31</definedName>
    <definedName name="__123Graph_CHG">[3]DSAR!$BE$6:$BE$29</definedName>
    <definedName name="__123Graph_CHMS">[3]DSAR!$BD$6:$BD$29</definedName>
    <definedName name="__123Graph_CILL">[3]DSAR!$AN$6:$AN$23</definedName>
    <definedName name="__123Graph_CIOWA">[3]DSAR!$Y$6:$Y$31</definedName>
    <definedName name="__123Graph_CKEOTA">[3]DSAR!$AV$6:$AV$31</definedName>
    <definedName name="__123Graph_CLOUD">[3]DSAR!$BB$6:$BB$29</definedName>
    <definedName name="__123Graph_CNL">[3]DSAR!$AB$6:$AB$30</definedName>
    <definedName name="__123Graph_CSAY">[3]DSAR!$AG$6:$AG$30</definedName>
    <definedName name="__123Graph_CTOTSYS">[3]DSAR!$V$6:$V$23</definedName>
    <definedName name="__123Graph_X">[3]DSAR!$A$6:$A$32</definedName>
    <definedName name="__123Graph_XCCMS">[3]DSAR!$A$6:$A$32</definedName>
    <definedName name="__123Graph_XCCSP">[3]DSAR!$A$6:$A$32</definedName>
    <definedName name="__123Graph_XCG">[3]DSAR!$A$6:$A$32</definedName>
    <definedName name="__123Graph_XCM">[3]DSAR!$A$6:$A$32</definedName>
    <definedName name="__123Graph_XCMS">[3]DSAR!$A$6:$A$32</definedName>
    <definedName name="__123Graph_XCSP">[3]DSAR!$A$6:$A$32</definedName>
    <definedName name="__123Graph_XHG">[3]DSAR!$A$6:$A$32</definedName>
    <definedName name="__123Graph_XHMS">[3]DSAR!$A$6:$A$32</definedName>
    <definedName name="__123Graph_XILL">[3]DSAR!$A$6:$A$32</definedName>
    <definedName name="__123Graph_XIOWA">[3]DSAR!$A$6:$A$32</definedName>
    <definedName name="__123Graph_XKEOTA">[3]DSAR!$A$6:$A$32</definedName>
    <definedName name="__123Graph_XLOUD">[3]DSAR!$A$6:$A$32</definedName>
    <definedName name="__123Graph_XNL">[3]DSAR!$A$6:$A$32</definedName>
    <definedName name="__123Graph_XSAY">[3]DSAR!$A$6:$A$32</definedName>
    <definedName name="__123Graph_XTOTSYS">[3]DSAR!$A$6:$A$32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'[4]Rev Def Sum'!#REF!</definedName>
    <definedName name="__sch17">#REF!</definedName>
    <definedName name="__SCH33">'[5]SCHEDULE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__123Graph_ACHART_1">[3]DSAR!$BY$6:$BY$32</definedName>
    <definedName name="_10__123Graph_XMKT_STOR">[3]DSAR!$A$6:$A$32</definedName>
    <definedName name="_10TAXPROP">#REF!</definedName>
    <definedName name="_11__123Graph_XX_ACTUAL">[3]DSAR!$A$6:$A$32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_123Graph_AMKT_STOR">[3]DSAR!$AR$6:$AR$23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_123Graph_AX_ACTUAL">[3]DSAR!$P$6:$P$32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__123Graph_BCHART_1">[3]DSAR!$CB$6:$CB$9</definedName>
    <definedName name="_4GASPURCHASES">#REF!</definedName>
    <definedName name="_4QTR">#REF!</definedName>
    <definedName name="_4QTR_PROPANE">#REF!</definedName>
    <definedName name="_5__123Graph_BMKT_STOR">[3]DSAR!$AS$6:$AS$32</definedName>
    <definedName name="_5A_NON_APP_GAS">#REF!</definedName>
    <definedName name="_5GP_TCO">#REF!</definedName>
    <definedName name="_5GP_TCOINPUT">#REF!</definedName>
    <definedName name="_6__123Graph_CCHART_1">[3]DSAR!$CD$6:$CD$32</definedName>
    <definedName name="_6_PAYROLL_COST">#REF!</definedName>
    <definedName name="_7__123Graph_CMKT_STOR">[3]DSAR!$AT$6:$AT$23</definedName>
    <definedName name="_7BENEFITS">#REF!</definedName>
    <definedName name="_8__123Graph_CX_ACTUAL">[3]DSAR!$S$6:$S$23</definedName>
    <definedName name="_8TAXPSC">#REF!</definedName>
    <definedName name="_9__123Graph_XCHART_1">[3]DSAR!$A$6:$A$32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hidden="1">1</definedName>
    <definedName name="_SCH10">'[6]Rev Def Sum'!#REF!</definedName>
    <definedName name="_sch17">#REF!</definedName>
    <definedName name="_SCH33">'[7]SCHEDULE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[8]Inputs!$B$4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[9]Sch1!$G$1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'[10]L Graph (Data)'!$A$6:$DS$21</definedName>
    <definedName name="Ainputvol">'[11]L Graph (Data)'!$A$6:$DS$17</definedName>
    <definedName name="ali" hidden="1">{"'Server Configuration'!$A$1:$DB$281"}</definedName>
    <definedName name="AllData">OFFSET('[12]SLCs Due &amp; Recd'!$A$11,0,0,COUNTA('[12]SLCs Due &amp; Recd'!$B$1:$B$65536),COUNTA('[12]SLCs Due &amp; Recd'!$A$11:$IV$11))</definedName>
    <definedName name="ALLOC">[13]VLOOKUP!$A$2:$S$26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[8]Inputs!$B$50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[14]EXH10!$A$1:$J$47</definedName>
    <definedName name="Avg_Mo_pmt">[8]Inputs!$B$7</definedName>
    <definedName name="AVGrate">'[15]AVG FXrates'!$B$4:$F$47</definedName>
    <definedName name="b" hidden="1">{"'Server Configuration'!$A$1:$DB$281"}</definedName>
    <definedName name="b_1" hidden="1">{"'Server Configuration'!$A$1:$DB$281"}</definedName>
    <definedName name="Bank">[16]Input!#REF!</definedName>
    <definedName name="base">'[17]Index A'!$C$16</definedName>
    <definedName name="Baseline">#REF!</definedName>
    <definedName name="bdate">'[18]Oper Rev&amp;Exp by Accts C2.1A'!$A$4</definedName>
    <definedName name="BENEFITS">#REF!</definedName>
    <definedName name="Binputrusum">'[10]L Graph (Data)'!$A$97:$DS$109</definedName>
    <definedName name="binputsum">'[11]L Graph (Data)'!$A$19:$DS$29</definedName>
    <definedName name="binputsumru">'[19]L Graph (Data)'!$A$91:$DS$105</definedName>
    <definedName name="binputvol">'[19]L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[20]Assumptions!$J$8:$J$21</definedName>
    <definedName name="BOB">#REF!</definedName>
    <definedName name="BTU">[21]Input!$B$11</definedName>
    <definedName name="ByTower">#REF!</definedName>
    <definedName name="CALDEN">#REF!</definedName>
    <definedName name="Cap_Structure">#REF!</definedName>
    <definedName name="case">'[17]B-1 p.1 Summary (Base)'!$A$2</definedName>
    <definedName name="CCCfeeadj">'[11]L Graph (Data)'!$A$410:$DS$457</definedName>
    <definedName name="CCCvoladj">'[11]L Graph (Data)'!$A$359:$DS$406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'[10]L Graph (Data)'!$A$41:$IV$56</definedName>
    <definedName name="Cinputvol">'[19]L Graph (Data)'!$A$38:$DS$51</definedName>
    <definedName name="Clarification">#REF!</definedName>
    <definedName name="co">'[17]Index A'!$A$10</definedName>
    <definedName name="COLUMN1">#REF!</definedName>
    <definedName name="COLUMN2">#REF!</definedName>
    <definedName name="Commodity">[16]Input!$C$10</definedName>
    <definedName name="Companies">#REF!</definedName>
    <definedName name="company">'[18]Operating Income Summary C-1'!$A$1</definedName>
    <definedName name="CONAME">[16]B!$A$1</definedName>
    <definedName name="CONTENTS">#REF!</definedName>
    <definedName name="Criticality">#REF!</definedName>
    <definedName name="curr_cust_pmts">'[8]Payment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'[6]Rev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'[17]B-1 p.1 Summary (Base)'!$A$4</definedName>
    <definedName name="datef">'[17]B-1 p.2 Summary (Forecast)'!$A$4</definedName>
    <definedName name="DAVE">'[2]E-2'!#REF!</definedName>
    <definedName name="DC">[9]Sch2!#REF!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[8]Inputs!$B$32</definedName>
    <definedName name="EA">[8]Inputs!$B$8</definedName>
    <definedName name="EGC">[16]Input!$C$11</definedName>
    <definedName name="EGCDATE">[16]Input!$C$14</definedName>
    <definedName name="ENDrate">'[15]END FXrates'!$B$4:$F$46</definedName>
    <definedName name="Enrolled">[8]Inputs!$B$5</definedName>
    <definedName name="EQUITY">[24]RORB!$A$25:$G$49</definedName>
    <definedName name="Est_Enrollment">[8]Inputs!$B$17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'[18]Operating Income Summary C-1'!$A$4</definedName>
    <definedName name="FDATE">'[18]Oper Rev&amp;Exp by Accts C2.1B'!$A$4</definedName>
    <definedName name="FEDTAX">'[6]Rev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OFFSET('[12]% Invoice'!$A$1,0,0,COUNTA('[12]% Invoice'!$A$1:$A$65536),1)</definedName>
    <definedName name="forecast">'[17]Index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[9]Sch2!#REF!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[20]Assumptions!$J$8:$J$21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'[19]L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'[6]Rev Def Sum'!#REF!</definedName>
    <definedName name="INCTAX2">'[6]Rev Def Sum'!#REF!</definedName>
    <definedName name="INDADD">#REF!</definedName>
    <definedName name="INPUT">#REF!</definedName>
    <definedName name="Inputbase">'[10]A (Input) Inv MO Service Charge'!#REF!</definedName>
    <definedName name="INTCO">#REF!</definedName>
    <definedName name="INTEREST_WKST">#REF!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DIN">"AUTO"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MT_OUT">"c2145"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INDUSTRY_REC">"c4455"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NCHMARK_SECURITY">"c2154"</definedName>
    <definedName name="IQ_BENCHMARK_SPRD">"c2153"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OND_COUPON">"c2183"</definedName>
    <definedName name="IQ_BOND_COUPON_TYPE">"c2184"</definedName>
    <definedName name="IQ_BOND_PRICE">"c2162"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LL_DATE_SCHEDULE">"c2481"</definedName>
    <definedName name="IQ_CALL_FEATURE">"c2197"</definedName>
    <definedName name="IQ_CALL_PRICE_SCHEDULE">"c2482"</definedName>
    <definedName name="IQ_CALLABLE">"c2196"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"c3460"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FLOW_ACT_OR_EST">"c4154"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_DATE">"c2191"</definedName>
    <definedName name="IQ_CONV_EXP_DATE">"c3043"</definedName>
    <definedName name="IQ_CONV_PREMIUM">"c2195"</definedName>
    <definedName name="IQ_CONV_PRICE">"c2193"</definedName>
    <definedName name="IQ_CONV_RATIO">"c2192"</definedName>
    <definedName name="IQ_CONV_SECURITY">"c2189"</definedName>
    <definedName name="IQ_CONV_SECURITY_ISSUER">"c2190"</definedName>
    <definedName name="IQ_CONV_SECURITY_PRICE">"c2194"</definedName>
    <definedName name="IQ_CONVERT">"c2536"</definedName>
    <definedName name="IQ_CONVERT_PCT">"c2537"</definedName>
    <definedName name="IQ_CONVEXITY">"c2182"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TED_DATE">"c2185"</definedName>
    <definedName name="IQ_DAY_COUNT">"c2161"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PAYOUT">"c3005"</definedName>
    <definedName name="IQ_DISTRIBUTABLE_CASH_SHARE">"c3003"</definedName>
    <definedName name="IQ_DISTRIBUTABLE_CASH_SHARE_ACT_OR_EST">"c4286"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URATION">"c2181"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EQ_INC">"c3498"</definedName>
    <definedName name="IQ_EBIT_EQ_INC_EXCL_SBC">"c3502"</definedName>
    <definedName name="IQ_EBIT_EXCL_SBC">"c3082"</definedName>
    <definedName name="IQ_EBIT_GW_ACT_OR_EST">"c4306"</definedName>
    <definedName name="IQ_EBIT_INT">"c360"</definedName>
    <definedName name="IQ_EBIT_MARGIN">"c359"</definedName>
    <definedName name="IQ_EBIT_OVER_IE">"c1369"</definedName>
    <definedName name="IQ_EBIT_SBC_ACT_OR_EST">"c4316"</definedName>
    <definedName name="IQ_EBIT_SBC_GW_ACT_OR_EST">"c4320"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HIGH_EST">"c370"</definedName>
    <definedName name="IQ_EBITDA_HIGH_EST_REUT">"c3642"</definedName>
    <definedName name="IQ_EBITDA_INT">"c373"</definedName>
    <definedName name="IQ_EBITDA_LOW_EST">"c371"</definedName>
    <definedName name="IQ_EBITDA_LOW_EST_REUT">"c3643"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SBC_ACT_OR_EST">"c4350"</definedName>
    <definedName name="IQ_EBT_SBC_GW_ACT_OR_EST">"c4354"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EST">"c399"</definedName>
    <definedName name="IQ_EPS_EST_REUT">"c5453"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UM_EST">"c402"</definedName>
    <definedName name="IQ_EPS_NUM_EST_REUT">"c5451"</definedName>
    <definedName name="IQ_EPS_SBC_ACT_OR_EST">"c4376"</definedName>
    <definedName name="IQ_EPS_SBC_GW_ACT_OR_EST">"c4380"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EPS_GROWTH_1YR">"c1636"</definedName>
    <definedName name="IQ_EST_EPS_GROWTH_1YR_REUT">"c3646"</definedName>
    <definedName name="IQ_EST_EPS_GROWTH_5YR">"c1655"</definedName>
    <definedName name="IQ_EST_EPS_GROWTH_5YR_REUT">"c3633"</definedName>
    <definedName name="IQ_EST_EPS_GROWTH_Q_1YR">"c1641"</definedName>
    <definedName name="IQ_EST_EPS_GROWTH_Q_1YR_REUT">"c5410"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VAL_DATE">"c2180"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DJ_ACT_OR_EST">"c4435"</definedName>
    <definedName name="IQ_FFO_PAYOUT_RATIO">"c3492"</definedName>
    <definedName name="IQ_FFO_SHARE_ACT_OR_EST">"c4446"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ISHED_INV">"c438"</definedName>
    <definedName name="IQ_FIRST_INT_DATE">"c2186"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SPRD">"c2155"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_TARGET_PRICE_REUT">"c5317"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ISSUE_CURRENCY">"c2156"</definedName>
    <definedName name="IQ_ISSUE_NAME">"c2142"</definedName>
    <definedName name="IQ_ISSUER">"c2143"</definedName>
    <definedName name="IQ_ISSUER_CIQID">"c2258"</definedName>
    <definedName name="IQ_ISSUER_PARENT">"c2144"</definedName>
    <definedName name="IQ_ISSUER_PARENT_CIQID">"c2260"</definedName>
    <definedName name="IQ_ISSUER_PARENT_TICKER">"c2259"</definedName>
    <definedName name="IQ_ISSUER_TICKER">"c2252"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PMT_DATE">"c2188"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REPAIR">"c2087"</definedName>
    <definedName name="IQ_MAKE_WHOLE_END_DATE">"c2493"</definedName>
    <definedName name="IQ_MAKE_WHOLE_SPREAD">"c2494"</definedName>
    <definedName name="IQ_MAKE_WHOLE_START_DATE">"c2492"</definedName>
    <definedName name="IQ_MARKET_CAP_LFCF">"c2209"</definedName>
    <definedName name="IQ_MARKETCAP">"c712"</definedName>
    <definedName name="IQ_MARKETING">"c2239"</definedName>
    <definedName name="IQ_MATURITY_DATE">"c2146"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EXT_CALL_DATE">"c2198"</definedName>
    <definedName name="IQ_NEXT_CALL_PRICE">"c2199"</definedName>
    <definedName name="IQ_NEXT_INT_DATE">"c2187"</definedName>
    <definedName name="IQ_NEXT_PUT_DATE">"c2200"</definedName>
    <definedName name="IQ_NEXT_PUT_PRICE">"c2201"</definedName>
    <definedName name="IQ_NEXT_SINK_FUND_AMOUNT">"c2490"</definedName>
    <definedName name="IQ_NEXT_SINK_FUND_DATE">"c2489"</definedName>
    <definedName name="IQ_NEXT_SINK_FUND_PRICE">"c2491"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MARGIN">"c794"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SBC_ACT_OR_EST">"c4474"</definedName>
    <definedName name="IQ_NI_SBC_GW_ACT_OR_EST">"c4478"</definedName>
    <definedName name="IQ_NI_SFAS">"c795"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FFER_AMOUNT">"c2152"</definedName>
    <definedName name="IQ_OFFER_COUPON">"c2147"</definedName>
    <definedName name="IQ_OFFER_COUPON_TYPE">"c2148"</definedName>
    <definedName name="IQ_OFFER_DATE">"c2149"</definedName>
    <definedName name="IQ_OFFER_PRICE">"c2150"</definedName>
    <definedName name="IQ_OFFER_YIELD">"c2151"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BR">"c850"</definedName>
    <definedName name="IQ_OPER_INC_FIN">"c851"</definedName>
    <definedName name="IQ_OPER_INC_INS">"c852"</definedName>
    <definedName name="IQ_OPER_INC_MARGIN">"c1448"</definedName>
    <definedName name="IQ_OPER_INC_REIT">"c853"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OWNERSHIP">"c2160"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MT_FREQ">"c2236"</definedName>
    <definedName name="IQ_POISON_PUT_EFFECT_DATE">"c2486"</definedName>
    <definedName name="IQ_POISON_PUT_EXPIRATION_DATE">"c2487"</definedName>
    <definedName name="IQ_POISON_PUT_PRICE">"c2488"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RE_OPEN_COST">"c1040"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ICE_OVER_BVPS">"c1412"</definedName>
    <definedName name="IQ_PRICE_OVER_LTM_EPS">"c1413"</definedName>
    <definedName name="IQ_PRICE_TARGET">"c82"</definedName>
    <definedName name="IQ_PRICE_TARGET_REUT">"c3631"</definedName>
    <definedName name="IQ_PRICEDATE">"c1069"</definedName>
    <definedName name="IQ_PRICING_DATE">"c1613"</definedName>
    <definedName name="IQ_PRIMARY_INDUSTRY">"c1070"</definedName>
    <definedName name="IQ_PRINCIPAL_AMT">"c2157"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PUT_DATE_SCHEDULE">"c2483"</definedName>
    <definedName name="IQ_PUT_NOTIFICATION">"c2485"</definedName>
    <definedName name="IQ_PUT_PRICE_SCHEDULE">"c2484"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SHARE_ACT_OR_EST">"c4508"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EST">"c1126"</definedName>
    <definedName name="IQ_REVENUE_EST_REUT">"c3634"</definedName>
    <definedName name="IQ_REVENUE_HIGH_EST">"c1127"</definedName>
    <definedName name="IQ_REVENUE_HIGH_EST_REUT">"c3636"</definedName>
    <definedName name="IQ_REVENUE_LOW_EST">"c1128"</definedName>
    <definedName name="IQ_REVENUE_LOW_EST_REUT">"c3637"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39483.7502777778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LEVEL">"c2159"</definedName>
    <definedName name="IQ_SECURITY_NOTES">"c2202"</definedName>
    <definedName name="IQ_SECURITY_OWN">"c1153"</definedName>
    <definedName name="IQ_SECURITY_RESELL">"c1154"</definedName>
    <definedName name="IQ_SECURITY_TYPE">"c2158"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_BANK">"c2637"</definedName>
    <definedName name="IQ_SP_BANK_ACTION">"c2636"</definedName>
    <definedName name="IQ_SP_BANK_DATE">"c2635"</definedName>
    <definedName name="IQ_SP_FIN_ENHANCE_FX">"c2631"</definedName>
    <definedName name="IQ_SP_FIN_ENHANCE_FX_ACTION">"c2630"</definedName>
    <definedName name="IQ_SP_FIN_ENHANCE_FX_DATE">"c2629"</definedName>
    <definedName name="IQ_SP_FIN_ENHANCE_LC">"c2634"</definedName>
    <definedName name="IQ_SP_FIN_ENHANCE_LC_ACTION">"c2633"</definedName>
    <definedName name="IQ_SP_FIN_ENHANCE_LC_DATE">"c2632"</definedName>
    <definedName name="IQ_SP_FIN_STRENGTH_LC_ACTION_LT">"c2625"</definedName>
    <definedName name="IQ_SP_FIN_STRENGTH_LC_ACTION_ST">"c2626"</definedName>
    <definedName name="IQ_SP_FIN_STRENGTH_LC_DATE_LT">"c2623"</definedName>
    <definedName name="IQ_SP_FIN_STRENGTH_LC_DATE_ST">"c2624"</definedName>
    <definedName name="IQ_SP_FIN_STRENGTH_LC_LT">"c2627"</definedName>
    <definedName name="IQ_SP_FIN_STRENGTH_LC_ST">"c2628"</definedName>
    <definedName name="IQ_SP_FX_ACTION_LT">"c2613"</definedName>
    <definedName name="IQ_SP_FX_ACTION_ST">"c2614"</definedName>
    <definedName name="IQ_SP_FX_DATE_LT">"c2611"</definedName>
    <definedName name="IQ_SP_FX_DATE_ST">"c2612"</definedName>
    <definedName name="IQ_SP_FX_LT">"c2615"</definedName>
    <definedName name="IQ_SP_FX_ST">"c2616"</definedName>
    <definedName name="IQ_SP_ISSUE_ACTION">"c2644"</definedName>
    <definedName name="IQ_SP_ISSUE_DATE">"c2643"</definedName>
    <definedName name="IQ_SP_ISSUE_LT">"c2645"</definedName>
    <definedName name="IQ_SP_ISSUE_OUTLOOK_WATCH">"c2650"</definedName>
    <definedName name="IQ_SP_ISSUE_OUTLOOK_WATCH_DATE">"c2649"</definedName>
    <definedName name="IQ_SP_ISSUE_RECOVER">"c2648"</definedName>
    <definedName name="IQ_SP_ISSUE_RECOVER_ACTION">"c2647"</definedName>
    <definedName name="IQ_SP_ISSUE_RECOVER_DATE">"c2646"</definedName>
    <definedName name="IQ_SP_LC_ACTION_LT">"c2619"</definedName>
    <definedName name="IQ_SP_LC_ACTION_ST">"c2620"</definedName>
    <definedName name="IQ_SP_LC_DATE_LT">"c2617"</definedName>
    <definedName name="IQ_SP_LC_DATE_ST">"c2618"</definedName>
    <definedName name="IQ_SP_LC_LT">"c2621"</definedName>
    <definedName name="IQ_SP_LC_ST">"c2622"</definedName>
    <definedName name="IQ_SP_OUTLOOK_WATCH">"c2639"</definedName>
    <definedName name="IQ_SP_OUTLOOK_WATCH_DATE">"c2638"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TW">"c2166"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LT_PARENT">"c3037"</definedName>
    <definedName name="IQ_ULT_PARENT_CIQID">"c3039"</definedName>
    <definedName name="IQ_ULT_PARENT_TICKER">"c3038"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YTW">"c2163"</definedName>
    <definedName name="IQ_YTW_DATE">"c2164"</definedName>
    <definedName name="IQ_YTW_DATE_TYPE">"c2165"</definedName>
    <definedName name="IQ_Z_SCORE">"c1339"</definedName>
    <definedName name="IRefbase">'[10]L Graph (Data)'!$A$113:$DS$126</definedName>
    <definedName name="Irefbaseunits">'[19]L Graph (Data)'!$A$109:$DS$125</definedName>
    <definedName name="ITARCRRCCHARGE">'[11]L Graph (Data)'!$A$187:$DS$233</definedName>
    <definedName name="ITbasefee">'[11]L Graph (Data)'!$A$49:$DS$60</definedName>
    <definedName name="ITbaseRUFee">'[11]L Graph (Data)'!$A$239:$DS$286</definedName>
    <definedName name="ITbinputsumru">'[11]L Graph (Data)'!$A$81:$DS$128</definedName>
    <definedName name="ITbinputvol">'[11]L Graph (Data)'!$A$19:$DS$30</definedName>
    <definedName name="ITCinputvol">'[11]L Graph (Data)'!$A$34:$DS$45</definedName>
    <definedName name="ITIbaselineunits">'[11]L Graph (Data)'!$A$63:$DS$74</definedName>
    <definedName name="ITNetArcCharge">'[11]L Graph (Data)'!$A$293:$DS$339</definedName>
    <definedName name="ITnetservfee">'[11]L Graph (Data)'!$A$344:$DS$355</definedName>
    <definedName name="ITrefbaselineunits">'[11]L Graph (Data)'!$A$132:$DS$181</definedName>
    <definedName name="JTC">'[17]Operating Income Summary C-1'!$M$9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[8]Inputs!$B$34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OFFSET('[12]% Invoice'!$A$1,0,0,COUNTA('[12]% Invoice'!$A$1:$A$65536),COUNTA('[12]%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10">'2018'!$A$1:$R$48</definedName>
    <definedName name="_xlnm.Print_Area" localSheetId="11">'2019'!$A$1:$R$44</definedName>
    <definedName name="_xlnm.Print_Area" localSheetId="12">'2020'!$A$1:$R$45</definedName>
    <definedName name="_xlnm.Print_Area" localSheetId="13">'2021'!$A$1:$R$45</definedName>
    <definedName name="_xlnm.Print_Area" localSheetId="15">'Schedule III'!$A$1:$G$49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'[8]Payment Calculation'!$C$25</definedName>
    <definedName name="PROPTAX">#REF!</definedName>
    <definedName name="qryFTECategbyCountry">#REF!</definedName>
    <definedName name="Quest">#REF!</definedName>
    <definedName name="RATEBASE">'[6]Rev Def Sum'!#REF!</definedName>
    <definedName name="rates">#REF!</definedName>
    <definedName name="RECLASS">#REF!</definedName>
    <definedName name="RECON2">#REF!</definedName>
    <definedName name="RECONCILATION">#REF!</definedName>
    <definedName name="_xlnm.Recorder">#REF!</definedName>
    <definedName name="RefFunction">[20]Assumptions!$F$34:$F$39</definedName>
    <definedName name="RefGrade">[20]Assumptions!$F$7:$F$16</definedName>
    <definedName name="RefJobTitle">[20]Assumptions!$F$18:$F$31</definedName>
    <definedName name="REVALLOC">'[7]ATTACH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[16]Input!#REF!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'[17]B-1 p.1 Summary (Base)'!$J$8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axRate">'[32]Tax Rates'!$A$1:$F$24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'[33]Complete Listing incl LCN'!#REF!</definedName>
    <definedName name="TY">[16]B!#REF!</definedName>
    <definedName name="TYDESC">[16]B!$A$3</definedName>
    <definedName name="UNEMPLOY_TAX">#REF!</definedName>
    <definedName name="Usage_per_Cust">[8]Inputs!$B$12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'[18]Operating Income Summary C-1'!$M$9</definedName>
    <definedName name="Witness">[16]Input!$B$8</definedName>
    <definedName name="WORKAREA">'[7]ATTACH REH-5A REV'!$B$52:$K$169</definedName>
    <definedName name="WorkingDaysPerYear">210</definedName>
    <definedName name="Xref">'[35]xref acct'!$A$3:$C$167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36" l="1"/>
  <c r="J10" i="36" l="1"/>
  <c r="F9" i="36"/>
  <c r="F11" i="36" s="1"/>
  <c r="I4" i="36"/>
  <c r="A4" i="36"/>
  <c r="A5" i="36" s="1"/>
  <c r="A6" i="36" s="1"/>
  <c r="A7" i="36" s="1"/>
  <c r="A8" i="36" s="1"/>
  <c r="A9" i="36" s="1"/>
  <c r="A10" i="36" s="1"/>
  <c r="A11" i="36" s="1"/>
  <c r="I3" i="36"/>
  <c r="C20" i="34" l="1"/>
  <c r="C21" i="34"/>
  <c r="C22" i="34"/>
  <c r="C23" i="34"/>
  <c r="C24" i="34"/>
  <c r="C20" i="35" l="1"/>
  <c r="C21" i="35"/>
  <c r="C22" i="35"/>
  <c r="C23" i="35"/>
  <c r="C24" i="35"/>
  <c r="G36" i="35" l="1"/>
  <c r="E36" i="35"/>
  <c r="G35" i="35"/>
  <c r="G34" i="35"/>
  <c r="G33" i="35"/>
  <c r="G32" i="35"/>
  <c r="L25" i="35"/>
  <c r="M24" i="35"/>
  <c r="G24" i="35"/>
  <c r="H24" i="35" s="1"/>
  <c r="E22" i="35"/>
  <c r="E21" i="35"/>
  <c r="M21" i="35" s="1"/>
  <c r="M20" i="35"/>
  <c r="F20" i="35"/>
  <c r="G20" i="35" s="1"/>
  <c r="D20" i="35"/>
  <c r="C19" i="35"/>
  <c r="E19" i="35" s="1"/>
  <c r="K18" i="35"/>
  <c r="K22" i="35" s="1"/>
  <c r="F12" i="35"/>
  <c r="C12" i="35"/>
  <c r="P8" i="5" s="1"/>
  <c r="P11" i="35"/>
  <c r="P10" i="35"/>
  <c r="G10" i="35"/>
  <c r="H10" i="35" s="1"/>
  <c r="J10" i="35" s="1"/>
  <c r="D35" i="35" s="1"/>
  <c r="P9" i="35"/>
  <c r="G9" i="35"/>
  <c r="H9" i="35" s="1"/>
  <c r="J9" i="35" s="1"/>
  <c r="D34" i="35" s="1"/>
  <c r="P8" i="35"/>
  <c r="G8" i="35"/>
  <c r="H8" i="35" s="1"/>
  <c r="J8" i="35" s="1"/>
  <c r="D33" i="35" s="1"/>
  <c r="P7" i="35"/>
  <c r="G7" i="35"/>
  <c r="H7" i="35" s="1"/>
  <c r="J7" i="35" s="1"/>
  <c r="D32" i="35" s="1"/>
  <c r="P6" i="35"/>
  <c r="G6" i="35"/>
  <c r="H6" i="35" s="1"/>
  <c r="J6" i="35" s="1"/>
  <c r="K21" i="35" l="1"/>
  <c r="N24" i="35"/>
  <c r="P24" i="35" s="1"/>
  <c r="P12" i="35"/>
  <c r="G11" i="35" s="1"/>
  <c r="H11" i="35" s="1"/>
  <c r="J11" i="35" s="1"/>
  <c r="D36" i="35" s="1"/>
  <c r="F36" i="35" s="1"/>
  <c r="H36" i="35" s="1"/>
  <c r="M22" i="35"/>
  <c r="F22" i="35"/>
  <c r="F19" i="35"/>
  <c r="M19" i="35"/>
  <c r="D31" i="35"/>
  <c r="N20" i="35"/>
  <c r="H20" i="35"/>
  <c r="K20" i="35"/>
  <c r="O20" i="35" s="1"/>
  <c r="F21" i="35"/>
  <c r="E23" i="35"/>
  <c r="M23" i="35" s="1"/>
  <c r="K23" i="35"/>
  <c r="C25" i="35"/>
  <c r="K19" i="35"/>
  <c r="G6" i="27"/>
  <c r="G6" i="34"/>
  <c r="G6" i="18"/>
  <c r="G12" i="35" l="1"/>
  <c r="C20" i="26" s="1"/>
  <c r="F23" i="35"/>
  <c r="D37" i="35"/>
  <c r="P20" i="35"/>
  <c r="R20" i="35" s="1"/>
  <c r="E32" i="35" s="1"/>
  <c r="F32" i="35" s="1"/>
  <c r="H32" i="35" s="1"/>
  <c r="J12" i="35"/>
  <c r="E25" i="35"/>
  <c r="G21" i="35"/>
  <c r="N21" i="35" s="1"/>
  <c r="M25" i="35"/>
  <c r="G23" i="35"/>
  <c r="N23" i="35" s="1"/>
  <c r="F25" i="35"/>
  <c r="G19" i="35"/>
  <c r="H19" i="35" s="1"/>
  <c r="H12" i="35"/>
  <c r="P10" i="5" s="1"/>
  <c r="G22" i="35"/>
  <c r="N22" i="35" s="1"/>
  <c r="D20" i="34"/>
  <c r="G36" i="34"/>
  <c r="E36" i="34"/>
  <c r="G35" i="34"/>
  <c r="G34" i="34"/>
  <c r="G33" i="34"/>
  <c r="G32" i="34"/>
  <c r="L25" i="34"/>
  <c r="M24" i="34"/>
  <c r="G24" i="34"/>
  <c r="N24" i="34" s="1"/>
  <c r="P24" i="34" s="1"/>
  <c r="E22" i="34"/>
  <c r="E21" i="34"/>
  <c r="M20" i="34"/>
  <c r="F20" i="34"/>
  <c r="G20" i="34" s="1"/>
  <c r="C19" i="34"/>
  <c r="E19" i="34" s="1"/>
  <c r="K18" i="34"/>
  <c r="K22" i="34" s="1"/>
  <c r="F12" i="34"/>
  <c r="C12" i="34"/>
  <c r="O8" i="5" s="1"/>
  <c r="P11" i="34"/>
  <c r="P10" i="34"/>
  <c r="G10" i="34"/>
  <c r="H10" i="34" s="1"/>
  <c r="J10" i="34" s="1"/>
  <c r="D35" i="34" s="1"/>
  <c r="P9" i="34"/>
  <c r="G9" i="34"/>
  <c r="H9" i="34" s="1"/>
  <c r="J9" i="34" s="1"/>
  <c r="D34" i="34" s="1"/>
  <c r="P8" i="34"/>
  <c r="G8" i="34"/>
  <c r="H8" i="34" s="1"/>
  <c r="J8" i="34" s="1"/>
  <c r="D33" i="34" s="1"/>
  <c r="P7" i="34"/>
  <c r="G7" i="34"/>
  <c r="H7" i="34" s="1"/>
  <c r="J7" i="34" s="1"/>
  <c r="D32" i="34" s="1"/>
  <c r="P6" i="34"/>
  <c r="H6" i="34"/>
  <c r="J6" i="34" s="1"/>
  <c r="H22" i="35" l="1"/>
  <c r="O22" i="35" s="1"/>
  <c r="P22" i="35" s="1"/>
  <c r="R22" i="35" s="1"/>
  <c r="E34" i="35" s="1"/>
  <c r="F34" i="35" s="1"/>
  <c r="H34" i="35" s="1"/>
  <c r="H21" i="35"/>
  <c r="O21" i="35" s="1"/>
  <c r="P21" i="35" s="1"/>
  <c r="R21" i="35" s="1"/>
  <c r="E33" i="35" s="1"/>
  <c r="F33" i="35" s="1"/>
  <c r="H33" i="35" s="1"/>
  <c r="O19" i="35"/>
  <c r="N19" i="35"/>
  <c r="G25" i="35"/>
  <c r="H23" i="35"/>
  <c r="O23" i="35" s="1"/>
  <c r="P23" i="35" s="1"/>
  <c r="R23" i="35" s="1"/>
  <c r="E35" i="35" s="1"/>
  <c r="F35" i="35" s="1"/>
  <c r="H35" i="35" s="1"/>
  <c r="P12" i="34"/>
  <c r="G11" i="34" s="1"/>
  <c r="H11" i="34" s="1"/>
  <c r="J11" i="34" s="1"/>
  <c r="D36" i="34" s="1"/>
  <c r="F36" i="34" s="1"/>
  <c r="H36" i="34" s="1"/>
  <c r="K21" i="34"/>
  <c r="H20" i="34"/>
  <c r="N20" i="34"/>
  <c r="M22" i="34"/>
  <c r="F22" i="34"/>
  <c r="F19" i="34"/>
  <c r="D31" i="34"/>
  <c r="K20" i="34"/>
  <c r="F21" i="34"/>
  <c r="E23" i="34"/>
  <c r="M23" i="34" s="1"/>
  <c r="K23" i="34"/>
  <c r="H24" i="34"/>
  <c r="C25" i="34"/>
  <c r="K19" i="34"/>
  <c r="F23" i="34" l="1"/>
  <c r="G12" i="34"/>
  <c r="C19" i="26" s="1"/>
  <c r="D37" i="34"/>
  <c r="O25" i="35"/>
  <c r="N25" i="35"/>
  <c r="P19" i="35"/>
  <c r="H25" i="35"/>
  <c r="H12" i="34"/>
  <c r="O10" i="5" s="1"/>
  <c r="G21" i="34"/>
  <c r="N21" i="34" s="1"/>
  <c r="G19" i="34"/>
  <c r="H19" i="34" s="1"/>
  <c r="F25" i="34"/>
  <c r="O20" i="34"/>
  <c r="P20" i="34" s="1"/>
  <c r="R20" i="34" s="1"/>
  <c r="E32" i="34" s="1"/>
  <c r="F32" i="34" s="1"/>
  <c r="H32" i="34" s="1"/>
  <c r="G23" i="34"/>
  <c r="N23" i="34" s="1"/>
  <c r="M25" i="34"/>
  <c r="J12" i="34"/>
  <c r="E25" i="34"/>
  <c r="G22" i="34"/>
  <c r="N22" i="34" s="1"/>
  <c r="R19" i="35" l="1"/>
  <c r="P25" i="35"/>
  <c r="H21" i="34"/>
  <c r="O21" i="34" s="1"/>
  <c r="P21" i="34" s="1"/>
  <c r="R21" i="34" s="1"/>
  <c r="E33" i="34" s="1"/>
  <c r="F33" i="34" s="1"/>
  <c r="H33" i="34" s="1"/>
  <c r="O19" i="34"/>
  <c r="G25" i="34"/>
  <c r="N19" i="34"/>
  <c r="H22" i="34"/>
  <c r="O22" i="34" s="1"/>
  <c r="P22" i="34" s="1"/>
  <c r="R22" i="34" s="1"/>
  <c r="E34" i="34" s="1"/>
  <c r="F34" i="34" s="1"/>
  <c r="H34" i="34" s="1"/>
  <c r="H23" i="34"/>
  <c r="O23" i="34" s="1"/>
  <c r="P23" i="34" s="1"/>
  <c r="R23" i="34" s="1"/>
  <c r="E35" i="34" s="1"/>
  <c r="F35" i="34" s="1"/>
  <c r="H35" i="34" s="1"/>
  <c r="D20" i="31"/>
  <c r="R25" i="35" l="1"/>
  <c r="E31" i="35"/>
  <c r="P19" i="34"/>
  <c r="O25" i="34"/>
  <c r="H25" i="34"/>
  <c r="N25" i="34"/>
  <c r="E37" i="35" l="1"/>
  <c r="F31" i="35"/>
  <c r="P25" i="34"/>
  <c r="R19" i="34"/>
  <c r="E31" i="34" s="1"/>
  <c r="F37" i="35" l="1"/>
  <c r="H31" i="35"/>
  <c r="H37" i="35" s="1"/>
  <c r="P11" i="5" s="1"/>
  <c r="P12" i="5" s="1"/>
  <c r="P15" i="5" s="1"/>
  <c r="P17" i="5" s="1"/>
  <c r="R25" i="34"/>
  <c r="E37" i="34" l="1"/>
  <c r="F31" i="34"/>
  <c r="F37" i="34" l="1"/>
  <c r="H31" i="34"/>
  <c r="H37" i="34" s="1"/>
  <c r="O11" i="5" s="1"/>
  <c r="O12" i="5" s="1"/>
  <c r="O15" i="5" l="1"/>
  <c r="G36" i="31"/>
  <c r="E36" i="31"/>
  <c r="G35" i="31"/>
  <c r="G34" i="31"/>
  <c r="G33" i="31"/>
  <c r="G32" i="31"/>
  <c r="L25" i="31"/>
  <c r="M24" i="31"/>
  <c r="G24" i="31"/>
  <c r="H24" i="31" s="1"/>
  <c r="C24" i="31"/>
  <c r="C23" i="31"/>
  <c r="C22" i="31"/>
  <c r="E22" i="31" s="1"/>
  <c r="M22" i="31" s="1"/>
  <c r="C21" i="31"/>
  <c r="E21" i="31" s="1"/>
  <c r="M20" i="31"/>
  <c r="F20" i="31"/>
  <c r="G20" i="31" s="1"/>
  <c r="N20" i="31" s="1"/>
  <c r="C19" i="31"/>
  <c r="E19" i="31" s="1"/>
  <c r="K18" i="31"/>
  <c r="K22" i="31" s="1"/>
  <c r="F12" i="31"/>
  <c r="C12" i="31"/>
  <c r="N8" i="5" s="1"/>
  <c r="P11" i="31"/>
  <c r="P10" i="31"/>
  <c r="G10" i="31"/>
  <c r="H10" i="31" s="1"/>
  <c r="J10" i="31" s="1"/>
  <c r="D35" i="31" s="1"/>
  <c r="P9" i="31"/>
  <c r="G9" i="31"/>
  <c r="H9" i="31" s="1"/>
  <c r="J9" i="31" s="1"/>
  <c r="D34" i="31" s="1"/>
  <c r="P8" i="31"/>
  <c r="G8" i="31"/>
  <c r="H8" i="31" s="1"/>
  <c r="J8" i="31" s="1"/>
  <c r="D33" i="31" s="1"/>
  <c r="P7" i="31"/>
  <c r="G7" i="31"/>
  <c r="H7" i="31" s="1"/>
  <c r="J7" i="31" s="1"/>
  <c r="D32" i="31" s="1"/>
  <c r="P6" i="31"/>
  <c r="G6" i="31"/>
  <c r="H6" i="31" s="1"/>
  <c r="O17" i="5" l="1"/>
  <c r="K20" i="31"/>
  <c r="K23" i="31"/>
  <c r="K19" i="31"/>
  <c r="P12" i="31"/>
  <c r="G11" i="31" s="1"/>
  <c r="J6" i="31"/>
  <c r="F21" i="31"/>
  <c r="F19" i="31"/>
  <c r="C25" i="31"/>
  <c r="H20" i="31"/>
  <c r="K21" i="31"/>
  <c r="F22" i="31"/>
  <c r="N24" i="31"/>
  <c r="P24" i="31" s="1"/>
  <c r="E23" i="31"/>
  <c r="M23" i="31" s="1"/>
  <c r="W4" i="4"/>
  <c r="W3" i="4"/>
  <c r="W2" i="4"/>
  <c r="H11" i="31" l="1"/>
  <c r="G12" i="31"/>
  <c r="C18" i="26" s="1"/>
  <c r="O20" i="31"/>
  <c r="P20" i="31" s="1"/>
  <c r="R20" i="31" s="1"/>
  <c r="E32" i="31" s="1"/>
  <c r="F32" i="31" s="1"/>
  <c r="H32" i="31" s="1"/>
  <c r="G22" i="31"/>
  <c r="N22" i="31" s="1"/>
  <c r="E25" i="31"/>
  <c r="D31" i="31"/>
  <c r="G19" i="31"/>
  <c r="F23" i="31"/>
  <c r="F25" i="31" s="1"/>
  <c r="G21" i="31"/>
  <c r="N21" i="31" s="1"/>
  <c r="J11" i="31" l="1"/>
  <c r="H12" i="31"/>
  <c r="N10" i="5" s="1"/>
  <c r="N19" i="31"/>
  <c r="H21" i="31"/>
  <c r="O21" i="31" s="1"/>
  <c r="P21" i="31" s="1"/>
  <c r="R21" i="31" s="1"/>
  <c r="E33" i="31" s="1"/>
  <c r="F33" i="31" s="1"/>
  <c r="H33" i="31" s="1"/>
  <c r="H22" i="31"/>
  <c r="O22" i="31" s="1"/>
  <c r="P22" i="31" s="1"/>
  <c r="R22" i="31" s="1"/>
  <c r="E34" i="31" s="1"/>
  <c r="F34" i="31" s="1"/>
  <c r="H34" i="31" s="1"/>
  <c r="G23" i="31"/>
  <c r="N23" i="31" s="1"/>
  <c r="H19" i="31"/>
  <c r="O19" i="31" s="1"/>
  <c r="P19" i="31" s="1"/>
  <c r="M25" i="31"/>
  <c r="D36" i="31" l="1"/>
  <c r="J12" i="31"/>
  <c r="H23" i="31"/>
  <c r="O23" i="31" s="1"/>
  <c r="P23" i="31" s="1"/>
  <c r="R23" i="31" s="1"/>
  <c r="E35" i="31" s="1"/>
  <c r="F35" i="31" s="1"/>
  <c r="H35" i="31" s="1"/>
  <c r="N25" i="31"/>
  <c r="G25" i="31"/>
  <c r="F36" i="31" l="1"/>
  <c r="H36" i="31" s="1"/>
  <c r="D37" i="31"/>
  <c r="O25" i="31"/>
  <c r="H25" i="31"/>
  <c r="P25" i="31" l="1"/>
  <c r="R19" i="31"/>
  <c r="E31" i="31" l="1"/>
  <c r="R25" i="31"/>
  <c r="E37" i="31" l="1"/>
  <c r="F31" i="31"/>
  <c r="F37" i="31" l="1"/>
  <c r="H31" i="31"/>
  <c r="H37" i="31" s="1"/>
  <c r="N11" i="5" s="1"/>
  <c r="N12" i="5" s="1"/>
  <c r="N15" i="5" s="1"/>
  <c r="N17" i="5" s="1"/>
  <c r="G36" i="27"/>
  <c r="E36" i="27"/>
  <c r="G35" i="27"/>
  <c r="G34" i="27"/>
  <c r="G33" i="27"/>
  <c r="G32" i="27"/>
  <c r="L25" i="27"/>
  <c r="M24" i="27"/>
  <c r="G24" i="27"/>
  <c r="N24" i="27" s="1"/>
  <c r="C24" i="27"/>
  <c r="C23" i="27"/>
  <c r="E23" i="27" s="1"/>
  <c r="M23" i="27" s="1"/>
  <c r="C22" i="27"/>
  <c r="E22" i="27" s="1"/>
  <c r="M22" i="27" s="1"/>
  <c r="C21" i="27"/>
  <c r="C20" i="27"/>
  <c r="C19" i="27"/>
  <c r="E19" i="27" s="1"/>
  <c r="K18" i="27"/>
  <c r="K22" i="27" s="1"/>
  <c r="F12" i="27"/>
  <c r="C12" i="27"/>
  <c r="M8" i="5" s="1"/>
  <c r="P11" i="27"/>
  <c r="P10" i="27"/>
  <c r="G10" i="27"/>
  <c r="H10" i="27" s="1"/>
  <c r="J10" i="27" s="1"/>
  <c r="D35" i="27" s="1"/>
  <c r="P9" i="27"/>
  <c r="G9" i="27"/>
  <c r="H9" i="27" s="1"/>
  <c r="J9" i="27" s="1"/>
  <c r="D34" i="27" s="1"/>
  <c r="P8" i="27"/>
  <c r="G8" i="27"/>
  <c r="H8" i="27" s="1"/>
  <c r="J8" i="27" s="1"/>
  <c r="D33" i="27" s="1"/>
  <c r="P7" i="27"/>
  <c r="G7" i="27"/>
  <c r="H7" i="27" s="1"/>
  <c r="J7" i="27" s="1"/>
  <c r="D32" i="27" s="1"/>
  <c r="P6" i="27"/>
  <c r="K19" i="27" l="1"/>
  <c r="F20" i="27"/>
  <c r="G20" i="27" s="1"/>
  <c r="N20" i="27" s="1"/>
  <c r="D20" i="27"/>
  <c r="H24" i="27"/>
  <c r="K23" i="27"/>
  <c r="K20" i="27"/>
  <c r="P12" i="27"/>
  <c r="G11" i="27" s="1"/>
  <c r="H11" i="27" s="1"/>
  <c r="J11" i="27" s="1"/>
  <c r="D36" i="27" s="1"/>
  <c r="F36" i="27" s="1"/>
  <c r="H36" i="27" s="1"/>
  <c r="P24" i="27"/>
  <c r="F19" i="27"/>
  <c r="H6" i="27"/>
  <c r="H20" i="27"/>
  <c r="E21" i="27"/>
  <c r="K21" i="27"/>
  <c r="F22" i="27"/>
  <c r="C25" i="27"/>
  <c r="F23" i="27"/>
  <c r="E47" i="18"/>
  <c r="E48" i="18" s="1"/>
  <c r="O20" i="27" l="1"/>
  <c r="P20" i="27" s="1"/>
  <c r="R20" i="27" s="1"/>
  <c r="E32" i="27" s="1"/>
  <c r="F32" i="27" s="1"/>
  <c r="H32" i="27" s="1"/>
  <c r="G12" i="27"/>
  <c r="C17" i="26" s="1"/>
  <c r="G23" i="27"/>
  <c r="N23" i="27" s="1"/>
  <c r="G22" i="27"/>
  <c r="N22" i="27" s="1"/>
  <c r="G19" i="27"/>
  <c r="H19" i="27" s="1"/>
  <c r="O19" i="27" s="1"/>
  <c r="E25" i="27"/>
  <c r="F21" i="27"/>
  <c r="J6" i="27"/>
  <c r="D31" i="27" s="1"/>
  <c r="H12" i="27"/>
  <c r="M10" i="5" s="1"/>
  <c r="H22" i="27" l="1"/>
  <c r="O22" i="27" s="1"/>
  <c r="G21" i="27"/>
  <c r="N21" i="27" s="1"/>
  <c r="N19" i="27"/>
  <c r="M25" i="27"/>
  <c r="F25" i="27"/>
  <c r="H23" i="27"/>
  <c r="O23" i="27" s="1"/>
  <c r="P23" i="27" s="1"/>
  <c r="R23" i="27" s="1"/>
  <c r="E35" i="27" s="1"/>
  <c r="F35" i="27" s="1"/>
  <c r="H35" i="27" s="1"/>
  <c r="D37" i="27"/>
  <c r="J12" i="27"/>
  <c r="P22" i="27"/>
  <c r="R22" i="27" s="1"/>
  <c r="E34" i="27" s="1"/>
  <c r="F34" i="27" s="1"/>
  <c r="H34" i="27" s="1"/>
  <c r="H21" i="27" l="1"/>
  <c r="N25" i="27"/>
  <c r="P19" i="27"/>
  <c r="G25" i="27"/>
  <c r="R19" i="27" l="1"/>
  <c r="E31" i="27" s="1"/>
  <c r="O21" i="27"/>
  <c r="H25" i="27"/>
  <c r="C40" i="26"/>
  <c r="C31" i="26"/>
  <c r="P21" i="27" l="1"/>
  <c r="O25" i="27"/>
  <c r="F31" i="27" l="1"/>
  <c r="R21" i="27"/>
  <c r="P25" i="27"/>
  <c r="E33" i="27" l="1"/>
  <c r="R25" i="27"/>
  <c r="H31" i="27"/>
  <c r="F33" i="27" l="1"/>
  <c r="E37" i="27"/>
  <c r="G36" i="18"/>
  <c r="E36" i="18"/>
  <c r="G35" i="18"/>
  <c r="G34" i="18"/>
  <c r="G33" i="18"/>
  <c r="G32" i="18"/>
  <c r="L25" i="18"/>
  <c r="M24" i="18"/>
  <c r="G24" i="18"/>
  <c r="N24" i="18" s="1"/>
  <c r="P24" i="18" s="1"/>
  <c r="C24" i="18"/>
  <c r="C23" i="18"/>
  <c r="C22" i="18"/>
  <c r="E22" i="18" s="1"/>
  <c r="M22" i="18" s="1"/>
  <c r="C21" i="18"/>
  <c r="E21" i="18" s="1"/>
  <c r="C20" i="18"/>
  <c r="C19" i="18"/>
  <c r="K18" i="18"/>
  <c r="K21" i="18" s="1"/>
  <c r="F12" i="18"/>
  <c r="C12" i="18"/>
  <c r="L8" i="5" s="1"/>
  <c r="P11" i="18"/>
  <c r="P10" i="18"/>
  <c r="G10" i="18"/>
  <c r="H10" i="18" s="1"/>
  <c r="J10" i="18" s="1"/>
  <c r="D35" i="18" s="1"/>
  <c r="P9" i="18"/>
  <c r="G9" i="18"/>
  <c r="H9" i="18" s="1"/>
  <c r="J9" i="18" s="1"/>
  <c r="D34" i="18" s="1"/>
  <c r="P8" i="18"/>
  <c r="G8" i="18"/>
  <c r="H8" i="18" s="1"/>
  <c r="J8" i="18" s="1"/>
  <c r="D33" i="18" s="1"/>
  <c r="P7" i="18"/>
  <c r="G7" i="18"/>
  <c r="H7" i="18" s="1"/>
  <c r="J7" i="18" s="1"/>
  <c r="D32" i="18" s="1"/>
  <c r="P6" i="18"/>
  <c r="K20" i="18" l="1"/>
  <c r="H33" i="27"/>
  <c r="H37" i="27" s="1"/>
  <c r="M11" i="5" s="1"/>
  <c r="F37" i="27"/>
  <c r="K19" i="18"/>
  <c r="K22" i="18"/>
  <c r="P12" i="18"/>
  <c r="G11" i="18" s="1"/>
  <c r="H11" i="18" s="1"/>
  <c r="J11" i="18" s="1"/>
  <c r="D36" i="18" s="1"/>
  <c r="F36" i="18" s="1"/>
  <c r="H36" i="18" s="1"/>
  <c r="F21" i="18"/>
  <c r="E23" i="18"/>
  <c r="M23" i="18" s="1"/>
  <c r="K23" i="18"/>
  <c r="H24" i="18"/>
  <c r="C25" i="18"/>
  <c r="E19" i="18"/>
  <c r="F19" i="18" s="1"/>
  <c r="H6" i="18"/>
  <c r="F22" i="18"/>
  <c r="M12" i="5" l="1"/>
  <c r="M15" i="5" s="1"/>
  <c r="M17" i="5" s="1"/>
  <c r="G12" i="18"/>
  <c r="C16" i="26" s="1"/>
  <c r="G19" i="18"/>
  <c r="H19" i="18" s="1"/>
  <c r="O19" i="18" s="1"/>
  <c r="H12" i="18"/>
  <c r="L10" i="5" s="1"/>
  <c r="J6" i="18"/>
  <c r="G22" i="18"/>
  <c r="N22" i="18" s="1"/>
  <c r="G21" i="18"/>
  <c r="N21" i="18" s="1"/>
  <c r="F23" i="18"/>
  <c r="D31" i="18" l="1"/>
  <c r="D37" i="18" s="1"/>
  <c r="J12" i="18"/>
  <c r="H21" i="18"/>
  <c r="O21" i="18" s="1"/>
  <c r="P21" i="18" s="1"/>
  <c r="R21" i="18" s="1"/>
  <c r="E33" i="18" s="1"/>
  <c r="F33" i="18" s="1"/>
  <c r="H33" i="18" s="1"/>
  <c r="H22" i="18"/>
  <c r="O22" i="18" s="1"/>
  <c r="P22" i="18" s="1"/>
  <c r="R22" i="18" s="1"/>
  <c r="E34" i="18" s="1"/>
  <c r="F34" i="18" s="1"/>
  <c r="H34" i="18" s="1"/>
  <c r="N19" i="18"/>
  <c r="P19" i="18" s="1"/>
  <c r="G23" i="18"/>
  <c r="N23" i="18" s="1"/>
  <c r="M25" i="18"/>
  <c r="R19" i="18" l="1"/>
  <c r="H23" i="18"/>
  <c r="O23" i="18" s="1"/>
  <c r="P23" i="18" s="1"/>
  <c r="R23" i="18" l="1"/>
  <c r="E35" i="18" s="1"/>
  <c r="F35" i="18" s="1"/>
  <c r="H35" i="18" s="1"/>
  <c r="E31" i="18"/>
  <c r="F31" i="18" l="1"/>
  <c r="H31" i="18" s="1"/>
  <c r="G36" i="17"/>
  <c r="E36" i="17"/>
  <c r="G35" i="17"/>
  <c r="G34" i="17"/>
  <c r="G33" i="17"/>
  <c r="G32" i="17"/>
  <c r="L25" i="17"/>
  <c r="G24" i="17"/>
  <c r="P24" i="17" s="1"/>
  <c r="C24" i="17"/>
  <c r="C23" i="17"/>
  <c r="C22" i="17"/>
  <c r="C21" i="17"/>
  <c r="E21" i="17" s="1"/>
  <c r="M20" i="17"/>
  <c r="C20" i="17"/>
  <c r="D20" i="17" s="1"/>
  <c r="C19" i="17"/>
  <c r="K18" i="17"/>
  <c r="K21" i="17" s="1"/>
  <c r="F12" i="17"/>
  <c r="C12" i="17"/>
  <c r="P11" i="17"/>
  <c r="P10" i="17"/>
  <c r="G10" i="17"/>
  <c r="H10" i="17" s="1"/>
  <c r="J10" i="17" s="1"/>
  <c r="D35" i="17" s="1"/>
  <c r="P9" i="17"/>
  <c r="G9" i="17"/>
  <c r="H9" i="17" s="1"/>
  <c r="J9" i="17" s="1"/>
  <c r="D34" i="17" s="1"/>
  <c r="P8" i="17"/>
  <c r="G8" i="17"/>
  <c r="H8" i="17" s="1"/>
  <c r="J8" i="17" s="1"/>
  <c r="D33" i="17" s="1"/>
  <c r="P7" i="17"/>
  <c r="G7" i="17"/>
  <c r="H7" i="17" s="1"/>
  <c r="J7" i="17" s="1"/>
  <c r="D32" i="17" s="1"/>
  <c r="P6" i="17"/>
  <c r="G6" i="17"/>
  <c r="F20" i="17" l="1"/>
  <c r="K20" i="17"/>
  <c r="K22" i="17"/>
  <c r="K19" i="17"/>
  <c r="K23" i="17"/>
  <c r="K8" i="5"/>
  <c r="P12" i="17"/>
  <c r="G11" i="17" s="1"/>
  <c r="H11" i="17" s="1"/>
  <c r="J11" i="17" s="1"/>
  <c r="D36" i="17" s="1"/>
  <c r="F36" i="17" s="1"/>
  <c r="H36" i="17" s="1"/>
  <c r="F21" i="17"/>
  <c r="E19" i="17"/>
  <c r="F19" i="17" s="1"/>
  <c r="H24" i="17"/>
  <c r="C25" i="17"/>
  <c r="E23" i="17"/>
  <c r="H6" i="17"/>
  <c r="G20" i="17"/>
  <c r="E22" i="17"/>
  <c r="G12" i="17" l="1"/>
  <c r="C15" i="26" s="1"/>
  <c r="H20" i="17"/>
  <c r="O20" i="17" s="1"/>
  <c r="P20" i="17" s="1"/>
  <c r="R20" i="17" s="1"/>
  <c r="E32" i="17" s="1"/>
  <c r="F32" i="17" s="1"/>
  <c r="H32" i="17" s="1"/>
  <c r="G21" i="17"/>
  <c r="F22" i="17"/>
  <c r="G19" i="17"/>
  <c r="H19" i="17" s="1"/>
  <c r="F23" i="17"/>
  <c r="H12" i="17"/>
  <c r="K10" i="5" s="1"/>
  <c r="J6" i="17"/>
  <c r="E25" i="17"/>
  <c r="O19" i="17" l="1"/>
  <c r="G22" i="17"/>
  <c r="H22" i="17" s="1"/>
  <c r="O22" i="17" s="1"/>
  <c r="M25" i="17"/>
  <c r="G23" i="17"/>
  <c r="D31" i="17"/>
  <c r="D37" i="17" s="1"/>
  <c r="J12" i="17"/>
  <c r="N25" i="17"/>
  <c r="F25" i="17"/>
  <c r="H21" i="17"/>
  <c r="O21" i="17" s="1"/>
  <c r="P21" i="17" s="1"/>
  <c r="R21" i="17" s="1"/>
  <c r="E33" i="17" s="1"/>
  <c r="F33" i="17" s="1"/>
  <c r="H33" i="17" s="1"/>
  <c r="G25" i="17" l="1"/>
  <c r="H23" i="17"/>
  <c r="O23" i="17" s="1"/>
  <c r="O25" i="17" s="1"/>
  <c r="P22" i="17"/>
  <c r="R22" i="17" s="1"/>
  <c r="E34" i="17" s="1"/>
  <c r="F34" i="17" s="1"/>
  <c r="H34" i="17" s="1"/>
  <c r="P19" i="17"/>
  <c r="G36" i="13"/>
  <c r="E36" i="13"/>
  <c r="G35" i="13"/>
  <c r="G34" i="13"/>
  <c r="G33" i="13"/>
  <c r="G32" i="13"/>
  <c r="L25" i="13"/>
  <c r="M24" i="13"/>
  <c r="G24" i="13"/>
  <c r="N24" i="13" s="1"/>
  <c r="C24" i="13"/>
  <c r="C23" i="13"/>
  <c r="C22" i="13"/>
  <c r="C21" i="13"/>
  <c r="E21" i="13" s="1"/>
  <c r="C20" i="13"/>
  <c r="F20" i="13" s="1"/>
  <c r="C19" i="13"/>
  <c r="K18" i="13"/>
  <c r="K21" i="13" s="1"/>
  <c r="F12" i="13"/>
  <c r="C12" i="13"/>
  <c r="P11" i="13"/>
  <c r="P10" i="13"/>
  <c r="G10" i="13"/>
  <c r="H10" i="13" s="1"/>
  <c r="J10" i="13" s="1"/>
  <c r="D35" i="13" s="1"/>
  <c r="P9" i="13"/>
  <c r="G9" i="13"/>
  <c r="H9" i="13" s="1"/>
  <c r="J9" i="13" s="1"/>
  <c r="D34" i="13" s="1"/>
  <c r="P8" i="13"/>
  <c r="G8" i="13"/>
  <c r="H8" i="13" s="1"/>
  <c r="J8" i="13" s="1"/>
  <c r="D33" i="13" s="1"/>
  <c r="P7" i="13"/>
  <c r="G7" i="13"/>
  <c r="H7" i="13" s="1"/>
  <c r="J7" i="13" s="1"/>
  <c r="D32" i="13" s="1"/>
  <c r="P6" i="13"/>
  <c r="G6" i="13"/>
  <c r="P24" i="13" l="1"/>
  <c r="H25" i="17"/>
  <c r="P23" i="17"/>
  <c r="R23" i="17" s="1"/>
  <c r="E35" i="17" s="1"/>
  <c r="F35" i="17" s="1"/>
  <c r="H35" i="17" s="1"/>
  <c r="K19" i="13"/>
  <c r="K23" i="13"/>
  <c r="K20" i="13"/>
  <c r="K22" i="13"/>
  <c r="R19" i="17"/>
  <c r="J8" i="5"/>
  <c r="P12" i="13"/>
  <c r="G11" i="13" s="1"/>
  <c r="H11" i="13" s="1"/>
  <c r="J11" i="13" s="1"/>
  <c r="D36" i="13" s="1"/>
  <c r="F36" i="13" s="1"/>
  <c r="H36" i="13" s="1"/>
  <c r="D20" i="13"/>
  <c r="F21" i="13"/>
  <c r="E19" i="13"/>
  <c r="H24" i="13"/>
  <c r="C25" i="13"/>
  <c r="E23" i="13"/>
  <c r="M23" i="13" s="1"/>
  <c r="H6" i="13"/>
  <c r="G20" i="13"/>
  <c r="E22" i="13"/>
  <c r="M22" i="13" s="1"/>
  <c r="F23" i="13" l="1"/>
  <c r="P25" i="17"/>
  <c r="R25" i="17"/>
  <c r="E31" i="17"/>
  <c r="G12" i="13"/>
  <c r="C14" i="26" s="1"/>
  <c r="H12" i="13"/>
  <c r="J10" i="5" s="1"/>
  <c r="J6" i="13"/>
  <c r="E25" i="13"/>
  <c r="G21" i="13"/>
  <c r="N21" i="13" s="1"/>
  <c r="G23" i="13"/>
  <c r="N23" i="13" s="1"/>
  <c r="H20" i="13"/>
  <c r="O20" i="13" s="1"/>
  <c r="P20" i="13" s="1"/>
  <c r="R20" i="13" s="1"/>
  <c r="E32" i="13" s="1"/>
  <c r="F32" i="13" s="1"/>
  <c r="H32" i="13" s="1"/>
  <c r="F22" i="13"/>
  <c r="F19" i="13"/>
  <c r="H23" i="13" l="1"/>
  <c r="O23" i="13" s="1"/>
  <c r="P23" i="13" s="1"/>
  <c r="R23" i="13" s="1"/>
  <c r="E35" i="13" s="1"/>
  <c r="F35" i="13" s="1"/>
  <c r="H35" i="13" s="1"/>
  <c r="E37" i="17"/>
  <c r="F31" i="17"/>
  <c r="H21" i="13"/>
  <c r="O21" i="13" s="1"/>
  <c r="P21" i="13" s="1"/>
  <c r="R21" i="13" s="1"/>
  <c r="E33" i="13" s="1"/>
  <c r="F33" i="13" s="1"/>
  <c r="H33" i="13" s="1"/>
  <c r="M25" i="13"/>
  <c r="F25" i="13"/>
  <c r="G19" i="13"/>
  <c r="G22" i="13"/>
  <c r="N22" i="13" s="1"/>
  <c r="D31" i="13"/>
  <c r="D37" i="13" s="1"/>
  <c r="J12" i="13"/>
  <c r="G36" i="12"/>
  <c r="E36" i="12"/>
  <c r="G35" i="12"/>
  <c r="G34" i="12"/>
  <c r="G33" i="12"/>
  <c r="G32" i="12"/>
  <c r="L25" i="12"/>
  <c r="M24" i="12"/>
  <c r="G24" i="12"/>
  <c r="H24" i="12" s="1"/>
  <c r="C24" i="12"/>
  <c r="C23" i="12"/>
  <c r="C22" i="12"/>
  <c r="E22" i="12" s="1"/>
  <c r="C21" i="12"/>
  <c r="E21" i="12" s="1"/>
  <c r="F21" i="12" s="1"/>
  <c r="C20" i="12"/>
  <c r="D20" i="12" s="1"/>
  <c r="C19" i="12"/>
  <c r="K18" i="12"/>
  <c r="K22" i="12" s="1"/>
  <c r="F12" i="12"/>
  <c r="C12" i="12"/>
  <c r="I8" i="5" s="1"/>
  <c r="P11" i="12"/>
  <c r="P10" i="12"/>
  <c r="G10" i="12"/>
  <c r="H10" i="12" s="1"/>
  <c r="J10" i="12" s="1"/>
  <c r="D35" i="12" s="1"/>
  <c r="P9" i="12"/>
  <c r="G9" i="12"/>
  <c r="H9" i="12" s="1"/>
  <c r="J9" i="12" s="1"/>
  <c r="D34" i="12" s="1"/>
  <c r="P8" i="12"/>
  <c r="G8" i="12"/>
  <c r="H8" i="12" s="1"/>
  <c r="J8" i="12" s="1"/>
  <c r="D33" i="12" s="1"/>
  <c r="P7" i="12"/>
  <c r="G7" i="12"/>
  <c r="H7" i="12" s="1"/>
  <c r="J7" i="12" s="1"/>
  <c r="D32" i="12" s="1"/>
  <c r="P6" i="12"/>
  <c r="G6" i="12"/>
  <c r="H6" i="12" s="1"/>
  <c r="H22" i="13" l="1"/>
  <c r="O22" i="13" s="1"/>
  <c r="P22" i="13" s="1"/>
  <c r="R22" i="13" s="1"/>
  <c r="E34" i="13" s="1"/>
  <c r="F34" i="13" s="1"/>
  <c r="H34" i="13" s="1"/>
  <c r="N24" i="12"/>
  <c r="P24" i="12" s="1"/>
  <c r="F37" i="17"/>
  <c r="H31" i="17"/>
  <c r="H37" i="17" s="1"/>
  <c r="K11" i="5" s="1"/>
  <c r="K12" i="5" s="1"/>
  <c r="K15" i="5" s="1"/>
  <c r="K17" i="5" s="1"/>
  <c r="G25" i="13"/>
  <c r="H19" i="13"/>
  <c r="P12" i="12"/>
  <c r="G11" i="12" s="1"/>
  <c r="H11" i="12" s="1"/>
  <c r="J11" i="12" s="1"/>
  <c r="D36" i="12" s="1"/>
  <c r="F36" i="12" s="1"/>
  <c r="H36" i="12" s="1"/>
  <c r="J6" i="12"/>
  <c r="M22" i="12"/>
  <c r="F22" i="12"/>
  <c r="G21" i="12"/>
  <c r="N21" i="12" s="1"/>
  <c r="E19" i="12"/>
  <c r="F19" i="12" s="1"/>
  <c r="E23" i="12"/>
  <c r="M23" i="12" s="1"/>
  <c r="K23" i="12"/>
  <c r="C25" i="12"/>
  <c r="K21" i="12"/>
  <c r="K20" i="12"/>
  <c r="K19" i="12"/>
  <c r="H25" i="13" l="1"/>
  <c r="O19" i="13"/>
  <c r="O25" i="13" s="1"/>
  <c r="N25" i="13"/>
  <c r="G12" i="12"/>
  <c r="C13" i="26" s="1"/>
  <c r="H12" i="12"/>
  <c r="I10" i="5" s="1"/>
  <c r="F23" i="12"/>
  <c r="F20" i="12"/>
  <c r="G19" i="12"/>
  <c r="E25" i="12"/>
  <c r="H21" i="12"/>
  <c r="O21" i="12" s="1"/>
  <c r="P21" i="12" s="1"/>
  <c r="R21" i="12" s="1"/>
  <c r="E33" i="12" s="1"/>
  <c r="F33" i="12" s="1"/>
  <c r="H33" i="12" s="1"/>
  <c r="G22" i="12"/>
  <c r="N22" i="12" s="1"/>
  <c r="D31" i="12"/>
  <c r="D37" i="12" s="1"/>
  <c r="J12" i="12"/>
  <c r="P19" i="13" l="1"/>
  <c r="G20" i="12"/>
  <c r="H22" i="12"/>
  <c r="O22" i="12" s="1"/>
  <c r="P22" i="12" s="1"/>
  <c r="R22" i="12" s="1"/>
  <c r="E34" i="12" s="1"/>
  <c r="F34" i="12" s="1"/>
  <c r="H34" i="12" s="1"/>
  <c r="F25" i="12"/>
  <c r="G23" i="12"/>
  <c r="N23" i="12" s="1"/>
  <c r="H23" i="12"/>
  <c r="O23" i="12" s="1"/>
  <c r="M25" i="12"/>
  <c r="H19" i="12"/>
  <c r="P25" i="13" l="1"/>
  <c r="R19" i="13"/>
  <c r="N25" i="12"/>
  <c r="G25" i="12"/>
  <c r="O19" i="12"/>
  <c r="P19" i="12" s="1"/>
  <c r="P23" i="12"/>
  <c r="R23" i="12" s="1"/>
  <c r="E35" i="12" s="1"/>
  <c r="F35" i="12" s="1"/>
  <c r="H35" i="12" s="1"/>
  <c r="H20" i="12"/>
  <c r="O20" i="12" s="1"/>
  <c r="P20" i="12" s="1"/>
  <c r="R20" i="12" s="1"/>
  <c r="E32" i="12" s="1"/>
  <c r="F32" i="12" s="1"/>
  <c r="H32" i="12" s="1"/>
  <c r="G36" i="11"/>
  <c r="E36" i="11"/>
  <c r="G35" i="11"/>
  <c r="G34" i="11"/>
  <c r="G33" i="11"/>
  <c r="G32" i="11"/>
  <c r="L25" i="11"/>
  <c r="M24" i="11"/>
  <c r="G24" i="11"/>
  <c r="N24" i="11" s="1"/>
  <c r="C24" i="11"/>
  <c r="C23" i="11"/>
  <c r="E23" i="11" s="1"/>
  <c r="M23" i="11" s="1"/>
  <c r="C22" i="11"/>
  <c r="C21" i="11"/>
  <c r="E21" i="11" s="1"/>
  <c r="C20" i="11"/>
  <c r="E20" i="11" s="1"/>
  <c r="M20" i="11" s="1"/>
  <c r="C19" i="11"/>
  <c r="E19" i="11" s="1"/>
  <c r="K18" i="11"/>
  <c r="K21" i="11" s="1"/>
  <c r="F12" i="11"/>
  <c r="C12" i="11"/>
  <c r="H8" i="5" s="1"/>
  <c r="P11" i="11"/>
  <c r="P10" i="11"/>
  <c r="G10" i="11"/>
  <c r="H10" i="11" s="1"/>
  <c r="J10" i="11" s="1"/>
  <c r="D35" i="11" s="1"/>
  <c r="P9" i="11"/>
  <c r="G9" i="11"/>
  <c r="H9" i="11" s="1"/>
  <c r="J9" i="11" s="1"/>
  <c r="D34" i="11" s="1"/>
  <c r="P8" i="11"/>
  <c r="G8" i="11"/>
  <c r="H8" i="11" s="1"/>
  <c r="J8" i="11" s="1"/>
  <c r="D33" i="11" s="1"/>
  <c r="P7" i="11"/>
  <c r="G7" i="11"/>
  <c r="H7" i="11" s="1"/>
  <c r="J7" i="11" s="1"/>
  <c r="D32" i="11" s="1"/>
  <c r="P6" i="11"/>
  <c r="G6" i="11"/>
  <c r="P24" i="11" l="1"/>
  <c r="K19" i="11"/>
  <c r="K23" i="11"/>
  <c r="R25" i="13"/>
  <c r="E31" i="13"/>
  <c r="K22" i="11"/>
  <c r="K20" i="11"/>
  <c r="P25" i="12"/>
  <c r="R19" i="12"/>
  <c r="O25" i="12"/>
  <c r="H25" i="12"/>
  <c r="P12" i="11"/>
  <c r="G11" i="11" s="1"/>
  <c r="H11" i="11" s="1"/>
  <c r="J11" i="11" s="1"/>
  <c r="D36" i="11" s="1"/>
  <c r="F36" i="11" s="1"/>
  <c r="H36" i="11" s="1"/>
  <c r="F21" i="11"/>
  <c r="F20" i="11"/>
  <c r="H24" i="11"/>
  <c r="C25" i="11"/>
  <c r="H6" i="11"/>
  <c r="F19" i="11"/>
  <c r="E22" i="11"/>
  <c r="M22" i="11" s="1"/>
  <c r="F23" i="11"/>
  <c r="E37" i="13" l="1"/>
  <c r="F31" i="13"/>
  <c r="H31" i="13" s="1"/>
  <c r="E31" i="12"/>
  <c r="R25" i="12"/>
  <c r="G12" i="11"/>
  <c r="C12" i="26" s="1"/>
  <c r="G23" i="11"/>
  <c r="N23" i="11" s="1"/>
  <c r="M25" i="11"/>
  <c r="F22" i="11"/>
  <c r="F25" i="11" s="1"/>
  <c r="G19" i="11"/>
  <c r="H19" i="11" s="1"/>
  <c r="G20" i="11"/>
  <c r="E25" i="11"/>
  <c r="J6" i="11"/>
  <c r="H12" i="11"/>
  <c r="H10" i="5" s="1"/>
  <c r="G21" i="11"/>
  <c r="N21" i="11" s="1"/>
  <c r="G10" i="6"/>
  <c r="G9" i="6"/>
  <c r="G7" i="6"/>
  <c r="P11" i="3"/>
  <c r="P10" i="3"/>
  <c r="P9" i="3"/>
  <c r="G10" i="3"/>
  <c r="G9" i="3"/>
  <c r="G10" i="10"/>
  <c r="G9" i="10"/>
  <c r="G8" i="10"/>
  <c r="G7" i="10"/>
  <c r="G6" i="10"/>
  <c r="G10" i="8"/>
  <c r="G9" i="8"/>
  <c r="G7" i="8"/>
  <c r="F37" i="13" l="1"/>
  <c r="H37" i="13"/>
  <c r="J11" i="5" s="1"/>
  <c r="J12" i="5" s="1"/>
  <c r="J15" i="5" s="1"/>
  <c r="J17" i="5" s="1"/>
  <c r="E37" i="12"/>
  <c r="F31" i="12"/>
  <c r="H21" i="11"/>
  <c r="O21" i="11" s="1"/>
  <c r="P21" i="11" s="1"/>
  <c r="R21" i="11" s="1"/>
  <c r="E33" i="11" s="1"/>
  <c r="F33" i="11" s="1"/>
  <c r="H33" i="11" s="1"/>
  <c r="H20" i="11"/>
  <c r="O20" i="11" s="1"/>
  <c r="P20" i="11" s="1"/>
  <c r="R20" i="11" s="1"/>
  <c r="E32" i="11" s="1"/>
  <c r="F32" i="11" s="1"/>
  <c r="H32" i="11" s="1"/>
  <c r="D31" i="11"/>
  <c r="D37" i="11" s="1"/>
  <c r="J12" i="11"/>
  <c r="O19" i="11"/>
  <c r="G22" i="11"/>
  <c r="N22" i="11" s="1"/>
  <c r="N19" i="11"/>
  <c r="H23" i="11"/>
  <c r="O23" i="11" s="1"/>
  <c r="P23" i="11" s="1"/>
  <c r="R23" i="11" s="1"/>
  <c r="E35" i="11" s="1"/>
  <c r="F35" i="11" s="1"/>
  <c r="H35" i="11" s="1"/>
  <c r="H31" i="12" l="1"/>
  <c r="H37" i="12" s="1"/>
  <c r="I11" i="5" s="1"/>
  <c r="I12" i="5" s="1"/>
  <c r="I15" i="5" s="1"/>
  <c r="I17" i="5" s="1"/>
  <c r="F37" i="12"/>
  <c r="N25" i="11"/>
  <c r="P19" i="11"/>
  <c r="G25" i="11"/>
  <c r="H22" i="11"/>
  <c r="G36" i="10"/>
  <c r="E36" i="10"/>
  <c r="G35" i="10"/>
  <c r="G34" i="10"/>
  <c r="G33" i="10"/>
  <c r="G32" i="10"/>
  <c r="L25" i="10"/>
  <c r="M24" i="10"/>
  <c r="G24" i="10"/>
  <c r="N24" i="10" s="1"/>
  <c r="P24" i="10" s="1"/>
  <c r="C24" i="10"/>
  <c r="C23" i="10"/>
  <c r="E23" i="10" s="1"/>
  <c r="M23" i="10" s="1"/>
  <c r="C22" i="10"/>
  <c r="C20" i="10"/>
  <c r="E20" i="10" s="1"/>
  <c r="M20" i="10" s="1"/>
  <c r="C19" i="10"/>
  <c r="K18" i="10"/>
  <c r="K21" i="10" s="1"/>
  <c r="F12" i="10"/>
  <c r="P11" i="10"/>
  <c r="P10" i="10"/>
  <c r="H10" i="10"/>
  <c r="J10" i="10" s="1"/>
  <c r="D35" i="10" s="1"/>
  <c r="P9" i="10"/>
  <c r="H9" i="10"/>
  <c r="J9" i="10" s="1"/>
  <c r="D34" i="10" s="1"/>
  <c r="P8" i="10"/>
  <c r="P7" i="10"/>
  <c r="H7" i="10"/>
  <c r="J7" i="10" s="1"/>
  <c r="D32" i="10" s="1"/>
  <c r="P6" i="10"/>
  <c r="K23" i="10" l="1"/>
  <c r="K20" i="10"/>
  <c r="K19" i="10"/>
  <c r="R19" i="11"/>
  <c r="O22" i="11"/>
  <c r="H25" i="11"/>
  <c r="P12" i="10"/>
  <c r="H6" i="10"/>
  <c r="H8" i="10"/>
  <c r="J8" i="10" s="1"/>
  <c r="D33" i="10" s="1"/>
  <c r="C12" i="10"/>
  <c r="G8" i="5" s="1"/>
  <c r="E19" i="10"/>
  <c r="F19" i="10" s="1"/>
  <c r="H24" i="10"/>
  <c r="C21" i="10"/>
  <c r="E22" i="10"/>
  <c r="M22" i="10" s="1"/>
  <c r="K22" i="10"/>
  <c r="F23" i="10"/>
  <c r="F20" i="10"/>
  <c r="F22" i="10" l="1"/>
  <c r="G11" i="10"/>
  <c r="G12" i="10" s="1"/>
  <c r="C11" i="26" s="1"/>
  <c r="O25" i="11"/>
  <c r="P22" i="11"/>
  <c r="E31" i="11"/>
  <c r="E21" i="10"/>
  <c r="J6" i="10"/>
  <c r="G20" i="10"/>
  <c r="N20" i="10" s="1"/>
  <c r="C25" i="10"/>
  <c r="G22" i="10"/>
  <c r="N22" i="10" s="1"/>
  <c r="G23" i="10"/>
  <c r="N23" i="10" s="1"/>
  <c r="G19" i="10"/>
  <c r="H23" i="10" l="1"/>
  <c r="O23" i="10" s="1"/>
  <c r="H11" i="10"/>
  <c r="F31" i="11"/>
  <c r="H31" i="11" s="1"/>
  <c r="R22" i="11"/>
  <c r="P25" i="11"/>
  <c r="E25" i="10"/>
  <c r="H20" i="10"/>
  <c r="O20" i="10" s="1"/>
  <c r="P20" i="10" s="1"/>
  <c r="R20" i="10" s="1"/>
  <c r="E32" i="10" s="1"/>
  <c r="F32" i="10" s="1"/>
  <c r="H32" i="10" s="1"/>
  <c r="N19" i="10"/>
  <c r="M25" i="10"/>
  <c r="H19" i="10"/>
  <c r="H22" i="10"/>
  <c r="O22" i="10" s="1"/>
  <c r="P22" i="10" s="1"/>
  <c r="R22" i="10" s="1"/>
  <c r="E34" i="10" s="1"/>
  <c r="F34" i="10" s="1"/>
  <c r="H34" i="10" s="1"/>
  <c r="F21" i="10"/>
  <c r="P23" i="10"/>
  <c r="R23" i="10" s="1"/>
  <c r="E35" i="10" s="1"/>
  <c r="F35" i="10" s="1"/>
  <c r="H35" i="10" s="1"/>
  <c r="D31" i="10"/>
  <c r="J11" i="10" l="1"/>
  <c r="H12" i="10"/>
  <c r="G10" i="5" s="1"/>
  <c r="E34" i="11"/>
  <c r="R25" i="11"/>
  <c r="G21" i="10"/>
  <c r="H21" i="10" s="1"/>
  <c r="O21" i="10" s="1"/>
  <c r="F25" i="10"/>
  <c r="O19" i="10"/>
  <c r="D36" i="10" l="1"/>
  <c r="J12" i="10"/>
  <c r="F34" i="11"/>
  <c r="H34" i="11" s="1"/>
  <c r="E37" i="11"/>
  <c r="H25" i="10"/>
  <c r="O25" i="10"/>
  <c r="P19" i="10"/>
  <c r="N21" i="10"/>
  <c r="G25" i="10"/>
  <c r="G24" i="8"/>
  <c r="P7" i="6"/>
  <c r="P7" i="8"/>
  <c r="F36" i="10" l="1"/>
  <c r="H36" i="10" s="1"/>
  <c r="D37" i="10"/>
  <c r="H37" i="11"/>
  <c r="H11" i="5" s="1"/>
  <c r="H12" i="5" s="1"/>
  <c r="H15" i="5" s="1"/>
  <c r="H17" i="5" s="1"/>
  <c r="F37" i="11"/>
  <c r="P21" i="10"/>
  <c r="R21" i="10" s="1"/>
  <c r="E33" i="10" s="1"/>
  <c r="F33" i="10" s="1"/>
  <c r="H33" i="10" s="1"/>
  <c r="N25" i="10"/>
  <c r="R19" i="10"/>
  <c r="R25" i="10" l="1"/>
  <c r="E31" i="10"/>
  <c r="P25" i="10"/>
  <c r="C8" i="8"/>
  <c r="G8" i="8" l="1"/>
  <c r="H8" i="8" s="1"/>
  <c r="J8" i="8" s="1"/>
  <c r="D33" i="8" s="1"/>
  <c r="P8" i="8"/>
  <c r="E37" i="10"/>
  <c r="F31" i="10"/>
  <c r="H31" i="10" s="1"/>
  <c r="C6" i="8"/>
  <c r="G36" i="8"/>
  <c r="E36" i="8"/>
  <c r="G35" i="8"/>
  <c r="G34" i="8"/>
  <c r="G33" i="8"/>
  <c r="G32" i="8"/>
  <c r="L25" i="8"/>
  <c r="N24" i="8"/>
  <c r="M24" i="8"/>
  <c r="P24" i="8" s="1"/>
  <c r="H24" i="8"/>
  <c r="C23" i="8"/>
  <c r="C22" i="8"/>
  <c r="E22" i="8" s="1"/>
  <c r="C20" i="8"/>
  <c r="E20" i="8" s="1"/>
  <c r="K18" i="8"/>
  <c r="K21" i="8" s="1"/>
  <c r="F12" i="8"/>
  <c r="C12" i="8"/>
  <c r="F8" i="5" s="1"/>
  <c r="C24" i="8"/>
  <c r="P10" i="8"/>
  <c r="H10" i="8"/>
  <c r="J10" i="8" s="1"/>
  <c r="D35" i="8" s="1"/>
  <c r="P9" i="8"/>
  <c r="H9" i="8"/>
  <c r="J9" i="8" s="1"/>
  <c r="D34" i="8" s="1"/>
  <c r="H7" i="8"/>
  <c r="J7" i="8" s="1"/>
  <c r="D32" i="8" s="1"/>
  <c r="C19" i="8" l="1"/>
  <c r="E19" i="8" s="1"/>
  <c r="F19" i="8" s="1"/>
  <c r="G19" i="8" s="1"/>
  <c r="H19" i="8" s="1"/>
  <c r="G6" i="8"/>
  <c r="P6" i="8"/>
  <c r="E23" i="8"/>
  <c r="M23" i="8" s="1"/>
  <c r="K20" i="8"/>
  <c r="K23" i="8"/>
  <c r="K19" i="8"/>
  <c r="F37" i="10"/>
  <c r="H37" i="10"/>
  <c r="G11" i="5" s="1"/>
  <c r="G12" i="5" s="1"/>
  <c r="G15" i="5" s="1"/>
  <c r="G17" i="5" s="1"/>
  <c r="C21" i="8"/>
  <c r="E21" i="8" s="1"/>
  <c r="M22" i="8"/>
  <c r="K22" i="8"/>
  <c r="F20" i="8"/>
  <c r="G20" i="8" s="1"/>
  <c r="P11" i="8"/>
  <c r="F22" i="8"/>
  <c r="G22" i="8" s="1"/>
  <c r="F23" i="8" l="1"/>
  <c r="G23" i="8" s="1"/>
  <c r="P12" i="8"/>
  <c r="G11" i="8" s="1"/>
  <c r="H6" i="8"/>
  <c r="N22" i="8"/>
  <c r="C25" i="8"/>
  <c r="N23" i="8"/>
  <c r="E25" i="8"/>
  <c r="G12" i="8" l="1"/>
  <c r="C10" i="26" s="1"/>
  <c r="H20" i="8"/>
  <c r="O20" i="8" s="1"/>
  <c r="P20" i="8" s="1"/>
  <c r="R20" i="8" s="1"/>
  <c r="E32" i="8" s="1"/>
  <c r="F32" i="8" s="1"/>
  <c r="H32" i="8" s="1"/>
  <c r="M25" i="8"/>
  <c r="J6" i="8"/>
  <c r="H23" i="8"/>
  <c r="O23" i="8" s="1"/>
  <c r="P23" i="8" s="1"/>
  <c r="R23" i="8" s="1"/>
  <c r="E35" i="8" s="1"/>
  <c r="F35" i="8" s="1"/>
  <c r="H35" i="8" s="1"/>
  <c r="F21" i="8"/>
  <c r="G21" i="8" s="1"/>
  <c r="H22" i="8"/>
  <c r="O22" i="8" s="1"/>
  <c r="P22" i="8" s="1"/>
  <c r="R22" i="8" s="1"/>
  <c r="E34" i="8" s="1"/>
  <c r="F34" i="8" s="1"/>
  <c r="H34" i="8" s="1"/>
  <c r="H11" i="8" l="1"/>
  <c r="H21" i="8"/>
  <c r="F25" i="8"/>
  <c r="D31" i="8"/>
  <c r="O19" i="8"/>
  <c r="C11" i="6"/>
  <c r="C8" i="3"/>
  <c r="C7" i="3"/>
  <c r="G7" i="3" s="1"/>
  <c r="C6" i="3"/>
  <c r="G6" i="3" s="1"/>
  <c r="H6" i="3" s="1"/>
  <c r="P6" i="3" l="1"/>
  <c r="P7" i="3"/>
  <c r="P8" i="3"/>
  <c r="G8" i="3"/>
  <c r="J11" i="8"/>
  <c r="H12" i="8"/>
  <c r="F10" i="5" s="1"/>
  <c r="O21" i="8"/>
  <c r="O25" i="8" s="1"/>
  <c r="H25" i="8"/>
  <c r="P19" i="8"/>
  <c r="N21" i="8"/>
  <c r="G25" i="8"/>
  <c r="D36" i="8" l="1"/>
  <c r="J12" i="8"/>
  <c r="P21" i="8"/>
  <c r="R21" i="8" s="1"/>
  <c r="E33" i="8" s="1"/>
  <c r="F33" i="8" s="1"/>
  <c r="H33" i="8" s="1"/>
  <c r="N25" i="8"/>
  <c r="R19" i="8"/>
  <c r="P11" i="6"/>
  <c r="P10" i="6"/>
  <c r="P9" i="6"/>
  <c r="F36" i="8" l="1"/>
  <c r="H36" i="8" s="1"/>
  <c r="D37" i="8"/>
  <c r="P25" i="8"/>
  <c r="E31" i="8"/>
  <c r="R25" i="8"/>
  <c r="E37" i="8" l="1"/>
  <c r="F31" i="8"/>
  <c r="H31" i="8" s="1"/>
  <c r="F37" i="8" l="1"/>
  <c r="H37" i="8"/>
  <c r="F11" i="5" s="1"/>
  <c r="F12" i="5" s="1"/>
  <c r="F15" i="5" s="1"/>
  <c r="F17" i="5" s="1"/>
  <c r="P12" i="3"/>
  <c r="G11" i="3" s="1"/>
  <c r="E20" i="6"/>
  <c r="C8" i="6" l="1"/>
  <c r="G8" i="6" l="1"/>
  <c r="P8" i="6"/>
  <c r="C6" i="6"/>
  <c r="C24" i="6"/>
  <c r="C23" i="6"/>
  <c r="C22" i="6"/>
  <c r="C21" i="6"/>
  <c r="C20" i="6"/>
  <c r="D20" i="6" s="1"/>
  <c r="E36" i="6"/>
  <c r="G6" i="6" l="1"/>
  <c r="P6" i="6"/>
  <c r="P12" i="6" s="1"/>
  <c r="G11" i="6" s="1"/>
  <c r="H11" i="6" s="1"/>
  <c r="J11" i="6" s="1"/>
  <c r="D36" i="6" s="1"/>
  <c r="C12" i="6"/>
  <c r="E8" i="5" s="1"/>
  <c r="C19" i="6"/>
  <c r="G36" i="6"/>
  <c r="G35" i="6"/>
  <c r="G34" i="6"/>
  <c r="G33" i="6"/>
  <c r="G32" i="6"/>
  <c r="L25" i="6"/>
  <c r="N24" i="6"/>
  <c r="M24" i="6"/>
  <c r="H24" i="6"/>
  <c r="E21" i="6"/>
  <c r="K18" i="6"/>
  <c r="F12" i="6"/>
  <c r="H10" i="6"/>
  <c r="J10" i="6" s="1"/>
  <c r="D35" i="6" s="1"/>
  <c r="H9" i="6"/>
  <c r="J9" i="6" s="1"/>
  <c r="D34" i="6" s="1"/>
  <c r="H8" i="6"/>
  <c r="J8" i="6" s="1"/>
  <c r="D33" i="6" s="1"/>
  <c r="H7" i="6"/>
  <c r="J7" i="6" s="1"/>
  <c r="D32" i="6" s="1"/>
  <c r="P24" i="6" l="1"/>
  <c r="K20" i="6"/>
  <c r="K19" i="6"/>
  <c r="K21" i="6"/>
  <c r="K22" i="6"/>
  <c r="K23" i="6"/>
  <c r="F21" i="6"/>
  <c r="C25" i="6"/>
  <c r="E19" i="6"/>
  <c r="F19" i="6" s="1"/>
  <c r="F20" i="6"/>
  <c r="E23" i="6"/>
  <c r="M23" i="6" s="1"/>
  <c r="E22" i="6"/>
  <c r="M22" i="6" s="1"/>
  <c r="F23" i="6" l="1"/>
  <c r="G12" i="3"/>
  <c r="C8" i="26" s="1"/>
  <c r="F22" i="6"/>
  <c r="G22" i="6" s="1"/>
  <c r="H6" i="6"/>
  <c r="G12" i="6"/>
  <c r="C9" i="26" s="1"/>
  <c r="G23" i="6"/>
  <c r="G20" i="6"/>
  <c r="G21" i="6"/>
  <c r="G19" i="6"/>
  <c r="H19" i="6" s="1"/>
  <c r="O19" i="6" s="1"/>
  <c r="E25" i="6"/>
  <c r="K18" i="3"/>
  <c r="C21" i="26" l="1"/>
  <c r="G5" i="36" s="1"/>
  <c r="F25" i="6"/>
  <c r="H23" i="6"/>
  <c r="O23" i="6" s="1"/>
  <c r="P23" i="6" s="1"/>
  <c r="R23" i="6" s="1"/>
  <c r="E35" i="6" s="1"/>
  <c r="H21" i="6"/>
  <c r="H12" i="6"/>
  <c r="E10" i="5" s="1"/>
  <c r="J6" i="6"/>
  <c r="M25" i="6"/>
  <c r="G25" i="6"/>
  <c r="N25" i="6"/>
  <c r="H20" i="6"/>
  <c r="O20" i="6" s="1"/>
  <c r="P20" i="6" s="1"/>
  <c r="R20" i="6" s="1"/>
  <c r="E32" i="6" s="1"/>
  <c r="H22" i="6"/>
  <c r="O22" i="6" s="1"/>
  <c r="P22" i="6" s="1"/>
  <c r="R22" i="6" s="1"/>
  <c r="E34" i="6" s="1"/>
  <c r="G36" i="3"/>
  <c r="G35" i="3"/>
  <c r="G34" i="3"/>
  <c r="G33" i="3"/>
  <c r="G32" i="3"/>
  <c r="I5" i="36" l="1"/>
  <c r="J12" i="6"/>
  <c r="D31" i="6"/>
  <c r="O21" i="6"/>
  <c r="P21" i="6" s="1"/>
  <c r="R21" i="6" s="1"/>
  <c r="E33" i="6" s="1"/>
  <c r="P19" i="6"/>
  <c r="H25" i="6"/>
  <c r="F34" i="5"/>
  <c r="C34" i="5"/>
  <c r="D31" i="5" l="1"/>
  <c r="D30" i="5"/>
  <c r="O25" i="6"/>
  <c r="P25" i="6"/>
  <c r="R19" i="6"/>
  <c r="D33" i="5"/>
  <c r="D32" i="5"/>
  <c r="R25" i="6" l="1"/>
  <c r="E31" i="6"/>
  <c r="D34" i="5"/>
  <c r="C20" i="3" l="1"/>
  <c r="C21" i="3"/>
  <c r="E21" i="3" s="1"/>
  <c r="F21" i="3" s="1"/>
  <c r="C22" i="3"/>
  <c r="E22" i="3" s="1"/>
  <c r="F22" i="3" s="1"/>
  <c r="C23" i="3"/>
  <c r="E23" i="3" s="1"/>
  <c r="F23" i="3" s="1"/>
  <c r="C24" i="3"/>
  <c r="L25" i="3"/>
  <c r="K19" i="3"/>
  <c r="H11" i="3"/>
  <c r="J11" i="3" s="1"/>
  <c r="D36" i="3" s="1"/>
  <c r="H9" i="3"/>
  <c r="J9" i="3" s="1"/>
  <c r="D34" i="3" s="1"/>
  <c r="H8" i="3"/>
  <c r="J8" i="3" s="1"/>
  <c r="D33" i="3" s="1"/>
  <c r="F12" i="3"/>
  <c r="H10" i="3"/>
  <c r="J10" i="3" s="1"/>
  <c r="D35" i="3" s="1"/>
  <c r="E20" i="3" l="1"/>
  <c r="F20" i="3" s="1"/>
  <c r="F36" i="3"/>
  <c r="H36" i="3" s="1"/>
  <c r="F36" i="6"/>
  <c r="H36" i="6" s="1"/>
  <c r="C19" i="3"/>
  <c r="C25" i="3" s="1"/>
  <c r="K22" i="3"/>
  <c r="K20" i="3"/>
  <c r="K23" i="3"/>
  <c r="K21" i="3"/>
  <c r="C12" i="3"/>
  <c r="D8" i="5" s="1"/>
  <c r="H7" i="3"/>
  <c r="J7" i="3" s="1"/>
  <c r="D32" i="3" s="1"/>
  <c r="E19" i="3" l="1"/>
  <c r="F19" i="3" s="1"/>
  <c r="G19" i="3" s="1"/>
  <c r="G20" i="3"/>
  <c r="G22" i="3"/>
  <c r="J6" i="3"/>
  <c r="D31" i="3" s="1"/>
  <c r="G21" i="3"/>
  <c r="G23" i="3"/>
  <c r="H12" i="3"/>
  <c r="D10" i="5" s="1"/>
  <c r="C42" i="26" s="1"/>
  <c r="C44" i="26" l="1"/>
  <c r="E25" i="3"/>
  <c r="D37" i="3"/>
  <c r="D37" i="6"/>
  <c r="H24" i="3"/>
  <c r="P24" i="3" s="1"/>
  <c r="H22" i="3"/>
  <c r="H20" i="3"/>
  <c r="F25" i="3"/>
  <c r="M25" i="3"/>
  <c r="H23" i="3"/>
  <c r="H21" i="3"/>
  <c r="J12" i="3"/>
  <c r="C47" i="26" l="1"/>
  <c r="Q18" i="5" s="1"/>
  <c r="G6" i="36"/>
  <c r="O21" i="3"/>
  <c r="P21" i="3" s="1"/>
  <c r="R21" i="3" s="1"/>
  <c r="O20" i="3"/>
  <c r="P20" i="3" s="1"/>
  <c r="R20" i="3" s="1"/>
  <c r="O23" i="3"/>
  <c r="P23" i="3" s="1"/>
  <c r="R23" i="3" s="1"/>
  <c r="O22" i="3"/>
  <c r="P22" i="3" s="1"/>
  <c r="R22" i="3" s="1"/>
  <c r="G25" i="3"/>
  <c r="H19" i="3"/>
  <c r="O19" i="3" s="1"/>
  <c r="P19" i="3" s="1"/>
  <c r="R19" i="3" s="1"/>
  <c r="E31" i="3" s="1"/>
  <c r="I6" i="36" l="1"/>
  <c r="E33" i="3"/>
  <c r="F33" i="3" s="1"/>
  <c r="H33" i="3" s="1"/>
  <c r="F33" i="6"/>
  <c r="H33" i="6" s="1"/>
  <c r="E35" i="3"/>
  <c r="F35" i="3" s="1"/>
  <c r="H35" i="3" s="1"/>
  <c r="F35" i="6"/>
  <c r="H35" i="6" s="1"/>
  <c r="E34" i="3"/>
  <c r="F34" i="3" s="1"/>
  <c r="H34" i="3" s="1"/>
  <c r="F34" i="6"/>
  <c r="H34" i="6" s="1"/>
  <c r="E32" i="3"/>
  <c r="F32" i="3" s="1"/>
  <c r="H32" i="3" s="1"/>
  <c r="F32" i="6"/>
  <c r="H32" i="6" s="1"/>
  <c r="H25" i="3"/>
  <c r="O25" i="3"/>
  <c r="N25" i="3"/>
  <c r="P25" i="3" l="1"/>
  <c r="F31" i="3" l="1"/>
  <c r="F31" i="6"/>
  <c r="E37" i="6"/>
  <c r="R25" i="3"/>
  <c r="H31" i="3" l="1"/>
  <c r="H37" i="3" s="1"/>
  <c r="D11" i="5" s="1"/>
  <c r="E37" i="3"/>
  <c r="F37" i="3"/>
  <c r="F37" i="6"/>
  <c r="H31" i="6"/>
  <c r="H37" i="6" s="1"/>
  <c r="D12" i="5" l="1"/>
  <c r="E11" i="5"/>
  <c r="E12" i="5" s="1"/>
  <c r="E15" i="5" s="1"/>
  <c r="D15" i="5" l="1"/>
  <c r="E17" i="5"/>
  <c r="E25" i="18"/>
  <c r="D20" i="18"/>
  <c r="F20" i="18"/>
  <c r="F25" i="18" s="1"/>
  <c r="D17" i="5" l="1"/>
  <c r="G20" i="18"/>
  <c r="N20" i="18" s="1"/>
  <c r="N25" i="18" s="1"/>
  <c r="G25" i="18" l="1"/>
  <c r="H20" i="18"/>
  <c r="O20" i="18" s="1"/>
  <c r="H25" i="18" l="1"/>
  <c r="O25" i="18"/>
  <c r="P20" i="18"/>
  <c r="P25" i="18" l="1"/>
  <c r="R20" i="18"/>
  <c r="R25" i="18" l="1"/>
  <c r="E32" i="18"/>
  <c r="F32" i="18" l="1"/>
  <c r="E37" i="18"/>
  <c r="F37" i="18" l="1"/>
  <c r="H32" i="18"/>
  <c r="H37" i="18" s="1"/>
  <c r="L11" i="5" s="1"/>
  <c r="L12" i="5" s="1"/>
  <c r="L15" i="5" l="1"/>
  <c r="Q12" i="5"/>
  <c r="L17" i="5" l="1"/>
  <c r="Q17" i="5" s="1"/>
  <c r="Q15" i="5"/>
  <c r="G7" i="36" s="1"/>
  <c r="I7" i="36" l="1"/>
  <c r="Q16" i="5"/>
  <c r="G8" i="36" s="1"/>
  <c r="Q19" i="5"/>
  <c r="Q24" i="5" s="1"/>
  <c r="E32" i="5" l="1"/>
  <c r="G32" i="5" s="1"/>
  <c r="E30" i="5"/>
  <c r="E33" i="5"/>
  <c r="G33" i="5" s="1"/>
  <c r="E31" i="5"/>
  <c r="G31" i="5" s="1"/>
  <c r="I8" i="36"/>
  <c r="G9" i="36"/>
  <c r="I9" i="36"/>
  <c r="I11" i="36" l="1"/>
  <c r="J11" i="36" s="1"/>
  <c r="J9" i="36"/>
  <c r="G30" i="5"/>
  <c r="E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2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2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B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B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B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B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D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D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D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D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E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E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E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E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E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6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6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7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7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7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8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8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8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8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9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9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9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0" shapeId="0" xr:uid="{00000000-0006-0000-0A00-000003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0" shapeId="0" xr:uid="{00000000-0006-0000-0A00-000005000000}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sharedStrings.xml><?xml version="1.0" encoding="utf-8"?>
<sst xmlns="http://schemas.openxmlformats.org/spreadsheetml/2006/main" count="1170" uniqueCount="141">
  <si>
    <t>Line Number</t>
  </si>
  <si>
    <t>Schedule</t>
  </si>
  <si>
    <t>Forecasted Period Calendar 2022</t>
  </si>
  <si>
    <t>Less: Costs Recovered Through a Forecasted  PRP in 2022</t>
  </si>
  <si>
    <t>Forecasted Base Revenue Requirements with PRP Revenue Requirement Removed</t>
  </si>
  <si>
    <t>Difference</t>
  </si>
  <si>
    <t>Cost of gas</t>
  </si>
  <si>
    <t>Operations &amp; maintenance expense</t>
  </si>
  <si>
    <t>Depreciation expense</t>
  </si>
  <si>
    <t>Taxes other than income taxes</t>
  </si>
  <si>
    <t>Return</t>
  </si>
  <si>
    <t>Income tax liability</t>
  </si>
  <si>
    <t>Total revenue requirements</t>
  </si>
  <si>
    <t>Revenues at present rates</t>
  </si>
  <si>
    <t>*</t>
  </si>
  <si>
    <t>Revenue deficiency</t>
  </si>
  <si>
    <t>* Amout included in revenue at present rates reflective of current PRP charges applied to test year billings.</t>
  </si>
  <si>
    <t>Delta Natural Gas Company, Inc.</t>
  </si>
  <si>
    <t>Pipe Replacement Program Filing</t>
  </si>
  <si>
    <r>
      <t xml:space="preserve">Program Year Ended: </t>
    </r>
    <r>
      <rPr>
        <b/>
        <u/>
        <sz val="11"/>
        <color theme="1"/>
        <rFont val="Calibri"/>
        <family val="2"/>
        <scheme val="minor"/>
      </rPr>
      <t>December 31, 2022</t>
    </r>
  </si>
  <si>
    <r>
      <t xml:space="preserve">Rates Effective: </t>
    </r>
    <r>
      <rPr>
        <b/>
        <u/>
        <sz val="11"/>
        <color theme="1"/>
        <rFont val="Calibri"/>
        <family val="2"/>
        <scheme val="minor"/>
      </rPr>
      <t>May 1, 2023</t>
    </r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</si>
  <si>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</si>
  <si>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</si>
  <si>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</si>
  <si>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</si>
  <si>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</si>
  <si>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</si>
  <si>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</si>
  <si>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</si>
  <si>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</si>
  <si>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</si>
  <si>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</si>
  <si>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</si>
  <si>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</si>
  <si>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</t>
  </si>
  <si>
    <t>Total annual expenditures under the PRP (Schedule II)</t>
  </si>
  <si>
    <t>Less:</t>
  </si>
  <si>
    <t>Accumulated depreciation</t>
  </si>
  <si>
    <t>Accumulated deferred income taxes</t>
  </si>
  <si>
    <t>Net PRP Rate Base, as of December 31, 2022</t>
  </si>
  <si>
    <t>WACOC, per case no 2010-00116</t>
  </si>
  <si>
    <t>Allowed Return</t>
  </si>
  <si>
    <t>Tax expansion factor, w PSC (per Case No. 2010-00116)</t>
  </si>
  <si>
    <t>Return, grossed up for income taxes</t>
  </si>
  <si>
    <t>Cost of Service Items (Schedule III)</t>
  </si>
  <si>
    <t>Current Year PRP Adjustment</t>
  </si>
  <si>
    <t>Balancing Adjustment</t>
  </si>
  <si>
    <t>Prior Year PRP Adjustment</t>
  </si>
  <si>
    <t>Less: Actual Collections of Prior Year PRP Adjustment May 2022 through February 2023</t>
  </si>
  <si>
    <t>Less: Estimated Collections March 2023 and April 2023</t>
  </si>
  <si>
    <t>Total PRP Adjustment</t>
  </si>
  <si>
    <t>Average</t>
  </si>
  <si>
    <t># of Customers</t>
  </si>
  <si>
    <t>Calculated Net Revenue</t>
  </si>
  <si>
    <t>Allocated</t>
  </si>
  <si>
    <t>for the 12 months</t>
  </si>
  <si>
    <t>Monthly</t>
  </si>
  <si>
    <t>@ Proposed Rates</t>
  </si>
  <si>
    <t>Class</t>
  </si>
  <si>
    <t>PRP</t>
  </si>
  <si>
    <t>ended</t>
  </si>
  <si>
    <t>in Case No. 2021-00185</t>
  </si>
  <si>
    <t>Allocation</t>
  </si>
  <si>
    <t>Adjustment</t>
  </si>
  <si>
    <t>December 31, 2022</t>
  </si>
  <si>
    <t>Rate</t>
  </si>
  <si>
    <t>Residential</t>
  </si>
  <si>
    <t>Small Non-Residential</t>
  </si>
  <si>
    <t>Large Non-Residential</t>
  </si>
  <si>
    <t>Interruptible</t>
  </si>
  <si>
    <t xml:space="preserve">Calendar Year </t>
  </si>
  <si>
    <t xml:space="preserve"> </t>
  </si>
  <si>
    <t>PRP Worksheet</t>
  </si>
  <si>
    <t>A</t>
  </si>
  <si>
    <t>Book Depr</t>
  </si>
  <si>
    <t xml:space="preserve"> Book Depreciation Reserve</t>
  </si>
  <si>
    <t>Book</t>
  </si>
  <si>
    <t>Year</t>
  </si>
  <si>
    <t>Depreciation</t>
  </si>
  <si>
    <t>Net Book</t>
  </si>
  <si>
    <t>COR</t>
  </si>
  <si>
    <t>Investment</t>
  </si>
  <si>
    <t>Beginning</t>
  </si>
  <si>
    <t>Expense</t>
  </si>
  <si>
    <t>Ending</t>
  </si>
  <si>
    <t>Value</t>
  </si>
  <si>
    <t>Depr</t>
  </si>
  <si>
    <t>Distribution Mains</t>
  </si>
  <si>
    <t>Transmission Mains</t>
  </si>
  <si>
    <t>Services</t>
  </si>
  <si>
    <t>Gathering Lines</t>
  </si>
  <si>
    <t>Storage Lines</t>
  </si>
  <si>
    <t>Cost of Removal</t>
  </si>
  <si>
    <t>various</t>
  </si>
  <si>
    <t>Qualifying Tax</t>
  </si>
  <si>
    <t>MACRS</t>
  </si>
  <si>
    <t>Tax Depreciation Reserve</t>
  </si>
  <si>
    <t>Tax</t>
  </si>
  <si>
    <t>Bonus</t>
  </si>
  <si>
    <t>Depreciable</t>
  </si>
  <si>
    <t>YEAR</t>
  </si>
  <si>
    <t>Percentage</t>
  </si>
  <si>
    <t>Additions</t>
  </si>
  <si>
    <t>Base</t>
  </si>
  <si>
    <t>Tax Life</t>
  </si>
  <si>
    <t>NA</t>
  </si>
  <si>
    <t xml:space="preserve">Cumulative </t>
  </si>
  <si>
    <t>Net Book Value</t>
  </si>
  <si>
    <t>Timing</t>
  </si>
  <si>
    <t>Statutory</t>
  </si>
  <si>
    <t>Deferred</t>
  </si>
  <si>
    <t>Income Taxes</t>
  </si>
  <si>
    <t>Depreciation rate for lines 1-5 exclude cost of removal rate. Provision for cost of removal on PRP assets is reflected on line 6.</t>
  </si>
  <si>
    <t xml:space="preserve">                    -  </t>
  </si>
  <si>
    <t>B</t>
  </si>
  <si>
    <t>In December, 2017, tax law was enacted to reduce the federal corporate income tax rate to 21%.</t>
  </si>
  <si>
    <t>Delta remeasured its deferred income taxes using the 21% federal rate as of December 31, 2017, including deferred taxes on PRP assets.</t>
  </si>
  <si>
    <t xml:space="preserve">The reduction in deferred taxes is being returned to customers through Case No. 2018-00040. </t>
  </si>
  <si>
    <t xml:space="preserve">PRP assets for years subsequent to 2017 have been measured at the reduced tax rate. </t>
  </si>
  <si>
    <t>In December, 2017, tax law was enacted to reduce the federal corporate income tax rate to 21%. (See effective tax rate calculation below.)</t>
  </si>
  <si>
    <t>Effective Tax Rate Calculation</t>
  </si>
  <si>
    <t>Statutory federal income tax rate</t>
  </si>
  <si>
    <t>State income taxes, net of federal benefit</t>
  </si>
  <si>
    <t xml:space="preserve">Effective income tax rate </t>
  </si>
  <si>
    <t xml:space="preserve">Year 1 for PRP assets assumes a half year of depreciation expense. </t>
  </si>
  <si>
    <t>Schedule III</t>
  </si>
  <si>
    <t>Cost of Service Impact from PRP</t>
  </si>
  <si>
    <t>Increased depreciation expense (Schedule II)</t>
  </si>
  <si>
    <t>Operating expense reductions</t>
  </si>
  <si>
    <t>Maintenance of Transmission and Distribution Mains, per Case 2010-0116</t>
  </si>
  <si>
    <t>Current Year Actual Expense</t>
  </si>
  <si>
    <t>Decrease in Operating Expense</t>
  </si>
  <si>
    <t>Increased property tax expense</t>
  </si>
  <si>
    <t>December 31, 2021</t>
  </si>
  <si>
    <t>Net Book Value, PSC Report Page 110</t>
  </si>
  <si>
    <t>2022 Property Tax Expense</t>
  </si>
  <si>
    <t>Average ad valorem tax rate</t>
  </si>
  <si>
    <t>PRP Net Book Value</t>
  </si>
  <si>
    <t>PRP Property Tax</t>
  </si>
  <si>
    <t>Total increased cost of service</t>
  </si>
  <si>
    <t>Property tax expense for current year is based on plant balances at the end of the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</si>
</sst>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%"/>
    <numFmt numFmtId="168" formatCode="_(* #,##0.00000_);_(* \(#,##0.00000\);_(* &quot;-&quot;??_);_(@_)"/>
    <numFmt numFmtId="169" formatCode="0.00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u val="singleAccounting"/>
      <sz val="11"/>
      <name val="Times New Roman"/>
      <family val="1"/>
    </font>
    <font>
      <sz val="11"/>
      <name val="Times New Roman"/>
      <family val="1"/>
    </font>
    <font>
      <u val="doubleAccounting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0">
    <xf numFmtId="0" fontId="0" fillId="0" borderId="0" xfId="0"/>
    <xf numFmtId="169" fontId="0" fillId="0" borderId="0" xfId="2" applyNumberFormat="1" applyFont="1"/>
    <xf numFmtId="10" fontId="4" fillId="0" borderId="0" xfId="0" applyNumberFormat="1" applyFont="1" applyFill="1"/>
    <xf numFmtId="164" fontId="4" fillId="0" borderId="1" xfId="1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0" fillId="0" borderId="0" xfId="2" applyNumberFormat="1" applyFont="1" applyFill="1"/>
    <xf numFmtId="0" fontId="9" fillId="0" borderId="0" xfId="0" applyFont="1" applyFill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0" fillId="0" borderId="0" xfId="3" applyNumberFormat="1" applyFont="1" applyFill="1"/>
    <xf numFmtId="164" fontId="0" fillId="0" borderId="0" xfId="1" applyNumberFormat="1" applyFont="1" applyFill="1"/>
    <xf numFmtId="0" fontId="0" fillId="0" borderId="0" xfId="0" applyFill="1"/>
    <xf numFmtId="0" fontId="0" fillId="0" borderId="0" xfId="0" applyFill="1" applyBorder="1"/>
    <xf numFmtId="164" fontId="0" fillId="0" borderId="1" xfId="1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0" fontId="0" fillId="0" borderId="1" xfId="2" applyNumberFormat="1" applyFont="1" applyFill="1" applyBorder="1"/>
    <xf numFmtId="0" fontId="0" fillId="0" borderId="0" xfId="0" applyFill="1"/>
    <xf numFmtId="0" fontId="2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165" fontId="0" fillId="0" borderId="1" xfId="1" applyNumberFormat="1" applyFont="1" applyFill="1" applyBorder="1" applyAlignment="1">
      <alignment vertical="center"/>
    </xf>
    <xf numFmtId="165" fontId="2" fillId="0" borderId="0" xfId="3" applyNumberFormat="1" applyFont="1" applyFill="1" applyAlignment="1">
      <alignment vertical="center"/>
    </xf>
    <xf numFmtId="164" fontId="1" fillId="0" borderId="0" xfId="1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165" fontId="0" fillId="0" borderId="0" xfId="0" applyNumberForma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165" fontId="4" fillId="0" borderId="0" xfId="3" applyNumberFormat="1" applyFont="1" applyFill="1" applyAlignment="1">
      <alignment vertical="center"/>
    </xf>
    <xf numFmtId="166" fontId="0" fillId="0" borderId="0" xfId="2" applyNumberFormat="1" applyFont="1" applyFill="1" applyAlignment="1">
      <alignment vertical="center"/>
    </xf>
    <xf numFmtId="44" fontId="0" fillId="0" borderId="0" xfId="0" applyNumberFormat="1" applyFill="1" applyBorder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166" fontId="0" fillId="0" borderId="1" xfId="2" applyNumberFormat="1" applyFont="1" applyFill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9" fontId="3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9" fontId="0" fillId="0" borderId="0" xfId="0" applyNumberForma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6" fontId="8" fillId="0" borderId="0" xfId="0" applyNumberFormat="1" applyFont="1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43" fontId="0" fillId="0" borderId="1" xfId="0" applyNumberForma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0" fillId="0" borderId="0" xfId="0" applyNumberFormat="1" applyFill="1" applyAlignment="1">
      <alignment vertical="center"/>
    </xf>
    <xf numFmtId="10" fontId="4" fillId="0" borderId="0" xfId="0" applyNumberFormat="1" applyFont="1" applyFill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0" xfId="0"/>
    <xf numFmtId="0" fontId="10" fillId="0" borderId="0" xfId="0" applyFont="1"/>
    <xf numFmtId="10" fontId="0" fillId="0" borderId="0" xfId="2" applyNumberFormat="1" applyFont="1"/>
    <xf numFmtId="10" fontId="0" fillId="0" borderId="1" xfId="2" applyNumberFormat="1" applyFont="1" applyBorder="1"/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165" fontId="0" fillId="0" borderId="1" xfId="3" applyNumberFormat="1" applyFont="1" applyFill="1" applyBorder="1" applyAlignment="1">
      <alignment vertical="center"/>
    </xf>
    <xf numFmtId="15" fontId="0" fillId="0" borderId="0" xfId="0" quotePrefix="1" applyNumberFormat="1" applyFont="1" applyFill="1" applyAlignment="1">
      <alignment vertical="center"/>
    </xf>
    <xf numFmtId="169" fontId="0" fillId="0" borderId="0" xfId="2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69" fontId="0" fillId="0" borderId="0" xfId="0" applyNumberFormat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67" fontId="0" fillId="0" borderId="1" xfId="2" applyNumberFormat="1" applyFont="1" applyFill="1" applyBorder="1" applyAlignment="1">
      <alignment vertical="center"/>
    </xf>
    <xf numFmtId="168" fontId="0" fillId="0" borderId="1" xfId="1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165" fontId="1" fillId="0" borderId="0" xfId="3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0" fillId="0" borderId="0" xfId="0" applyNumberFormat="1" applyFill="1" applyAlignment="1">
      <alignment vertical="center"/>
    </xf>
    <xf numFmtId="10" fontId="0" fillId="0" borderId="0" xfId="2" applyNumberFormat="1" applyFont="1" applyFill="1" applyAlignment="1">
      <alignment vertical="center"/>
    </xf>
    <xf numFmtId="165" fontId="0" fillId="0" borderId="0" xfId="3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3" fillId="0" borderId="0" xfId="1" applyNumberFormat="1" applyFont="1" applyFill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44" fontId="0" fillId="0" borderId="0" xfId="3" applyFont="1" applyFill="1" applyAlignment="1">
      <alignment vertical="center"/>
    </xf>
    <xf numFmtId="0" fontId="14" fillId="0" borderId="0" xfId="4" applyFont="1" applyAlignment="1">
      <alignment horizontal="center" wrapText="1"/>
    </xf>
    <xf numFmtId="0" fontId="14" fillId="0" borderId="0" xfId="4" applyFont="1" applyAlignment="1">
      <alignment horizontal="center"/>
    </xf>
    <xf numFmtId="0" fontId="14" fillId="0" borderId="0" xfId="4" applyFont="1"/>
    <xf numFmtId="0" fontId="14" fillId="2" borderId="0" xfId="4" applyFont="1" applyFill="1" applyAlignment="1">
      <alignment horizontal="center"/>
    </xf>
    <xf numFmtId="165" fontId="14" fillId="0" borderId="0" xfId="3" applyNumberFormat="1" applyFont="1" applyFill="1"/>
    <xf numFmtId="165" fontId="14" fillId="0" borderId="0" xfId="4" applyNumberFormat="1" applyFont="1"/>
    <xf numFmtId="164" fontId="14" fillId="0" borderId="0" xfId="5" applyNumberFormat="1" applyFont="1" applyFill="1"/>
    <xf numFmtId="164" fontId="14" fillId="0" borderId="0" xfId="5" applyNumberFormat="1" applyFont="1"/>
    <xf numFmtId="164" fontId="13" fillId="0" borderId="0" xfId="5" applyNumberFormat="1" applyFont="1" applyFill="1"/>
    <xf numFmtId="166" fontId="14" fillId="0" borderId="0" xfId="6" applyNumberFormat="1" applyFont="1" applyFill="1"/>
    <xf numFmtId="165" fontId="14" fillId="0" borderId="0" xfId="3" applyNumberFormat="1" applyFont="1"/>
    <xf numFmtId="164" fontId="14" fillId="0" borderId="0" xfId="4" applyNumberFormat="1" applyFont="1"/>
    <xf numFmtId="165" fontId="15" fillId="0" borderId="0" xfId="3" applyNumberFormat="1" applyFont="1" applyFill="1"/>
    <xf numFmtId="164" fontId="15" fillId="0" borderId="0" xfId="5" applyNumberFormat="1" applyFont="1" applyFill="1"/>
    <xf numFmtId="10" fontId="15" fillId="0" borderId="0" xfId="6" applyNumberFormat="1" applyFont="1" applyFill="1"/>
    <xf numFmtId="10" fontId="0" fillId="0" borderId="0" xfId="2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164" fontId="14" fillId="0" borderId="3" xfId="5" applyNumberFormat="1" applyFont="1" applyFill="1" applyBorder="1" applyAlignment="1">
      <alignment horizontal="center" wrapText="1"/>
    </xf>
    <xf numFmtId="43" fontId="14" fillId="0" borderId="3" xfId="5" applyFont="1" applyFill="1" applyBorder="1" applyAlignment="1">
      <alignment horizontal="center" wrapText="1"/>
    </xf>
    <xf numFmtId="43" fontId="13" fillId="0" borderId="3" xfId="5" applyFont="1" applyFill="1" applyBorder="1" applyAlignment="1">
      <alignment horizontal="center" wrapText="1"/>
    </xf>
  </cellXfs>
  <cellStyles count="7">
    <cellStyle name="Comma" xfId="1" builtinId="3"/>
    <cellStyle name="Comma 2" xfId="5" xr:uid="{00000000-0005-0000-0000-000001000000}"/>
    <cellStyle name="Currency" xfId="3" builtinId="4"/>
    <cellStyle name="Normal" xfId="0" builtinId="0"/>
    <cellStyle name="Normal 2" xfId="4" xr:uid="{00000000-0005-0000-0000-000004000000}"/>
    <cellStyle name="Percent" xfId="2" builtinId="5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33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59" Type="http://schemas.openxmlformats.org/officeDocument/2006/relationships/customXml" Target="../customXml/item3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Rate%20Case/2008/Class%20Cost%20of%20Service/Sep%2012.%202008/Demand.Commodity%20Stu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rate/CMD/ratecase/1995/EXH10.WK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16\Schedules\Schedule%20M%20(Revenues)\Sch%20M%20-%20Revenue%20and%20Rate%20Design%20(Forecasted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ischerRCC/Documents/(Final)%20-%20CKY%20Cost%20of%20Service%20Schedules%20A%20-%20K%20(Base%20Period%20TME%208-31-16,%20Forecast%20Period%20TME%2012-31-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65791/Local%20Settings/Temporary%20Internet%20Files/Content.Outlook/PQT8T9TM/Schedule%20C%20&amp;%20D%20-%20Operating%20Income/Sch%20C%20&amp;%20D%20-%20Operating%20Income%20Forecas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09/Rate%20Case%20Schedules/Base/Schedule%20C%20-%20Operating%20Income/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aylor/LOCALS~1/Temp/notesC9812B/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Documents%20and%20Settings\guajpae1\Local%20Settings\Temporary%20Internet%20Files\OLK17\03%202005%20StorageClosePackag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ttfs01\data\Users\cmachesney\AppData\Local\Microsoft\Windows\Temporary%20Internet%20Files\Content.Outlook\BE4EFS30\Plant%20D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21726/AppData/Local/Temp/notesC9812B/CMD%202013%20Rate%20Case%20-%20Cost%20of%20Serv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CASE/2006%20Rate%20Case%20TME%2012-31-05,%20Proforma%209-30-06/Revenue/TS1&amp;TS2splitworksheet-2005-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/>
      <sheetData sheetId="2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M9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VMAstsumry"/>
      <sheetName val="Exectutive Summry vs. GL"/>
      <sheetName val="ACTIVITY TIE OUT"/>
      <sheetName val="Working Gas Storage Position"/>
      <sheetName val="BOOK 0503"/>
      <sheetName val="storgvol_smrypricing_GL"/>
      <sheetName val="DSAR"/>
      <sheetName val="summary by source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A6">
            <v>1</v>
          </cell>
          <cell r="B6">
            <v>76</v>
          </cell>
          <cell r="C6">
            <v>-96</v>
          </cell>
          <cell r="D6">
            <v>0</v>
          </cell>
          <cell r="E6">
            <v>-191</v>
          </cell>
          <cell r="F6">
            <v>0</v>
          </cell>
          <cell r="G6">
            <v>-89</v>
          </cell>
          <cell r="H6">
            <v>-104</v>
          </cell>
          <cell r="I6">
            <v>-49</v>
          </cell>
          <cell r="J6">
            <v>-100</v>
          </cell>
          <cell r="K6">
            <v>-32</v>
          </cell>
          <cell r="L6">
            <v>-16</v>
          </cell>
          <cell r="M6">
            <v>-414</v>
          </cell>
          <cell r="P6">
            <v>-1015</v>
          </cell>
          <cell r="S6">
            <v>-601.89285714285711</v>
          </cell>
          <cell r="T6">
            <v>-1015</v>
          </cell>
          <cell r="U6">
            <v>-750</v>
          </cell>
          <cell r="V6">
            <v>-601.89285714285711</v>
          </cell>
          <cell r="W6">
            <v>-374</v>
          </cell>
          <cell r="X6">
            <v>-405</v>
          </cell>
          <cell r="Y6">
            <v>-317.07142857142856</v>
          </cell>
          <cell r="AA6">
            <v>0</v>
          </cell>
          <cell r="AB6">
            <v>-12.178571428571429</v>
          </cell>
          <cell r="AF6">
            <v>0</v>
          </cell>
          <cell r="AG6">
            <v>2.6428571428571428</v>
          </cell>
          <cell r="AL6">
            <v>-287</v>
          </cell>
          <cell r="AM6">
            <v>-345</v>
          </cell>
          <cell r="AN6">
            <v>-275.28571428571428</v>
          </cell>
          <cell r="AR6">
            <v>-661</v>
          </cell>
          <cell r="AS6">
            <v>-750</v>
          </cell>
          <cell r="AT6">
            <v>-592.35714285714289</v>
          </cell>
          <cell r="AV6">
            <v>-16.321428571428573</v>
          </cell>
          <cell r="AW6">
            <v>-74.857142857142861</v>
          </cell>
          <cell r="AX6">
            <v>-90.678571428571431</v>
          </cell>
          <cell r="AY6">
            <v>-73.642857142857139</v>
          </cell>
          <cell r="AZ6">
            <v>-27.071428571428573</v>
          </cell>
          <cell r="BA6">
            <v>-34.5</v>
          </cell>
          <cell r="BB6">
            <v>-212.03571428571428</v>
          </cell>
          <cell r="BC6">
            <v>1.5</v>
          </cell>
          <cell r="BD6">
            <v>-59.5</v>
          </cell>
          <cell r="BE6">
            <v>-5.25</v>
          </cell>
          <cell r="BJ6">
            <v>-15</v>
          </cell>
          <cell r="BK6">
            <v>-110</v>
          </cell>
          <cell r="BL6">
            <v>-100</v>
          </cell>
          <cell r="BM6">
            <v>-100</v>
          </cell>
          <cell r="BN6">
            <v>-35</v>
          </cell>
          <cell r="BO6">
            <v>-45</v>
          </cell>
          <cell r="BP6">
            <v>-225</v>
          </cell>
          <cell r="BQ6">
            <v>-40</v>
          </cell>
          <cell r="BR6">
            <v>-80</v>
          </cell>
          <cell r="BS6">
            <v>0</v>
          </cell>
          <cell r="BY6">
            <v>-0.60189285714285712</v>
          </cell>
          <cell r="CB6">
            <v>-1.0149999999999999</v>
          </cell>
          <cell r="CD6">
            <v>-0.60189285714285712</v>
          </cell>
        </row>
        <row r="7">
          <cell r="A7">
            <v>2</v>
          </cell>
          <cell r="B7">
            <v>-33</v>
          </cell>
          <cell r="C7">
            <v>-90</v>
          </cell>
          <cell r="D7">
            <v>-17</v>
          </cell>
          <cell r="E7">
            <v>-151</v>
          </cell>
          <cell r="F7">
            <v>0</v>
          </cell>
          <cell r="G7">
            <v>-111</v>
          </cell>
          <cell r="H7">
            <v>-105</v>
          </cell>
          <cell r="I7">
            <v>-45</v>
          </cell>
          <cell r="J7">
            <v>-97</v>
          </cell>
          <cell r="K7">
            <v>-37</v>
          </cell>
          <cell r="L7">
            <v>-33</v>
          </cell>
          <cell r="M7">
            <v>-706</v>
          </cell>
          <cell r="P7">
            <v>-1425</v>
          </cell>
          <cell r="S7">
            <v>-601.89285714285711</v>
          </cell>
          <cell r="T7">
            <v>-1425</v>
          </cell>
          <cell r="U7">
            <v>-750</v>
          </cell>
          <cell r="V7">
            <v>-601.89285714285711</v>
          </cell>
          <cell r="W7">
            <v>-395</v>
          </cell>
          <cell r="X7">
            <v>-405</v>
          </cell>
          <cell r="Y7">
            <v>-317.07142857142856</v>
          </cell>
          <cell r="AA7">
            <v>0</v>
          </cell>
          <cell r="AB7">
            <v>-12.178571428571429</v>
          </cell>
          <cell r="AF7">
            <v>0</v>
          </cell>
          <cell r="AG7">
            <v>2.6428571428571428</v>
          </cell>
          <cell r="AL7">
            <v>-258</v>
          </cell>
          <cell r="AM7">
            <v>-345</v>
          </cell>
          <cell r="AN7">
            <v>-275.28571428571428</v>
          </cell>
          <cell r="AR7">
            <v>-653</v>
          </cell>
          <cell r="AS7">
            <v>-750</v>
          </cell>
          <cell r="AT7">
            <v>-592.35714285714289</v>
          </cell>
          <cell r="AV7">
            <v>-16.321428571428573</v>
          </cell>
          <cell r="AW7">
            <v>-74.857142857142861</v>
          </cell>
          <cell r="AX7">
            <v>-90.678571428571431</v>
          </cell>
          <cell r="AY7">
            <v>-73.642857142857139</v>
          </cell>
          <cell r="AZ7">
            <v>-27.071428571428573</v>
          </cell>
          <cell r="BA7">
            <v>-34.5</v>
          </cell>
          <cell r="BB7">
            <v>-212.03571428571428</v>
          </cell>
          <cell r="BC7">
            <v>1.5</v>
          </cell>
          <cell r="BD7">
            <v>-59.5</v>
          </cell>
          <cell r="BE7">
            <v>-5.25</v>
          </cell>
          <cell r="BJ7">
            <v>-15</v>
          </cell>
          <cell r="BK7">
            <v>-110</v>
          </cell>
          <cell r="BL7">
            <v>-100</v>
          </cell>
          <cell r="BM7">
            <v>-100</v>
          </cell>
          <cell r="BN7">
            <v>-35</v>
          </cell>
          <cell r="BO7">
            <v>-45</v>
          </cell>
          <cell r="BP7">
            <v>-225</v>
          </cell>
          <cell r="BQ7">
            <v>-40</v>
          </cell>
          <cell r="BR7">
            <v>-80</v>
          </cell>
          <cell r="BS7">
            <v>0</v>
          </cell>
          <cell r="BY7">
            <v>-1.2037857142857142</v>
          </cell>
          <cell r="CB7">
            <v>-2.44</v>
          </cell>
          <cell r="CD7">
            <v>-1.2037857142857142</v>
          </cell>
        </row>
        <row r="8">
          <cell r="A8">
            <v>3</v>
          </cell>
          <cell r="B8">
            <v>-30</v>
          </cell>
          <cell r="C8">
            <v>-84</v>
          </cell>
          <cell r="D8">
            <v>0</v>
          </cell>
          <cell r="E8">
            <v>-163</v>
          </cell>
          <cell r="F8">
            <v>0</v>
          </cell>
          <cell r="G8">
            <v>-33</v>
          </cell>
          <cell r="H8">
            <v>-105</v>
          </cell>
          <cell r="I8">
            <v>-28</v>
          </cell>
          <cell r="J8">
            <v>-86</v>
          </cell>
          <cell r="K8">
            <v>-11</v>
          </cell>
          <cell r="L8">
            <v>0</v>
          </cell>
          <cell r="M8">
            <v>-528</v>
          </cell>
          <cell r="P8">
            <v>-1068</v>
          </cell>
          <cell r="S8">
            <v>-601.89285714285711</v>
          </cell>
          <cell r="T8">
            <v>-1068</v>
          </cell>
          <cell r="U8">
            <v>-750</v>
          </cell>
          <cell r="V8">
            <v>-601.89285714285711</v>
          </cell>
          <cell r="W8">
            <v>-263</v>
          </cell>
          <cell r="X8">
            <v>-405</v>
          </cell>
          <cell r="Y8">
            <v>-317.07142857142856</v>
          </cell>
          <cell r="AA8">
            <v>0</v>
          </cell>
          <cell r="AB8">
            <v>-12.178571428571429</v>
          </cell>
          <cell r="AF8">
            <v>0</v>
          </cell>
          <cell r="AG8">
            <v>2.6428571428571428</v>
          </cell>
          <cell r="AL8">
            <v>-247</v>
          </cell>
          <cell r="AM8">
            <v>-345</v>
          </cell>
          <cell r="AN8">
            <v>-275.28571428571428</v>
          </cell>
          <cell r="AR8">
            <v>-510</v>
          </cell>
          <cell r="AS8">
            <v>-750</v>
          </cell>
          <cell r="AT8">
            <v>-592.35714285714289</v>
          </cell>
          <cell r="AV8">
            <v>-16.321428571428573</v>
          </cell>
          <cell r="AW8">
            <v>-74.857142857142861</v>
          </cell>
          <cell r="AX8">
            <v>-90.678571428571431</v>
          </cell>
          <cell r="AY8">
            <v>-73.642857142857139</v>
          </cell>
          <cell r="AZ8">
            <v>-27.071428571428573</v>
          </cell>
          <cell r="BA8">
            <v>-34.5</v>
          </cell>
          <cell r="BB8">
            <v>-212.03571428571428</v>
          </cell>
          <cell r="BC8">
            <v>1.5</v>
          </cell>
          <cell r="BD8">
            <v>-59.5</v>
          </cell>
          <cell r="BE8">
            <v>-5.25</v>
          </cell>
          <cell r="BJ8">
            <v>-15</v>
          </cell>
          <cell r="BK8">
            <v>-110</v>
          </cell>
          <cell r="BL8">
            <v>-100</v>
          </cell>
          <cell r="BM8">
            <v>-100</v>
          </cell>
          <cell r="BN8">
            <v>-35</v>
          </cell>
          <cell r="BO8">
            <v>-45</v>
          </cell>
          <cell r="BP8">
            <v>-225</v>
          </cell>
          <cell r="BQ8">
            <v>-40</v>
          </cell>
          <cell r="BR8">
            <v>-80</v>
          </cell>
          <cell r="BS8">
            <v>0</v>
          </cell>
          <cell r="BY8">
            <v>-1.8056785714285715</v>
          </cell>
          <cell r="CB8">
            <v>-3.508</v>
          </cell>
          <cell r="CD8">
            <v>-1.8056785714285715</v>
          </cell>
        </row>
        <row r="9">
          <cell r="A9">
            <v>4</v>
          </cell>
          <cell r="B9">
            <v>-60</v>
          </cell>
          <cell r="C9">
            <v>-52</v>
          </cell>
          <cell r="D9">
            <v>0</v>
          </cell>
          <cell r="E9">
            <v>0</v>
          </cell>
          <cell r="F9">
            <v>0</v>
          </cell>
          <cell r="G9">
            <v>-12</v>
          </cell>
          <cell r="H9">
            <v>-105</v>
          </cell>
          <cell r="I9">
            <v>0</v>
          </cell>
          <cell r="J9">
            <v>-98</v>
          </cell>
          <cell r="K9">
            <v>-4</v>
          </cell>
          <cell r="L9">
            <v>90</v>
          </cell>
          <cell r="M9">
            <v>-67</v>
          </cell>
          <cell r="P9">
            <v>-308</v>
          </cell>
          <cell r="S9">
            <v>-601.89285714285711</v>
          </cell>
          <cell r="T9">
            <v>-308</v>
          </cell>
          <cell r="U9">
            <v>-750</v>
          </cell>
          <cell r="V9">
            <v>-601.89285714285711</v>
          </cell>
          <cell r="W9">
            <v>-219</v>
          </cell>
          <cell r="X9">
            <v>-405</v>
          </cell>
          <cell r="Y9">
            <v>-317.07142857142856</v>
          </cell>
          <cell r="AA9">
            <v>0</v>
          </cell>
          <cell r="AB9">
            <v>-12.178571428571429</v>
          </cell>
          <cell r="AF9">
            <v>0</v>
          </cell>
          <cell r="AG9">
            <v>2.6428571428571428</v>
          </cell>
          <cell r="AL9">
            <v>-52</v>
          </cell>
          <cell r="AM9">
            <v>-345</v>
          </cell>
          <cell r="AN9">
            <v>-275.28571428571428</v>
          </cell>
          <cell r="AR9">
            <v>-271</v>
          </cell>
          <cell r="AS9">
            <v>-750</v>
          </cell>
          <cell r="AT9">
            <v>-592.35714285714289</v>
          </cell>
          <cell r="AV9">
            <v>-16.321428571428573</v>
          </cell>
          <cell r="AW9">
            <v>-74.857142857142861</v>
          </cell>
          <cell r="AX9">
            <v>-90.678571428571431</v>
          </cell>
          <cell r="AY9">
            <v>-73.642857142857139</v>
          </cell>
          <cell r="AZ9">
            <v>-27.071428571428573</v>
          </cell>
          <cell r="BA9">
            <v>-34.5</v>
          </cell>
          <cell r="BB9">
            <v>-212.03571428571428</v>
          </cell>
          <cell r="BC9">
            <v>1.5</v>
          </cell>
          <cell r="BD9">
            <v>-59.5</v>
          </cell>
          <cell r="BE9">
            <v>-5.25</v>
          </cell>
          <cell r="BJ9">
            <v>-15</v>
          </cell>
          <cell r="BK9">
            <v>-110</v>
          </cell>
          <cell r="BL9">
            <v>-100</v>
          </cell>
          <cell r="BM9">
            <v>-100</v>
          </cell>
          <cell r="BN9">
            <v>-35</v>
          </cell>
          <cell r="BO9">
            <v>-45</v>
          </cell>
          <cell r="BP9">
            <v>-225</v>
          </cell>
          <cell r="BQ9">
            <v>-40</v>
          </cell>
          <cell r="BR9">
            <v>-80</v>
          </cell>
          <cell r="BS9">
            <v>0</v>
          </cell>
          <cell r="BY9">
            <v>-2.4075714285714285</v>
          </cell>
          <cell r="CB9">
            <v>-3.8159999999999998</v>
          </cell>
          <cell r="CD9">
            <v>-2.4075714285714285</v>
          </cell>
        </row>
        <row r="10">
          <cell r="A10">
            <v>5</v>
          </cell>
          <cell r="B10">
            <v>12</v>
          </cell>
          <cell r="C10">
            <v>-28</v>
          </cell>
          <cell r="D10">
            <v>46</v>
          </cell>
          <cell r="E10">
            <v>0</v>
          </cell>
          <cell r="F10">
            <v>0</v>
          </cell>
          <cell r="G10">
            <v>0</v>
          </cell>
          <cell r="H10">
            <v>-105</v>
          </cell>
          <cell r="I10">
            <v>-1</v>
          </cell>
          <cell r="J10">
            <v>-38</v>
          </cell>
          <cell r="K10">
            <v>0</v>
          </cell>
          <cell r="L10">
            <v>225</v>
          </cell>
          <cell r="M10">
            <v>129</v>
          </cell>
          <cell r="P10">
            <v>240</v>
          </cell>
          <cell r="S10">
            <v>-601.89285714285711</v>
          </cell>
          <cell r="T10">
            <v>240</v>
          </cell>
          <cell r="U10">
            <v>-750</v>
          </cell>
          <cell r="V10">
            <v>-601.89285714285711</v>
          </cell>
          <cell r="W10">
            <v>-144</v>
          </cell>
          <cell r="X10">
            <v>-405</v>
          </cell>
          <cell r="Y10">
            <v>-317.07142857142856</v>
          </cell>
          <cell r="AA10">
            <v>0</v>
          </cell>
          <cell r="AB10">
            <v>-12.178571428571429</v>
          </cell>
          <cell r="AF10">
            <v>0</v>
          </cell>
          <cell r="AG10">
            <v>2.6428571428571428</v>
          </cell>
          <cell r="AL10">
            <v>18</v>
          </cell>
          <cell r="AM10">
            <v>-345</v>
          </cell>
          <cell r="AN10">
            <v>-275.28571428571428</v>
          </cell>
          <cell r="AR10">
            <v>-126</v>
          </cell>
          <cell r="AS10">
            <v>-750</v>
          </cell>
          <cell r="AT10">
            <v>-592.35714285714289</v>
          </cell>
          <cell r="AV10">
            <v>-16.321428571428573</v>
          </cell>
          <cell r="AW10">
            <v>-74.857142857142861</v>
          </cell>
          <cell r="AX10">
            <v>-90.678571428571431</v>
          </cell>
          <cell r="AY10">
            <v>-73.642857142857139</v>
          </cell>
          <cell r="AZ10">
            <v>-27.071428571428573</v>
          </cell>
          <cell r="BA10">
            <v>-34.5</v>
          </cell>
          <cell r="BB10">
            <v>-212.03571428571428</v>
          </cell>
          <cell r="BC10">
            <v>1.5</v>
          </cell>
          <cell r="BD10">
            <v>-59.5</v>
          </cell>
          <cell r="BE10">
            <v>-5.25</v>
          </cell>
          <cell r="BJ10">
            <v>-15</v>
          </cell>
          <cell r="BK10">
            <v>-110</v>
          </cell>
          <cell r="BL10">
            <v>-100</v>
          </cell>
          <cell r="BM10">
            <v>-100</v>
          </cell>
          <cell r="BN10">
            <v>-35</v>
          </cell>
          <cell r="BO10">
            <v>-45</v>
          </cell>
          <cell r="BP10">
            <v>-225</v>
          </cell>
          <cell r="BQ10">
            <v>-40</v>
          </cell>
          <cell r="BR10">
            <v>-80</v>
          </cell>
          <cell r="BS10">
            <v>0</v>
          </cell>
          <cell r="BY10">
            <v>-3.0094642857142855</v>
          </cell>
          <cell r="CD10">
            <v>-3.0094642857142855</v>
          </cell>
        </row>
        <row r="11">
          <cell r="A11">
            <v>6</v>
          </cell>
          <cell r="B11">
            <v>48</v>
          </cell>
          <cell r="C11">
            <v>-30</v>
          </cell>
          <cell r="D11">
            <v>30</v>
          </cell>
          <cell r="E11">
            <v>-10</v>
          </cell>
          <cell r="F11">
            <v>0</v>
          </cell>
          <cell r="G11">
            <v>-28</v>
          </cell>
          <cell r="H11">
            <v>-105</v>
          </cell>
          <cell r="I11">
            <v>-2</v>
          </cell>
          <cell r="J11">
            <v>-80</v>
          </cell>
          <cell r="K11">
            <v>-10</v>
          </cell>
          <cell r="L11">
            <v>179</v>
          </cell>
          <cell r="M11">
            <v>48</v>
          </cell>
          <cell r="P11">
            <v>40</v>
          </cell>
          <cell r="S11">
            <v>-601.89285714285711</v>
          </cell>
          <cell r="T11">
            <v>40</v>
          </cell>
          <cell r="U11">
            <v>-750</v>
          </cell>
          <cell r="V11">
            <v>-601.89285714285711</v>
          </cell>
          <cell r="W11">
            <v>-225</v>
          </cell>
          <cell r="X11">
            <v>-405</v>
          </cell>
          <cell r="Y11">
            <v>-317.07142857142856</v>
          </cell>
          <cell r="AA11">
            <v>0</v>
          </cell>
          <cell r="AB11">
            <v>-12.178571428571429</v>
          </cell>
          <cell r="AF11">
            <v>0</v>
          </cell>
          <cell r="AG11">
            <v>2.6428571428571428</v>
          </cell>
          <cell r="AL11">
            <v>-10</v>
          </cell>
          <cell r="AM11">
            <v>-345</v>
          </cell>
          <cell r="AN11">
            <v>-275.28571428571428</v>
          </cell>
          <cell r="AR11">
            <v>-235</v>
          </cell>
          <cell r="AS11">
            <v>-750</v>
          </cell>
          <cell r="AT11">
            <v>-592.35714285714289</v>
          </cell>
          <cell r="AV11">
            <v>-16.321428571428573</v>
          </cell>
          <cell r="AW11">
            <v>-74.857142857142861</v>
          </cell>
          <cell r="AX11">
            <v>-90.678571428571431</v>
          </cell>
          <cell r="AY11">
            <v>-73.642857142857139</v>
          </cell>
          <cell r="AZ11">
            <v>-27.071428571428573</v>
          </cell>
          <cell r="BA11">
            <v>-34.5</v>
          </cell>
          <cell r="BB11">
            <v>-212.03571428571428</v>
          </cell>
          <cell r="BC11">
            <v>1.5</v>
          </cell>
          <cell r="BD11">
            <v>-59.5</v>
          </cell>
          <cell r="BE11">
            <v>-5.25</v>
          </cell>
          <cell r="BJ11">
            <v>-15</v>
          </cell>
          <cell r="BK11">
            <v>-110</v>
          </cell>
          <cell r="BL11">
            <v>-100</v>
          </cell>
          <cell r="BM11">
            <v>-100</v>
          </cell>
          <cell r="BN11">
            <v>-35</v>
          </cell>
          <cell r="BO11">
            <v>-45</v>
          </cell>
          <cell r="BP11">
            <v>-225</v>
          </cell>
          <cell r="BQ11">
            <v>-40</v>
          </cell>
          <cell r="BR11">
            <v>-80</v>
          </cell>
          <cell r="BS11">
            <v>0</v>
          </cell>
          <cell r="BY11">
            <v>-3.6113571428571425</v>
          </cell>
          <cell r="CD11">
            <v>-3.6113571428571425</v>
          </cell>
        </row>
        <row r="12">
          <cell r="A12">
            <v>7</v>
          </cell>
          <cell r="B12">
            <v>0</v>
          </cell>
          <cell r="C12">
            <v>-60</v>
          </cell>
          <cell r="D12">
            <v>0</v>
          </cell>
          <cell r="E12">
            <v>-88</v>
          </cell>
          <cell r="F12">
            <v>0</v>
          </cell>
          <cell r="G12">
            <v>-125</v>
          </cell>
          <cell r="H12">
            <v>-105</v>
          </cell>
          <cell r="I12">
            <v>-45</v>
          </cell>
          <cell r="J12">
            <v>-98</v>
          </cell>
          <cell r="K12">
            <v>-40</v>
          </cell>
          <cell r="L12">
            <v>-53</v>
          </cell>
          <cell r="M12">
            <v>-153</v>
          </cell>
          <cell r="P12">
            <v>-767</v>
          </cell>
          <cell r="S12">
            <v>-601.89285714285711</v>
          </cell>
          <cell r="T12">
            <v>-767</v>
          </cell>
          <cell r="U12">
            <v>-750</v>
          </cell>
          <cell r="V12">
            <v>-601.89285714285711</v>
          </cell>
          <cell r="W12">
            <v>-413</v>
          </cell>
          <cell r="X12">
            <v>-405</v>
          </cell>
          <cell r="Y12">
            <v>-317.07142857142856</v>
          </cell>
          <cell r="AA12">
            <v>0</v>
          </cell>
          <cell r="AB12">
            <v>-12.178571428571429</v>
          </cell>
          <cell r="AF12">
            <v>0</v>
          </cell>
          <cell r="AG12">
            <v>2.6428571428571428</v>
          </cell>
          <cell r="AL12">
            <v>-148</v>
          </cell>
          <cell r="AM12">
            <v>-345</v>
          </cell>
          <cell r="AN12">
            <v>-275.28571428571428</v>
          </cell>
          <cell r="AR12">
            <v>-561</v>
          </cell>
          <cell r="AS12">
            <v>-750</v>
          </cell>
          <cell r="AT12">
            <v>-592.35714285714289</v>
          </cell>
          <cell r="AV12">
            <v>-16.321428571428573</v>
          </cell>
          <cell r="AW12">
            <v>-74.857142857142861</v>
          </cell>
          <cell r="AX12">
            <v>-90.678571428571431</v>
          </cell>
          <cell r="AY12">
            <v>-73.642857142857139</v>
          </cell>
          <cell r="AZ12">
            <v>-27.071428571428573</v>
          </cell>
          <cell r="BA12">
            <v>-34.5</v>
          </cell>
          <cell r="BB12">
            <v>-212.03571428571428</v>
          </cell>
          <cell r="BC12">
            <v>1.5</v>
          </cell>
          <cell r="BD12">
            <v>-59.5</v>
          </cell>
          <cell r="BE12">
            <v>-5.25</v>
          </cell>
          <cell r="BJ12">
            <v>-15</v>
          </cell>
          <cell r="BK12">
            <v>-110</v>
          </cell>
          <cell r="BL12">
            <v>-100</v>
          </cell>
          <cell r="BM12">
            <v>-100</v>
          </cell>
          <cell r="BN12">
            <v>-35</v>
          </cell>
          <cell r="BO12">
            <v>-45</v>
          </cell>
          <cell r="BP12">
            <v>-225</v>
          </cell>
          <cell r="BQ12">
            <v>-40</v>
          </cell>
          <cell r="BR12">
            <v>-80</v>
          </cell>
          <cell r="BS12">
            <v>0</v>
          </cell>
          <cell r="BY12">
            <v>-4.2132499999999995</v>
          </cell>
          <cell r="CD12">
            <v>-4.2132499999999995</v>
          </cell>
        </row>
        <row r="13">
          <cell r="A13">
            <v>8</v>
          </cell>
          <cell r="B13">
            <v>0</v>
          </cell>
          <cell r="C13">
            <v>-78</v>
          </cell>
          <cell r="D13">
            <v>-37</v>
          </cell>
          <cell r="E13">
            <v>-294</v>
          </cell>
          <cell r="F13">
            <v>-18</v>
          </cell>
          <cell r="G13">
            <v>-121</v>
          </cell>
          <cell r="H13">
            <v>-105</v>
          </cell>
          <cell r="I13">
            <v>-46</v>
          </cell>
          <cell r="J13">
            <v>-99</v>
          </cell>
          <cell r="K13">
            <v>-40</v>
          </cell>
          <cell r="L13">
            <v>-131</v>
          </cell>
          <cell r="M13">
            <v>-331</v>
          </cell>
          <cell r="P13">
            <v>-1300</v>
          </cell>
          <cell r="S13">
            <v>-601.89285714285711</v>
          </cell>
          <cell r="T13">
            <v>-1300</v>
          </cell>
          <cell r="U13">
            <v>-750</v>
          </cell>
          <cell r="V13">
            <v>-601.89285714285711</v>
          </cell>
          <cell r="W13">
            <v>-429</v>
          </cell>
          <cell r="X13">
            <v>-405</v>
          </cell>
          <cell r="Y13">
            <v>-317.07142857142856</v>
          </cell>
          <cell r="AA13">
            <v>0</v>
          </cell>
          <cell r="AB13">
            <v>-12.178571428571429</v>
          </cell>
          <cell r="AF13">
            <v>0</v>
          </cell>
          <cell r="AG13">
            <v>2.6428571428571428</v>
          </cell>
          <cell r="AL13">
            <v>-409</v>
          </cell>
          <cell r="AM13">
            <v>-345</v>
          </cell>
          <cell r="AN13">
            <v>-275.28571428571428</v>
          </cell>
          <cell r="AR13">
            <v>-838</v>
          </cell>
          <cell r="AS13">
            <v>-750</v>
          </cell>
          <cell r="AT13">
            <v>-592.35714285714289</v>
          </cell>
          <cell r="AV13">
            <v>-16.321428571428573</v>
          </cell>
          <cell r="AW13">
            <v>-74.857142857142861</v>
          </cell>
          <cell r="AX13">
            <v>-90.678571428571431</v>
          </cell>
          <cell r="AY13">
            <v>-73.642857142857139</v>
          </cell>
          <cell r="AZ13">
            <v>-27.071428571428573</v>
          </cell>
          <cell r="BA13">
            <v>-34.5</v>
          </cell>
          <cell r="BB13">
            <v>-212.03571428571428</v>
          </cell>
          <cell r="BC13">
            <v>1.5</v>
          </cell>
          <cell r="BD13">
            <v>-59.5</v>
          </cell>
          <cell r="BE13">
            <v>-5.25</v>
          </cell>
          <cell r="BJ13">
            <v>-15</v>
          </cell>
          <cell r="BK13">
            <v>-110</v>
          </cell>
          <cell r="BL13">
            <v>-100</v>
          </cell>
          <cell r="BM13">
            <v>-100</v>
          </cell>
          <cell r="BN13">
            <v>-35</v>
          </cell>
          <cell r="BO13">
            <v>-45</v>
          </cell>
          <cell r="BP13">
            <v>-225</v>
          </cell>
          <cell r="BQ13">
            <v>-40</v>
          </cell>
          <cell r="BR13">
            <v>-80</v>
          </cell>
          <cell r="BS13">
            <v>0</v>
          </cell>
          <cell r="BY13">
            <v>-4.8151428571428569</v>
          </cell>
          <cell r="CD13">
            <v>-4.8151428571428569</v>
          </cell>
        </row>
        <row r="14">
          <cell r="A14">
            <v>9</v>
          </cell>
          <cell r="B14">
            <v>0</v>
          </cell>
          <cell r="C14">
            <v>-74</v>
          </cell>
          <cell r="D14">
            <v>-44</v>
          </cell>
          <cell r="E14">
            <v>-413</v>
          </cell>
          <cell r="F14">
            <v>-20</v>
          </cell>
          <cell r="G14">
            <v>-120</v>
          </cell>
          <cell r="H14">
            <v>-105</v>
          </cell>
          <cell r="I14">
            <v>-46</v>
          </cell>
          <cell r="J14">
            <v>-100</v>
          </cell>
          <cell r="K14">
            <v>-40</v>
          </cell>
          <cell r="L14">
            <v>-181</v>
          </cell>
          <cell r="M14">
            <v>-219</v>
          </cell>
          <cell r="P14">
            <v>-1362</v>
          </cell>
          <cell r="S14">
            <v>-601.89285714285711</v>
          </cell>
          <cell r="T14">
            <v>-1362</v>
          </cell>
          <cell r="U14">
            <v>-750</v>
          </cell>
          <cell r="V14">
            <v>-601.89285714285711</v>
          </cell>
          <cell r="W14">
            <v>-431</v>
          </cell>
          <cell r="X14">
            <v>-405</v>
          </cell>
          <cell r="Y14">
            <v>-317.07142857142856</v>
          </cell>
          <cell r="AA14">
            <v>0</v>
          </cell>
          <cell r="AB14">
            <v>-12.178571428571429</v>
          </cell>
          <cell r="AF14">
            <v>0</v>
          </cell>
          <cell r="AG14">
            <v>2.6428571428571428</v>
          </cell>
          <cell r="AL14">
            <v>-531</v>
          </cell>
          <cell r="AM14">
            <v>-345</v>
          </cell>
          <cell r="AN14">
            <v>-275.28571428571428</v>
          </cell>
          <cell r="AR14">
            <v>-962</v>
          </cell>
          <cell r="AS14">
            <v>-750</v>
          </cell>
          <cell r="AT14">
            <v>-592.35714285714289</v>
          </cell>
          <cell r="AV14">
            <v>-16.321428571428573</v>
          </cell>
          <cell r="AW14">
            <v>-74.857142857142861</v>
          </cell>
          <cell r="AX14">
            <v>-90.678571428571431</v>
          </cell>
          <cell r="AY14">
            <v>-73.642857142857139</v>
          </cell>
          <cell r="AZ14">
            <v>-27.071428571428573</v>
          </cell>
          <cell r="BA14">
            <v>-34.5</v>
          </cell>
          <cell r="BB14">
            <v>-212.03571428571428</v>
          </cell>
          <cell r="BC14">
            <v>1.5</v>
          </cell>
          <cell r="BD14">
            <v>-59.5</v>
          </cell>
          <cell r="BE14">
            <v>-5.25</v>
          </cell>
          <cell r="BJ14">
            <v>-15</v>
          </cell>
          <cell r="BK14">
            <v>-110</v>
          </cell>
          <cell r="BL14">
            <v>-100</v>
          </cell>
          <cell r="BM14">
            <v>-100</v>
          </cell>
          <cell r="BN14">
            <v>-35</v>
          </cell>
          <cell r="BO14">
            <v>-45</v>
          </cell>
          <cell r="BP14">
            <v>-225</v>
          </cell>
          <cell r="BQ14">
            <v>-40</v>
          </cell>
          <cell r="BR14">
            <v>-80</v>
          </cell>
          <cell r="BS14">
            <v>0</v>
          </cell>
          <cell r="BY14">
            <v>-5.4170357142857144</v>
          </cell>
          <cell r="CD14">
            <v>-5.4170357142857144</v>
          </cell>
        </row>
        <row r="15">
          <cell r="A15">
            <v>10</v>
          </cell>
          <cell r="B15">
            <v>0</v>
          </cell>
          <cell r="C15">
            <v>-71</v>
          </cell>
          <cell r="D15">
            <v>-14</v>
          </cell>
          <cell r="E15">
            <v>-286</v>
          </cell>
          <cell r="F15">
            <v>-18</v>
          </cell>
          <cell r="G15">
            <v>-86</v>
          </cell>
          <cell r="H15">
            <v>-105</v>
          </cell>
          <cell r="I15">
            <v>-38</v>
          </cell>
          <cell r="J15">
            <v>-80</v>
          </cell>
          <cell r="K15">
            <v>-35</v>
          </cell>
          <cell r="L15">
            <v>-87</v>
          </cell>
          <cell r="M15">
            <v>-203</v>
          </cell>
          <cell r="P15">
            <v>-1023</v>
          </cell>
          <cell r="S15">
            <v>-601.89285714285711</v>
          </cell>
          <cell r="T15">
            <v>-1023</v>
          </cell>
          <cell r="U15">
            <v>-750</v>
          </cell>
          <cell r="V15">
            <v>-601.89285714285711</v>
          </cell>
          <cell r="W15">
            <v>-362</v>
          </cell>
          <cell r="X15">
            <v>-405</v>
          </cell>
          <cell r="Y15">
            <v>-317.07142857142856</v>
          </cell>
          <cell r="AA15">
            <v>0</v>
          </cell>
          <cell r="AB15">
            <v>-12.178571428571429</v>
          </cell>
          <cell r="AF15">
            <v>0</v>
          </cell>
          <cell r="AG15">
            <v>2.6428571428571428</v>
          </cell>
          <cell r="AL15">
            <v>-371</v>
          </cell>
          <cell r="AM15">
            <v>-345</v>
          </cell>
          <cell r="AN15">
            <v>-275.28571428571428</v>
          </cell>
          <cell r="AR15">
            <v>-733</v>
          </cell>
          <cell r="AS15">
            <v>-750</v>
          </cell>
          <cell r="AT15">
            <v>-592.35714285714289</v>
          </cell>
          <cell r="AV15">
            <v>-16.321428571428573</v>
          </cell>
          <cell r="AW15">
            <v>-74.857142857142861</v>
          </cell>
          <cell r="AX15">
            <v>-90.678571428571431</v>
          </cell>
          <cell r="AY15">
            <v>-73.642857142857139</v>
          </cell>
          <cell r="AZ15">
            <v>-27.071428571428573</v>
          </cell>
          <cell r="BA15">
            <v>-34.5</v>
          </cell>
          <cell r="BB15">
            <v>-212.03571428571428</v>
          </cell>
          <cell r="BC15">
            <v>1.5</v>
          </cell>
          <cell r="BD15">
            <v>-59.5</v>
          </cell>
          <cell r="BE15">
            <v>-5.25</v>
          </cell>
          <cell r="BJ15">
            <v>-15</v>
          </cell>
          <cell r="BK15">
            <v>-110</v>
          </cell>
          <cell r="BL15">
            <v>-100</v>
          </cell>
          <cell r="BM15">
            <v>-100</v>
          </cell>
          <cell r="BN15">
            <v>-35</v>
          </cell>
          <cell r="BO15">
            <v>-45</v>
          </cell>
          <cell r="BP15">
            <v>-225</v>
          </cell>
          <cell r="BQ15">
            <v>-40</v>
          </cell>
          <cell r="BR15">
            <v>-80</v>
          </cell>
          <cell r="BS15">
            <v>0</v>
          </cell>
          <cell r="BY15">
            <v>-6.0189285714285718</v>
          </cell>
          <cell r="CD15">
            <v>-6.0189285714285718</v>
          </cell>
        </row>
        <row r="16">
          <cell r="A16">
            <v>11</v>
          </cell>
          <cell r="B16">
            <v>0</v>
          </cell>
          <cell r="C16">
            <v>-54</v>
          </cell>
          <cell r="D16">
            <v>2</v>
          </cell>
          <cell r="E16">
            <v>-269</v>
          </cell>
          <cell r="F16">
            <v>-18</v>
          </cell>
          <cell r="G16">
            <v>-101</v>
          </cell>
          <cell r="H16">
            <v>-105</v>
          </cell>
          <cell r="I16">
            <v>-40</v>
          </cell>
          <cell r="J16">
            <v>-77</v>
          </cell>
          <cell r="K16">
            <v>-38</v>
          </cell>
          <cell r="L16">
            <v>-8</v>
          </cell>
          <cell r="M16">
            <v>-100</v>
          </cell>
          <cell r="P16">
            <v>-808</v>
          </cell>
          <cell r="S16">
            <v>-601.89285714285711</v>
          </cell>
          <cell r="T16">
            <v>-808</v>
          </cell>
          <cell r="U16">
            <v>-750</v>
          </cell>
          <cell r="V16">
            <v>-601.89285714285711</v>
          </cell>
          <cell r="W16">
            <v>-379</v>
          </cell>
          <cell r="X16">
            <v>-405</v>
          </cell>
          <cell r="Y16">
            <v>-317.07142857142856</v>
          </cell>
          <cell r="AA16">
            <v>0</v>
          </cell>
          <cell r="AB16">
            <v>-12.178571428571429</v>
          </cell>
          <cell r="AF16">
            <v>0</v>
          </cell>
          <cell r="AG16">
            <v>2.6428571428571428</v>
          </cell>
          <cell r="AL16">
            <v>-321</v>
          </cell>
          <cell r="AM16">
            <v>-345</v>
          </cell>
          <cell r="AN16">
            <v>-275.28571428571428</v>
          </cell>
          <cell r="AR16">
            <v>-700</v>
          </cell>
          <cell r="AS16">
            <v>-750</v>
          </cell>
          <cell r="AT16">
            <v>-592.35714285714289</v>
          </cell>
          <cell r="AV16">
            <v>-16.321428571428573</v>
          </cell>
          <cell r="AW16">
            <v>-74.857142857142861</v>
          </cell>
          <cell r="AX16">
            <v>-90.678571428571431</v>
          </cell>
          <cell r="AY16">
            <v>-73.642857142857139</v>
          </cell>
          <cell r="AZ16">
            <v>-27.071428571428573</v>
          </cell>
          <cell r="BA16">
            <v>-34.5</v>
          </cell>
          <cell r="BB16">
            <v>-212.03571428571428</v>
          </cell>
          <cell r="BC16">
            <v>1.5</v>
          </cell>
          <cell r="BD16">
            <v>-59.5</v>
          </cell>
          <cell r="BE16">
            <v>-5.25</v>
          </cell>
          <cell r="BJ16">
            <v>-15</v>
          </cell>
          <cell r="BK16">
            <v>-110</v>
          </cell>
          <cell r="BL16">
            <v>-100</v>
          </cell>
          <cell r="BM16">
            <v>-100</v>
          </cell>
          <cell r="BN16">
            <v>-35</v>
          </cell>
          <cell r="BO16">
            <v>-45</v>
          </cell>
          <cell r="BP16">
            <v>-225</v>
          </cell>
          <cell r="BQ16">
            <v>-40</v>
          </cell>
          <cell r="BR16">
            <v>-80</v>
          </cell>
          <cell r="BS16">
            <v>0</v>
          </cell>
          <cell r="BY16">
            <v>-6.6208214285714293</v>
          </cell>
          <cell r="CD16">
            <v>-6.6208214285714293</v>
          </cell>
        </row>
        <row r="17">
          <cell r="A17">
            <v>12</v>
          </cell>
          <cell r="B17">
            <v>46</v>
          </cell>
          <cell r="C17">
            <v>-25</v>
          </cell>
          <cell r="D17">
            <v>0</v>
          </cell>
          <cell r="E17">
            <v>-48</v>
          </cell>
          <cell r="F17">
            <v>-18</v>
          </cell>
          <cell r="G17">
            <v>-9</v>
          </cell>
          <cell r="H17">
            <v>-105</v>
          </cell>
          <cell r="I17">
            <v>-4</v>
          </cell>
          <cell r="J17">
            <v>-96</v>
          </cell>
          <cell r="K17">
            <v>-3</v>
          </cell>
          <cell r="L17">
            <v>0</v>
          </cell>
          <cell r="M17">
            <v>192</v>
          </cell>
          <cell r="P17">
            <v>-70</v>
          </cell>
          <cell r="S17">
            <v>-601.89285714285711</v>
          </cell>
          <cell r="T17">
            <v>-70</v>
          </cell>
          <cell r="U17">
            <v>-750</v>
          </cell>
          <cell r="V17">
            <v>-601.89285714285711</v>
          </cell>
          <cell r="W17">
            <v>-235</v>
          </cell>
          <cell r="X17">
            <v>-405</v>
          </cell>
          <cell r="Y17">
            <v>-317.07142857142856</v>
          </cell>
          <cell r="AA17">
            <v>0</v>
          </cell>
          <cell r="AB17">
            <v>-12.178571428571429</v>
          </cell>
          <cell r="AF17">
            <v>0</v>
          </cell>
          <cell r="AG17">
            <v>2.6428571428571428</v>
          </cell>
          <cell r="AL17">
            <v>-73</v>
          </cell>
          <cell r="AM17">
            <v>-345</v>
          </cell>
          <cell r="AN17">
            <v>-275.28571428571428</v>
          </cell>
          <cell r="AR17">
            <v>-308</v>
          </cell>
          <cell r="AS17">
            <v>-750</v>
          </cell>
          <cell r="AT17">
            <v>-592.35714285714289</v>
          </cell>
          <cell r="AV17">
            <v>-16.321428571428573</v>
          </cell>
          <cell r="AW17">
            <v>-74.857142857142861</v>
          </cell>
          <cell r="AX17">
            <v>-90.678571428571431</v>
          </cell>
          <cell r="AY17">
            <v>-73.642857142857139</v>
          </cell>
          <cell r="AZ17">
            <v>-27.071428571428573</v>
          </cell>
          <cell r="BA17">
            <v>-34.5</v>
          </cell>
          <cell r="BB17">
            <v>-212.03571428571428</v>
          </cell>
          <cell r="BC17">
            <v>1.5</v>
          </cell>
          <cell r="BD17">
            <v>-59.5</v>
          </cell>
          <cell r="BE17">
            <v>-5.25</v>
          </cell>
          <cell r="BJ17">
            <v>-15</v>
          </cell>
          <cell r="BK17">
            <v>-110</v>
          </cell>
          <cell r="BL17">
            <v>-100</v>
          </cell>
          <cell r="BM17">
            <v>-100</v>
          </cell>
          <cell r="BN17">
            <v>-35</v>
          </cell>
          <cell r="BO17">
            <v>-45</v>
          </cell>
          <cell r="BP17">
            <v>-225</v>
          </cell>
          <cell r="BQ17">
            <v>-40</v>
          </cell>
          <cell r="BR17">
            <v>-80</v>
          </cell>
          <cell r="BS17">
            <v>0</v>
          </cell>
          <cell r="BY17">
            <v>-7.2227142857142868</v>
          </cell>
          <cell r="CD17">
            <v>-7.2227142857142868</v>
          </cell>
        </row>
        <row r="18">
          <cell r="A18">
            <v>13</v>
          </cell>
          <cell r="B18">
            <v>38</v>
          </cell>
          <cell r="C18">
            <v>-69</v>
          </cell>
          <cell r="D18">
            <v>39</v>
          </cell>
          <cell r="E18">
            <v>-136</v>
          </cell>
          <cell r="F18">
            <v>-17</v>
          </cell>
          <cell r="G18">
            <v>0</v>
          </cell>
          <cell r="H18">
            <v>-105</v>
          </cell>
          <cell r="I18">
            <v>0</v>
          </cell>
          <cell r="J18">
            <v>-87</v>
          </cell>
          <cell r="K18">
            <v>0</v>
          </cell>
          <cell r="L18">
            <v>0</v>
          </cell>
          <cell r="M18">
            <v>233</v>
          </cell>
          <cell r="P18">
            <v>-104</v>
          </cell>
          <cell r="S18">
            <v>-601.89285714285711</v>
          </cell>
          <cell r="T18">
            <v>-104</v>
          </cell>
          <cell r="U18">
            <v>-750</v>
          </cell>
          <cell r="V18">
            <v>-601.89285714285711</v>
          </cell>
          <cell r="W18">
            <v>-209</v>
          </cell>
          <cell r="X18">
            <v>-405</v>
          </cell>
          <cell r="Y18">
            <v>-317.07142857142856</v>
          </cell>
          <cell r="AA18">
            <v>0</v>
          </cell>
          <cell r="AB18">
            <v>-12.178571428571429</v>
          </cell>
          <cell r="AF18">
            <v>0</v>
          </cell>
          <cell r="AG18">
            <v>2.6428571428571428</v>
          </cell>
          <cell r="AL18">
            <v>-166</v>
          </cell>
          <cell r="AM18">
            <v>-345</v>
          </cell>
          <cell r="AN18">
            <v>-275.28571428571428</v>
          </cell>
          <cell r="AR18">
            <v>-375</v>
          </cell>
          <cell r="AS18">
            <v>-750</v>
          </cell>
          <cell r="AT18">
            <v>-592.35714285714289</v>
          </cell>
          <cell r="AV18">
            <v>-16.321428571428573</v>
          </cell>
          <cell r="AW18">
            <v>-74.857142857142861</v>
          </cell>
          <cell r="AX18">
            <v>-90.678571428571431</v>
          </cell>
          <cell r="AY18">
            <v>-73.642857142857139</v>
          </cell>
          <cell r="AZ18">
            <v>-27.071428571428573</v>
          </cell>
          <cell r="BA18">
            <v>-34.5</v>
          </cell>
          <cell r="BB18">
            <v>-212.03571428571428</v>
          </cell>
          <cell r="BC18">
            <v>1.5</v>
          </cell>
          <cell r="BD18">
            <v>-59.5</v>
          </cell>
          <cell r="BE18">
            <v>-5.25</v>
          </cell>
          <cell r="BJ18">
            <v>-15</v>
          </cell>
          <cell r="BK18">
            <v>-110</v>
          </cell>
          <cell r="BL18">
            <v>-100</v>
          </cell>
          <cell r="BM18">
            <v>-100</v>
          </cell>
          <cell r="BN18">
            <v>-35</v>
          </cell>
          <cell r="BO18">
            <v>-45</v>
          </cell>
          <cell r="BP18">
            <v>-225</v>
          </cell>
          <cell r="BQ18">
            <v>-40</v>
          </cell>
          <cell r="BR18">
            <v>-80</v>
          </cell>
          <cell r="BS18">
            <v>0</v>
          </cell>
          <cell r="BY18">
            <v>-7.8246071428571442</v>
          </cell>
          <cell r="CD18">
            <v>-7.8246071428571442</v>
          </cell>
        </row>
        <row r="19">
          <cell r="A19">
            <v>14</v>
          </cell>
          <cell r="B19">
            <v>-15</v>
          </cell>
          <cell r="C19">
            <v>-71</v>
          </cell>
          <cell r="D19">
            <v>4</v>
          </cell>
          <cell r="E19">
            <v>-250</v>
          </cell>
          <cell r="F19">
            <v>-17</v>
          </cell>
          <cell r="G19">
            <v>0</v>
          </cell>
          <cell r="H19">
            <v>-91</v>
          </cell>
          <cell r="I19">
            <v>0</v>
          </cell>
          <cell r="J19">
            <v>-85</v>
          </cell>
          <cell r="K19">
            <v>0</v>
          </cell>
          <cell r="L19">
            <v>0</v>
          </cell>
          <cell r="M19">
            <v>23</v>
          </cell>
          <cell r="P19">
            <v>-502</v>
          </cell>
          <cell r="S19">
            <v>-601.89285714285711</v>
          </cell>
          <cell r="T19">
            <v>-502</v>
          </cell>
          <cell r="U19">
            <v>-750</v>
          </cell>
          <cell r="V19">
            <v>-601.89285714285711</v>
          </cell>
          <cell r="W19">
            <v>-193</v>
          </cell>
          <cell r="X19">
            <v>-405</v>
          </cell>
          <cell r="Y19">
            <v>-317.07142857142856</v>
          </cell>
          <cell r="AA19">
            <v>0</v>
          </cell>
          <cell r="AB19">
            <v>-12.178571428571429</v>
          </cell>
          <cell r="AF19">
            <v>0</v>
          </cell>
          <cell r="AG19">
            <v>2.6428571428571428</v>
          </cell>
          <cell r="AL19">
            <v>-317</v>
          </cell>
          <cell r="AM19">
            <v>-345</v>
          </cell>
          <cell r="AN19">
            <v>-275.28571428571428</v>
          </cell>
          <cell r="AR19">
            <v>-510</v>
          </cell>
          <cell r="AS19">
            <v>-750</v>
          </cell>
          <cell r="AT19">
            <v>-592.35714285714289</v>
          </cell>
          <cell r="AV19">
            <v>-16.321428571428573</v>
          </cell>
          <cell r="AW19">
            <v>-74.857142857142861</v>
          </cell>
          <cell r="AX19">
            <v>-90.678571428571431</v>
          </cell>
          <cell r="AY19">
            <v>-73.642857142857139</v>
          </cell>
          <cell r="AZ19">
            <v>-27.071428571428573</v>
          </cell>
          <cell r="BA19">
            <v>-34.5</v>
          </cell>
          <cell r="BB19">
            <v>-212.03571428571428</v>
          </cell>
          <cell r="BC19">
            <v>1.5</v>
          </cell>
          <cell r="BD19">
            <v>-59.5</v>
          </cell>
          <cell r="BE19">
            <v>-5.25</v>
          </cell>
          <cell r="BJ19">
            <v>-15</v>
          </cell>
          <cell r="BK19">
            <v>-110</v>
          </cell>
          <cell r="BL19">
            <v>-100</v>
          </cell>
          <cell r="BM19">
            <v>-100</v>
          </cell>
          <cell r="BN19">
            <v>-35</v>
          </cell>
          <cell r="BO19">
            <v>-45</v>
          </cell>
          <cell r="BP19">
            <v>-225</v>
          </cell>
          <cell r="BQ19">
            <v>-40</v>
          </cell>
          <cell r="BR19">
            <v>-80</v>
          </cell>
          <cell r="BS19">
            <v>0</v>
          </cell>
          <cell r="BY19">
            <v>-8.4265000000000008</v>
          </cell>
          <cell r="CD19">
            <v>-8.4265000000000008</v>
          </cell>
        </row>
        <row r="20">
          <cell r="A20">
            <v>15</v>
          </cell>
          <cell r="B20">
            <v>-33</v>
          </cell>
          <cell r="C20">
            <v>-38</v>
          </cell>
          <cell r="D20">
            <v>81</v>
          </cell>
          <cell r="E20">
            <v>-256</v>
          </cell>
          <cell r="F20">
            <v>-17</v>
          </cell>
          <cell r="G20">
            <v>-87</v>
          </cell>
          <cell r="H20">
            <v>-92</v>
          </cell>
          <cell r="I20">
            <v>-28</v>
          </cell>
          <cell r="J20">
            <v>-78</v>
          </cell>
          <cell r="K20">
            <v>-29</v>
          </cell>
          <cell r="L20">
            <v>0</v>
          </cell>
          <cell r="M20">
            <v>290</v>
          </cell>
          <cell r="P20">
            <v>-287</v>
          </cell>
          <cell r="S20">
            <v>-601.89285714285711</v>
          </cell>
          <cell r="T20">
            <v>-287</v>
          </cell>
          <cell r="U20">
            <v>-750</v>
          </cell>
          <cell r="V20">
            <v>-601.89285714285711</v>
          </cell>
          <cell r="W20">
            <v>-331</v>
          </cell>
          <cell r="X20">
            <v>-405</v>
          </cell>
          <cell r="Y20">
            <v>-317.07142857142856</v>
          </cell>
          <cell r="AA20">
            <v>0</v>
          </cell>
          <cell r="AB20">
            <v>-12.178571428571429</v>
          </cell>
          <cell r="AF20">
            <v>0</v>
          </cell>
          <cell r="AG20">
            <v>2.6428571428571428</v>
          </cell>
          <cell r="AL20">
            <v>-213</v>
          </cell>
          <cell r="AM20">
            <v>-345</v>
          </cell>
          <cell r="AN20">
            <v>-275.28571428571428</v>
          </cell>
          <cell r="AR20">
            <v>-544</v>
          </cell>
          <cell r="AS20">
            <v>-750</v>
          </cell>
          <cell r="AT20">
            <v>-592.35714285714289</v>
          </cell>
          <cell r="AV20">
            <v>-16.321428571428573</v>
          </cell>
          <cell r="AW20">
            <v>-74.857142857142861</v>
          </cell>
          <cell r="AX20">
            <v>-90.678571428571431</v>
          </cell>
          <cell r="AY20">
            <v>-73.642857142857139</v>
          </cell>
          <cell r="AZ20">
            <v>-27.071428571428573</v>
          </cell>
          <cell r="BA20">
            <v>-34.5</v>
          </cell>
          <cell r="BB20">
            <v>-212.03571428571428</v>
          </cell>
          <cell r="BC20">
            <v>1.5</v>
          </cell>
          <cell r="BD20">
            <v>-59.5</v>
          </cell>
          <cell r="BE20">
            <v>-5.25</v>
          </cell>
          <cell r="BJ20">
            <v>-15</v>
          </cell>
          <cell r="BK20">
            <v>-110</v>
          </cell>
          <cell r="BL20">
            <v>-100</v>
          </cell>
          <cell r="BM20">
            <v>-100</v>
          </cell>
          <cell r="BN20">
            <v>-35</v>
          </cell>
          <cell r="BO20">
            <v>-45</v>
          </cell>
          <cell r="BP20">
            <v>-225</v>
          </cell>
          <cell r="BQ20">
            <v>-40</v>
          </cell>
          <cell r="BR20">
            <v>-80</v>
          </cell>
          <cell r="BS20">
            <v>0</v>
          </cell>
          <cell r="BY20">
            <v>-9.0283928571428582</v>
          </cell>
          <cell r="CD20">
            <v>-9.0283928571428582</v>
          </cell>
        </row>
        <row r="21">
          <cell r="A21">
            <v>16</v>
          </cell>
          <cell r="B21">
            <v>-77</v>
          </cell>
          <cell r="C21">
            <v>-22</v>
          </cell>
          <cell r="D21">
            <v>-18</v>
          </cell>
          <cell r="E21">
            <v>-260</v>
          </cell>
          <cell r="F21">
            <v>-17</v>
          </cell>
          <cell r="G21">
            <v>-118</v>
          </cell>
          <cell r="H21">
            <v>-93</v>
          </cell>
          <cell r="I21">
            <v>-45</v>
          </cell>
          <cell r="J21">
            <v>-78</v>
          </cell>
          <cell r="K21">
            <v>-41</v>
          </cell>
          <cell r="L21">
            <v>0</v>
          </cell>
          <cell r="M21">
            <v>271</v>
          </cell>
          <cell r="P21">
            <v>-498</v>
          </cell>
          <cell r="S21">
            <v>-601.89285714285711</v>
          </cell>
          <cell r="T21">
            <v>-498</v>
          </cell>
          <cell r="U21">
            <v>-750</v>
          </cell>
          <cell r="V21">
            <v>-601.89285714285711</v>
          </cell>
          <cell r="W21">
            <v>-392</v>
          </cell>
          <cell r="X21">
            <v>-405</v>
          </cell>
          <cell r="Y21">
            <v>-317.07142857142856</v>
          </cell>
          <cell r="AA21">
            <v>0</v>
          </cell>
          <cell r="AB21">
            <v>-12.178571428571429</v>
          </cell>
          <cell r="AF21">
            <v>0</v>
          </cell>
          <cell r="AG21">
            <v>2.6428571428571428</v>
          </cell>
          <cell r="AL21">
            <v>-300</v>
          </cell>
          <cell r="AM21">
            <v>-345</v>
          </cell>
          <cell r="AN21">
            <v>-275.28571428571428</v>
          </cell>
          <cell r="AR21">
            <v>-692</v>
          </cell>
          <cell r="AS21">
            <v>-750</v>
          </cell>
          <cell r="AT21">
            <v>-592.35714285714289</v>
          </cell>
          <cell r="AV21">
            <v>-16.321428571428573</v>
          </cell>
          <cell r="AW21">
            <v>-74.857142857142861</v>
          </cell>
          <cell r="AX21">
            <v>-90.678571428571431</v>
          </cell>
          <cell r="AY21">
            <v>-73.642857142857139</v>
          </cell>
          <cell r="AZ21">
            <v>-27.071428571428573</v>
          </cell>
          <cell r="BA21">
            <v>-34.5</v>
          </cell>
          <cell r="BB21">
            <v>-212.03571428571428</v>
          </cell>
          <cell r="BC21">
            <v>1.5</v>
          </cell>
          <cell r="BD21">
            <v>-59.5</v>
          </cell>
          <cell r="BE21">
            <v>-5.25</v>
          </cell>
          <cell r="BJ21">
            <v>-15</v>
          </cell>
          <cell r="BK21">
            <v>-110</v>
          </cell>
          <cell r="BL21">
            <v>-100</v>
          </cell>
          <cell r="BM21">
            <v>-100</v>
          </cell>
          <cell r="BN21">
            <v>-35</v>
          </cell>
          <cell r="BO21">
            <v>-45</v>
          </cell>
          <cell r="BP21">
            <v>-225</v>
          </cell>
          <cell r="BQ21">
            <v>-40</v>
          </cell>
          <cell r="BR21">
            <v>-80</v>
          </cell>
          <cell r="BS21">
            <v>0</v>
          </cell>
          <cell r="BY21">
            <v>-9.6302857142857157</v>
          </cell>
          <cell r="CD21">
            <v>-9.6302857142857157</v>
          </cell>
        </row>
        <row r="22">
          <cell r="A22">
            <v>17</v>
          </cell>
          <cell r="B22">
            <v>-129</v>
          </cell>
          <cell r="C22">
            <v>-75</v>
          </cell>
          <cell r="D22">
            <v>-46</v>
          </cell>
          <cell r="E22">
            <v>-500</v>
          </cell>
          <cell r="F22">
            <v>-29</v>
          </cell>
          <cell r="G22">
            <v>-113</v>
          </cell>
          <cell r="H22">
            <v>-119</v>
          </cell>
          <cell r="I22">
            <v>-46</v>
          </cell>
          <cell r="J22">
            <v>-80</v>
          </cell>
          <cell r="K22">
            <v>-40</v>
          </cell>
          <cell r="L22">
            <v>0</v>
          </cell>
          <cell r="M22">
            <v>-244</v>
          </cell>
          <cell r="P22">
            <v>-1421</v>
          </cell>
          <cell r="S22">
            <v>-601.89285714285711</v>
          </cell>
          <cell r="T22">
            <v>-1421</v>
          </cell>
          <cell r="U22">
            <v>-750</v>
          </cell>
          <cell r="V22">
            <v>-601.89285714285711</v>
          </cell>
          <cell r="W22">
            <v>-427</v>
          </cell>
          <cell r="X22">
            <v>-405</v>
          </cell>
          <cell r="Y22">
            <v>-317.07142857142856</v>
          </cell>
          <cell r="AA22">
            <v>0</v>
          </cell>
          <cell r="AB22">
            <v>-12.178571428571429</v>
          </cell>
          <cell r="AF22">
            <v>0</v>
          </cell>
          <cell r="AG22">
            <v>2.6428571428571428</v>
          </cell>
          <cell r="AL22">
            <v>-621</v>
          </cell>
          <cell r="AM22">
            <v>-345</v>
          </cell>
          <cell r="AN22">
            <v>-275.28571428571428</v>
          </cell>
          <cell r="AR22">
            <v>-1048</v>
          </cell>
          <cell r="AS22">
            <v>-750</v>
          </cell>
          <cell r="AT22">
            <v>-592.35714285714289</v>
          </cell>
          <cell r="AV22">
            <v>-16.321428571428573</v>
          </cell>
          <cell r="AW22">
            <v>-74.857142857142861</v>
          </cell>
          <cell r="AX22">
            <v>-90.678571428571431</v>
          </cell>
          <cell r="AY22">
            <v>-73.642857142857139</v>
          </cell>
          <cell r="AZ22">
            <v>-27.071428571428573</v>
          </cell>
          <cell r="BA22">
            <v>-34.5</v>
          </cell>
          <cell r="BB22">
            <v>-212.03571428571428</v>
          </cell>
          <cell r="BC22">
            <v>1.5</v>
          </cell>
          <cell r="BD22">
            <v>-59.5</v>
          </cell>
          <cell r="BE22">
            <v>-5.25</v>
          </cell>
          <cell r="BJ22">
            <v>-15</v>
          </cell>
          <cell r="BK22">
            <v>-110</v>
          </cell>
          <cell r="BL22">
            <v>-100</v>
          </cell>
          <cell r="BM22">
            <v>-100</v>
          </cell>
          <cell r="BN22">
            <v>-35</v>
          </cell>
          <cell r="BO22">
            <v>-45</v>
          </cell>
          <cell r="BP22">
            <v>-225</v>
          </cell>
          <cell r="BQ22">
            <v>-40</v>
          </cell>
          <cell r="BR22">
            <v>-80</v>
          </cell>
          <cell r="BS22">
            <v>0</v>
          </cell>
          <cell r="BY22">
            <v>-10.232178571428573</v>
          </cell>
          <cell r="CD22">
            <v>-10.232178571428573</v>
          </cell>
        </row>
        <row r="23">
          <cell r="A23">
            <v>18</v>
          </cell>
          <cell r="B23">
            <v>-55</v>
          </cell>
          <cell r="C23">
            <v>-71</v>
          </cell>
          <cell r="D23">
            <v>-51</v>
          </cell>
          <cell r="E23">
            <v>-397</v>
          </cell>
          <cell r="F23">
            <v>-29</v>
          </cell>
          <cell r="G23">
            <v>-122</v>
          </cell>
          <cell r="H23">
            <v>-113</v>
          </cell>
          <cell r="I23">
            <v>-46</v>
          </cell>
          <cell r="J23">
            <v>-80</v>
          </cell>
          <cell r="K23">
            <v>-43</v>
          </cell>
          <cell r="L23">
            <v>0</v>
          </cell>
          <cell r="M23">
            <v>-44</v>
          </cell>
          <cell r="P23">
            <v>-1051</v>
          </cell>
          <cell r="S23">
            <v>-601.89285714285711</v>
          </cell>
          <cell r="T23">
            <v>-1051</v>
          </cell>
          <cell r="U23">
            <v>-750</v>
          </cell>
          <cell r="V23">
            <v>-601.89285714285711</v>
          </cell>
          <cell r="W23">
            <v>-433</v>
          </cell>
          <cell r="X23">
            <v>-405</v>
          </cell>
          <cell r="Y23">
            <v>-317.07142857142856</v>
          </cell>
          <cell r="AA23">
            <v>0</v>
          </cell>
          <cell r="AB23">
            <v>-12.178571428571429</v>
          </cell>
          <cell r="AF23">
            <v>0</v>
          </cell>
          <cell r="AG23">
            <v>2.6428571428571428</v>
          </cell>
          <cell r="AL23">
            <v>-519</v>
          </cell>
          <cell r="AM23">
            <v>-345</v>
          </cell>
          <cell r="AN23">
            <v>-275.28571428571428</v>
          </cell>
          <cell r="AR23">
            <v>-952</v>
          </cell>
          <cell r="AS23">
            <v>-750</v>
          </cell>
          <cell r="AT23">
            <v>-592.35714285714289</v>
          </cell>
          <cell r="AV23">
            <v>-16.321428571428573</v>
          </cell>
          <cell r="AW23">
            <v>-74.857142857142861</v>
          </cell>
          <cell r="AX23">
            <v>-90.678571428571431</v>
          </cell>
          <cell r="AY23">
            <v>-73.642857142857139</v>
          </cell>
          <cell r="AZ23">
            <v>-27.071428571428573</v>
          </cell>
          <cell r="BA23">
            <v>-34.5</v>
          </cell>
          <cell r="BB23">
            <v>-212.03571428571428</v>
          </cell>
          <cell r="BC23">
            <v>1.5</v>
          </cell>
          <cell r="BD23">
            <v>-59.5</v>
          </cell>
          <cell r="BE23">
            <v>-5.25</v>
          </cell>
          <cell r="BJ23">
            <v>-15</v>
          </cell>
          <cell r="BK23">
            <v>-110</v>
          </cell>
          <cell r="BL23">
            <v>-100</v>
          </cell>
          <cell r="BM23">
            <v>-100</v>
          </cell>
          <cell r="BN23">
            <v>-35</v>
          </cell>
          <cell r="BO23">
            <v>-45</v>
          </cell>
          <cell r="BP23">
            <v>-225</v>
          </cell>
          <cell r="BQ23">
            <v>-40</v>
          </cell>
          <cell r="BR23">
            <v>-80</v>
          </cell>
          <cell r="BS23">
            <v>0</v>
          </cell>
          <cell r="BY23">
            <v>-10.834071428571431</v>
          </cell>
          <cell r="CD23">
            <v>-10.834071428571431</v>
          </cell>
        </row>
        <row r="24">
          <cell r="A24">
            <v>19</v>
          </cell>
          <cell r="B24">
            <v>88</v>
          </cell>
          <cell r="C24">
            <v>-68</v>
          </cell>
          <cell r="D24">
            <v>-5</v>
          </cell>
          <cell r="E24">
            <v>-225</v>
          </cell>
          <cell r="F24">
            <v>-29</v>
          </cell>
          <cell r="G24">
            <v>-88</v>
          </cell>
          <cell r="H24">
            <v>-9</v>
          </cell>
          <cell r="I24">
            <v>-50</v>
          </cell>
          <cell r="J24">
            <v>-6</v>
          </cell>
          <cell r="K24">
            <v>-37</v>
          </cell>
          <cell r="L24">
            <v>0</v>
          </cell>
          <cell r="M24">
            <v>114</v>
          </cell>
          <cell r="P24">
            <v>-315</v>
          </cell>
          <cell r="U24">
            <v>-750</v>
          </cell>
          <cell r="W24">
            <v>-219</v>
          </cell>
          <cell r="X24">
            <v>-405</v>
          </cell>
          <cell r="Y24">
            <v>-317.07142857142856</v>
          </cell>
          <cell r="AA24">
            <v>0</v>
          </cell>
          <cell r="AB24">
            <v>-12.178571428571429</v>
          </cell>
          <cell r="AF24">
            <v>0</v>
          </cell>
          <cell r="AG24">
            <v>2.6428571428571428</v>
          </cell>
          <cell r="AM24">
            <v>-345</v>
          </cell>
          <cell r="AS24">
            <v>-750</v>
          </cell>
          <cell r="AV24">
            <v>-16.321428571428573</v>
          </cell>
          <cell r="AW24">
            <v>-74.857142857142861</v>
          </cell>
          <cell r="AX24">
            <v>-90.678571428571431</v>
          </cell>
          <cell r="AY24">
            <v>-73.642857142857139</v>
          </cell>
          <cell r="AZ24">
            <v>-27.071428571428573</v>
          </cell>
          <cell r="BA24">
            <v>-34.5</v>
          </cell>
          <cell r="BB24">
            <v>-212.03571428571428</v>
          </cell>
          <cell r="BC24">
            <v>1.5</v>
          </cell>
          <cell r="BD24">
            <v>-59.5</v>
          </cell>
          <cell r="BE24">
            <v>-5.25</v>
          </cell>
          <cell r="BJ24">
            <v>-15</v>
          </cell>
          <cell r="BK24">
            <v>-110</v>
          </cell>
          <cell r="BL24">
            <v>-100</v>
          </cell>
          <cell r="BM24">
            <v>-100</v>
          </cell>
          <cell r="BN24">
            <v>-35</v>
          </cell>
          <cell r="BO24">
            <v>-45</v>
          </cell>
          <cell r="BP24">
            <v>-225</v>
          </cell>
          <cell r="BQ24">
            <v>-40</v>
          </cell>
          <cell r="BR24">
            <v>-80</v>
          </cell>
          <cell r="BS24">
            <v>0</v>
          </cell>
          <cell r="BY24">
            <v>-11.435964285714288</v>
          </cell>
          <cell r="CD24">
            <v>-11.435964285714288</v>
          </cell>
        </row>
        <row r="25">
          <cell r="A25">
            <v>20</v>
          </cell>
          <cell r="B25">
            <v>52</v>
          </cell>
          <cell r="C25">
            <v>-70</v>
          </cell>
          <cell r="D25">
            <v>36</v>
          </cell>
          <cell r="E25">
            <v>-221</v>
          </cell>
          <cell r="F25">
            <v>-27</v>
          </cell>
          <cell r="G25">
            <v>-117</v>
          </cell>
          <cell r="H25">
            <v>0</v>
          </cell>
          <cell r="I25">
            <v>-50</v>
          </cell>
          <cell r="J25">
            <v>0</v>
          </cell>
          <cell r="K25">
            <v>-42</v>
          </cell>
          <cell r="L25">
            <v>0</v>
          </cell>
          <cell r="M25">
            <v>79</v>
          </cell>
          <cell r="P25">
            <v>-360</v>
          </cell>
          <cell r="U25">
            <v>-750</v>
          </cell>
          <cell r="W25">
            <v>-236</v>
          </cell>
          <cell r="X25">
            <v>-405</v>
          </cell>
          <cell r="Y25">
            <v>-317.07142857142856</v>
          </cell>
          <cell r="AA25">
            <v>0</v>
          </cell>
          <cell r="AB25">
            <v>-12.178571428571429</v>
          </cell>
          <cell r="AF25">
            <v>0</v>
          </cell>
          <cell r="AG25">
            <v>2.6428571428571428</v>
          </cell>
          <cell r="AM25">
            <v>-345</v>
          </cell>
          <cell r="AS25">
            <v>-750</v>
          </cell>
          <cell r="AV25">
            <v>-16.321428571428573</v>
          </cell>
          <cell r="AW25">
            <v>-74.857142857142861</v>
          </cell>
          <cell r="AX25">
            <v>-90.678571428571431</v>
          </cell>
          <cell r="AY25">
            <v>-73.642857142857139</v>
          </cell>
          <cell r="AZ25">
            <v>-27.071428571428573</v>
          </cell>
          <cell r="BA25">
            <v>-34.5</v>
          </cell>
          <cell r="BB25">
            <v>-212.03571428571428</v>
          </cell>
          <cell r="BC25">
            <v>1.5</v>
          </cell>
          <cell r="BD25">
            <v>-59.5</v>
          </cell>
          <cell r="BE25">
            <v>-5.25</v>
          </cell>
          <cell r="BJ25">
            <v>-15</v>
          </cell>
          <cell r="BK25">
            <v>-110</v>
          </cell>
          <cell r="BL25">
            <v>-100</v>
          </cell>
          <cell r="BM25">
            <v>-100</v>
          </cell>
          <cell r="BN25">
            <v>-35</v>
          </cell>
          <cell r="BO25">
            <v>-45</v>
          </cell>
          <cell r="BP25">
            <v>-225</v>
          </cell>
          <cell r="BQ25">
            <v>-40</v>
          </cell>
          <cell r="BR25">
            <v>-80</v>
          </cell>
          <cell r="BS25">
            <v>0</v>
          </cell>
          <cell r="BY25">
            <v>-12.037857142857145</v>
          </cell>
          <cell r="CD25">
            <v>-12.037857142857145</v>
          </cell>
        </row>
        <row r="26">
          <cell r="A26">
            <v>21</v>
          </cell>
          <cell r="B26">
            <v>3</v>
          </cell>
          <cell r="C26">
            <v>-70</v>
          </cell>
          <cell r="D26">
            <v>103</v>
          </cell>
          <cell r="E26">
            <v>-225</v>
          </cell>
          <cell r="F26">
            <v>-26</v>
          </cell>
          <cell r="G26">
            <v>-120</v>
          </cell>
          <cell r="H26">
            <v>0</v>
          </cell>
          <cell r="I26">
            <v>-50</v>
          </cell>
          <cell r="J26">
            <v>0</v>
          </cell>
          <cell r="K26">
            <v>-44</v>
          </cell>
          <cell r="L26">
            <v>0</v>
          </cell>
          <cell r="M26">
            <v>114</v>
          </cell>
          <cell r="P26">
            <v>-315</v>
          </cell>
          <cell r="U26">
            <v>-750</v>
          </cell>
          <cell r="W26">
            <v>-240</v>
          </cell>
          <cell r="X26">
            <v>-405</v>
          </cell>
          <cell r="Y26">
            <v>-317.07142857142856</v>
          </cell>
          <cell r="AA26">
            <v>0</v>
          </cell>
          <cell r="AB26">
            <v>-12.178571428571429</v>
          </cell>
          <cell r="AF26">
            <v>0</v>
          </cell>
          <cell r="AG26">
            <v>2.6428571428571428</v>
          </cell>
          <cell r="AM26">
            <v>-345</v>
          </cell>
          <cell r="AS26">
            <v>-750</v>
          </cell>
          <cell r="AV26">
            <v>-16.321428571428573</v>
          </cell>
          <cell r="AW26">
            <v>-74.857142857142861</v>
          </cell>
          <cell r="AX26">
            <v>-90.678571428571431</v>
          </cell>
          <cell r="AY26">
            <v>-73.642857142857139</v>
          </cell>
          <cell r="AZ26">
            <v>-27.071428571428573</v>
          </cell>
          <cell r="BA26">
            <v>-34.5</v>
          </cell>
          <cell r="BB26">
            <v>-212.03571428571428</v>
          </cell>
          <cell r="BC26">
            <v>1.5</v>
          </cell>
          <cell r="BD26">
            <v>-59.5</v>
          </cell>
          <cell r="BE26">
            <v>-5.25</v>
          </cell>
          <cell r="BJ26">
            <v>-15</v>
          </cell>
          <cell r="BK26">
            <v>-110</v>
          </cell>
          <cell r="BL26">
            <v>-100</v>
          </cell>
          <cell r="BM26">
            <v>-100</v>
          </cell>
          <cell r="BN26">
            <v>-35</v>
          </cell>
          <cell r="BO26">
            <v>-45</v>
          </cell>
          <cell r="BP26">
            <v>-225</v>
          </cell>
          <cell r="BQ26">
            <v>-40</v>
          </cell>
          <cell r="BR26">
            <v>-80</v>
          </cell>
          <cell r="BS26">
            <v>0</v>
          </cell>
          <cell r="BY26">
            <v>-12.639750000000003</v>
          </cell>
          <cell r="CD26">
            <v>-12.639750000000003</v>
          </cell>
        </row>
        <row r="27">
          <cell r="A27">
            <v>22</v>
          </cell>
          <cell r="B27">
            <v>4</v>
          </cell>
          <cell r="C27">
            <v>-62</v>
          </cell>
          <cell r="D27">
            <v>3</v>
          </cell>
          <cell r="E27">
            <v>-225</v>
          </cell>
          <cell r="F27">
            <v>-27</v>
          </cell>
          <cell r="G27">
            <v>-116</v>
          </cell>
          <cell r="H27">
            <v>-92</v>
          </cell>
          <cell r="I27">
            <v>-48</v>
          </cell>
          <cell r="J27">
            <v>-68</v>
          </cell>
          <cell r="K27">
            <v>-43</v>
          </cell>
          <cell r="L27">
            <v>0</v>
          </cell>
          <cell r="M27">
            <v>225</v>
          </cell>
          <cell r="P27">
            <v>-449</v>
          </cell>
          <cell r="U27">
            <v>-750</v>
          </cell>
          <cell r="W27">
            <v>-394</v>
          </cell>
          <cell r="X27">
            <v>-405</v>
          </cell>
          <cell r="Y27">
            <v>-317.07142857142856</v>
          </cell>
          <cell r="AA27">
            <v>0</v>
          </cell>
          <cell r="AB27">
            <v>-12.178571428571429</v>
          </cell>
          <cell r="AF27">
            <v>0</v>
          </cell>
          <cell r="AG27">
            <v>2.6428571428571428</v>
          </cell>
          <cell r="AM27">
            <v>-345</v>
          </cell>
          <cell r="AS27">
            <v>-750</v>
          </cell>
          <cell r="AV27">
            <v>-16.321428571428573</v>
          </cell>
          <cell r="AW27">
            <v>-74.857142857142861</v>
          </cell>
          <cell r="AX27">
            <v>-90.678571428571431</v>
          </cell>
          <cell r="AY27">
            <v>-73.642857142857139</v>
          </cell>
          <cell r="AZ27">
            <v>-27.071428571428573</v>
          </cell>
          <cell r="BA27">
            <v>-34.5</v>
          </cell>
          <cell r="BB27">
            <v>-212.03571428571428</v>
          </cell>
          <cell r="BC27">
            <v>1.5</v>
          </cell>
          <cell r="BD27">
            <v>-59.5</v>
          </cell>
          <cell r="BE27">
            <v>-5.25</v>
          </cell>
          <cell r="BJ27">
            <v>-15</v>
          </cell>
          <cell r="BK27">
            <v>-110</v>
          </cell>
          <cell r="BL27">
            <v>-100</v>
          </cell>
          <cell r="BM27">
            <v>-100</v>
          </cell>
          <cell r="BN27">
            <v>-35</v>
          </cell>
          <cell r="BO27">
            <v>-45</v>
          </cell>
          <cell r="BP27">
            <v>-225</v>
          </cell>
          <cell r="BQ27">
            <v>-40</v>
          </cell>
          <cell r="BR27">
            <v>-80</v>
          </cell>
          <cell r="BS27">
            <v>0</v>
          </cell>
          <cell r="BY27">
            <v>-13.24164285714286</v>
          </cell>
          <cell r="CD27">
            <v>-13.24164285714286</v>
          </cell>
        </row>
        <row r="28">
          <cell r="A28">
            <v>23</v>
          </cell>
          <cell r="B28">
            <v>0</v>
          </cell>
          <cell r="C28">
            <v>-55</v>
          </cell>
          <cell r="D28">
            <v>-21</v>
          </cell>
          <cell r="E28">
            <v>-225</v>
          </cell>
          <cell r="F28">
            <v>-26</v>
          </cell>
          <cell r="G28">
            <v>-81</v>
          </cell>
          <cell r="H28">
            <v>-95</v>
          </cell>
          <cell r="I28">
            <v>-46</v>
          </cell>
          <cell r="J28">
            <v>-75</v>
          </cell>
          <cell r="K28">
            <v>-37</v>
          </cell>
          <cell r="L28">
            <v>-39</v>
          </cell>
          <cell r="M28">
            <v>69</v>
          </cell>
          <cell r="P28">
            <v>-631</v>
          </cell>
          <cell r="U28">
            <v>-750</v>
          </cell>
          <cell r="W28">
            <v>-360</v>
          </cell>
          <cell r="X28">
            <v>-405</v>
          </cell>
          <cell r="Y28">
            <v>-317.07142857142856</v>
          </cell>
          <cell r="AA28">
            <v>0</v>
          </cell>
          <cell r="AB28">
            <v>-12.178571428571429</v>
          </cell>
          <cell r="AF28">
            <v>0</v>
          </cell>
          <cell r="AG28">
            <v>2.6428571428571428</v>
          </cell>
          <cell r="AM28">
            <v>-345</v>
          </cell>
          <cell r="AS28">
            <v>-750</v>
          </cell>
          <cell r="AV28">
            <v>-16.321428571428573</v>
          </cell>
          <cell r="AW28">
            <v>-74.857142857142861</v>
          </cell>
          <cell r="AX28">
            <v>-90.678571428571431</v>
          </cell>
          <cell r="AY28">
            <v>-73.642857142857139</v>
          </cell>
          <cell r="AZ28">
            <v>-27.071428571428573</v>
          </cell>
          <cell r="BA28">
            <v>-34.5</v>
          </cell>
          <cell r="BB28">
            <v>-212.03571428571428</v>
          </cell>
          <cell r="BC28">
            <v>1.5</v>
          </cell>
          <cell r="BD28">
            <v>-59.5</v>
          </cell>
          <cell r="BE28">
            <v>-5.25</v>
          </cell>
          <cell r="BJ28">
            <v>-15</v>
          </cell>
          <cell r="BK28">
            <v>-110</v>
          </cell>
          <cell r="BL28">
            <v>-100</v>
          </cell>
          <cell r="BM28">
            <v>-100</v>
          </cell>
          <cell r="BN28">
            <v>-35</v>
          </cell>
          <cell r="BO28">
            <v>-45</v>
          </cell>
          <cell r="BP28">
            <v>-225</v>
          </cell>
          <cell r="BQ28">
            <v>-40</v>
          </cell>
          <cell r="BR28">
            <v>-80</v>
          </cell>
          <cell r="BS28">
            <v>0</v>
          </cell>
          <cell r="BY28">
            <v>-13.843535714285718</v>
          </cell>
          <cell r="CD28">
            <v>-13.843535714285718</v>
          </cell>
        </row>
        <row r="29">
          <cell r="A29">
            <v>24</v>
          </cell>
          <cell r="B29">
            <v>0</v>
          </cell>
          <cell r="C29">
            <v>-54</v>
          </cell>
          <cell r="D29">
            <v>33</v>
          </cell>
          <cell r="E29">
            <v>-225</v>
          </cell>
          <cell r="F29">
            <v>-26</v>
          </cell>
          <cell r="G29">
            <v>-111</v>
          </cell>
          <cell r="H29">
            <v>-95</v>
          </cell>
          <cell r="I29">
            <v>-44</v>
          </cell>
          <cell r="J29">
            <v>-75</v>
          </cell>
          <cell r="K29">
            <v>-43</v>
          </cell>
          <cell r="L29">
            <v>0</v>
          </cell>
          <cell r="M29">
            <v>297</v>
          </cell>
          <cell r="P29">
            <v>-343</v>
          </cell>
          <cell r="U29">
            <v>-750</v>
          </cell>
          <cell r="W29">
            <v>-394</v>
          </cell>
          <cell r="X29">
            <v>-405</v>
          </cell>
          <cell r="Y29">
            <v>-317.07142857142856</v>
          </cell>
          <cell r="AA29">
            <v>0</v>
          </cell>
          <cell r="AB29">
            <v>-12.178571428571429</v>
          </cell>
          <cell r="AF29">
            <v>0</v>
          </cell>
          <cell r="AG29">
            <v>2.6428571428571428</v>
          </cell>
          <cell r="AM29">
            <v>-345</v>
          </cell>
          <cell r="AS29">
            <v>-750</v>
          </cell>
          <cell r="AV29">
            <v>-16.321428571428573</v>
          </cell>
          <cell r="AW29">
            <v>-74.857142857142861</v>
          </cell>
          <cell r="AX29">
            <v>-90.678571428571431</v>
          </cell>
          <cell r="AY29">
            <v>-73.642857142857139</v>
          </cell>
          <cell r="AZ29">
            <v>-27.071428571428573</v>
          </cell>
          <cell r="BA29">
            <v>-34.5</v>
          </cell>
          <cell r="BB29">
            <v>-212.03571428571428</v>
          </cell>
          <cell r="BC29">
            <v>1.5</v>
          </cell>
          <cell r="BD29">
            <v>-59.5</v>
          </cell>
          <cell r="BE29">
            <v>-5.25</v>
          </cell>
          <cell r="BJ29">
            <v>-15</v>
          </cell>
          <cell r="BK29">
            <v>-110</v>
          </cell>
          <cell r="BL29">
            <v>-100</v>
          </cell>
          <cell r="BM29">
            <v>-100</v>
          </cell>
          <cell r="BN29">
            <v>-35</v>
          </cell>
          <cell r="BO29">
            <v>-45</v>
          </cell>
          <cell r="BP29">
            <v>-225</v>
          </cell>
          <cell r="BQ29">
            <v>-40</v>
          </cell>
          <cell r="BR29">
            <v>-80</v>
          </cell>
          <cell r="BS29">
            <v>0</v>
          </cell>
          <cell r="BY29">
            <v>-14.445428571428575</v>
          </cell>
          <cell r="CD29">
            <v>-14.445428571428575</v>
          </cell>
        </row>
        <row r="30">
          <cell r="A30">
            <v>25</v>
          </cell>
          <cell r="B30">
            <v>0</v>
          </cell>
          <cell r="C30">
            <v>-57</v>
          </cell>
          <cell r="D30">
            <v>0</v>
          </cell>
          <cell r="E30">
            <v>-225</v>
          </cell>
          <cell r="F30">
            <v>-20</v>
          </cell>
          <cell r="G30">
            <v>-109</v>
          </cell>
          <cell r="H30">
            <v>-95</v>
          </cell>
          <cell r="I30">
            <v>-43</v>
          </cell>
          <cell r="J30">
            <v>-75</v>
          </cell>
          <cell r="K30">
            <v>-43</v>
          </cell>
          <cell r="L30">
            <v>0</v>
          </cell>
          <cell r="M30">
            <v>152</v>
          </cell>
          <cell r="P30">
            <v>-515</v>
          </cell>
          <cell r="U30">
            <v>-750</v>
          </cell>
          <cell r="W30">
            <v>-385</v>
          </cell>
          <cell r="X30">
            <v>-405</v>
          </cell>
          <cell r="Y30">
            <v>-317.07142857142856</v>
          </cell>
          <cell r="AA30">
            <v>0</v>
          </cell>
          <cell r="AB30">
            <v>-12.178571428571429</v>
          </cell>
          <cell r="AF30">
            <v>0</v>
          </cell>
          <cell r="AG30">
            <v>2.6428571428571428</v>
          </cell>
          <cell r="AM30">
            <v>-345</v>
          </cell>
          <cell r="AS30">
            <v>-750</v>
          </cell>
          <cell r="AV30">
            <v>-16.321428571428573</v>
          </cell>
          <cell r="AW30">
            <v>-74.857142857142861</v>
          </cell>
          <cell r="AX30">
            <v>-90.678571428571431</v>
          </cell>
          <cell r="BC30">
            <v>1.5</v>
          </cell>
          <cell r="BJ30">
            <v>-15</v>
          </cell>
          <cell r="BK30">
            <v>-110</v>
          </cell>
          <cell r="BL30">
            <v>-100</v>
          </cell>
          <cell r="BM30">
            <v>-100</v>
          </cell>
          <cell r="BN30">
            <v>-35</v>
          </cell>
          <cell r="BO30">
            <v>-45</v>
          </cell>
          <cell r="BP30">
            <v>-225</v>
          </cell>
          <cell r="BQ30">
            <v>-40</v>
          </cell>
          <cell r="BR30">
            <v>-80</v>
          </cell>
          <cell r="BS30">
            <v>0</v>
          </cell>
          <cell r="BY30">
            <v>-15.047321428571433</v>
          </cell>
          <cell r="CD30">
            <v>-15.047321428571433</v>
          </cell>
        </row>
        <row r="31">
          <cell r="A31">
            <v>26</v>
          </cell>
          <cell r="B31">
            <v>0</v>
          </cell>
          <cell r="C31">
            <v>-27</v>
          </cell>
          <cell r="D31">
            <v>1</v>
          </cell>
          <cell r="E31">
            <v>-138</v>
          </cell>
          <cell r="F31">
            <v>-20</v>
          </cell>
          <cell r="G31">
            <v>0</v>
          </cell>
          <cell r="H31">
            <v>-94</v>
          </cell>
          <cell r="I31">
            <v>-42</v>
          </cell>
          <cell r="J31">
            <v>-75</v>
          </cell>
          <cell r="K31">
            <v>0</v>
          </cell>
          <cell r="L31">
            <v>36</v>
          </cell>
          <cell r="M31">
            <v>290</v>
          </cell>
          <cell r="P31">
            <v>-69</v>
          </cell>
          <cell r="U31">
            <v>-750</v>
          </cell>
          <cell r="W31">
            <v>-231</v>
          </cell>
          <cell r="X31">
            <v>-405</v>
          </cell>
          <cell r="Y31">
            <v>-317.07142857142856</v>
          </cell>
          <cell r="AA31">
            <v>0</v>
          </cell>
          <cell r="AF31">
            <v>0</v>
          </cell>
          <cell r="AM31">
            <v>-345</v>
          </cell>
          <cell r="AS31">
            <v>-750</v>
          </cell>
          <cell r="AV31">
            <v>-16.321428571428573</v>
          </cell>
          <cell r="AW31">
            <v>-74.857142857142861</v>
          </cell>
          <cell r="AX31">
            <v>-90.678571428571431</v>
          </cell>
          <cell r="BC31">
            <v>1.5</v>
          </cell>
          <cell r="BJ31">
            <v>-15</v>
          </cell>
          <cell r="BK31">
            <v>-110</v>
          </cell>
          <cell r="BL31">
            <v>-100</v>
          </cell>
          <cell r="BM31">
            <v>-100</v>
          </cell>
          <cell r="BN31">
            <v>-35</v>
          </cell>
          <cell r="BO31">
            <v>-45</v>
          </cell>
          <cell r="BP31">
            <v>-225</v>
          </cell>
          <cell r="BQ31">
            <v>-40</v>
          </cell>
          <cell r="BR31">
            <v>-80</v>
          </cell>
          <cell r="BS31">
            <v>0</v>
          </cell>
          <cell r="BY31">
            <v>-15.64921428571429</v>
          </cell>
          <cell r="CD31">
            <v>-15.64921428571429</v>
          </cell>
        </row>
        <row r="32">
          <cell r="A32">
            <v>27</v>
          </cell>
          <cell r="B32">
            <v>-29</v>
          </cell>
          <cell r="C32">
            <v>-60</v>
          </cell>
          <cell r="D32">
            <v>0</v>
          </cell>
          <cell r="E32">
            <v>-154</v>
          </cell>
          <cell r="F32">
            <v>-19</v>
          </cell>
          <cell r="G32">
            <v>0</v>
          </cell>
          <cell r="H32">
            <v>-93</v>
          </cell>
          <cell r="I32">
            <v>-43</v>
          </cell>
          <cell r="J32">
            <v>-75</v>
          </cell>
          <cell r="K32">
            <v>0</v>
          </cell>
          <cell r="L32">
            <v>93</v>
          </cell>
          <cell r="M32">
            <v>182</v>
          </cell>
          <cell r="P32">
            <v>-198</v>
          </cell>
          <cell r="U32">
            <v>-750</v>
          </cell>
          <cell r="X32">
            <v>-405</v>
          </cell>
          <cell r="AA32">
            <v>0</v>
          </cell>
          <cell r="AF32">
            <v>0</v>
          </cell>
          <cell r="AM32">
            <v>-345</v>
          </cell>
          <cell r="AS32">
            <v>-750</v>
          </cell>
          <cell r="BJ32">
            <v>-15</v>
          </cell>
          <cell r="BK32">
            <v>-110</v>
          </cell>
          <cell r="BL32">
            <v>-100</v>
          </cell>
          <cell r="BM32">
            <v>-100</v>
          </cell>
          <cell r="BN32">
            <v>-35</v>
          </cell>
          <cell r="BO32">
            <v>-45</v>
          </cell>
          <cell r="BP32">
            <v>-225</v>
          </cell>
          <cell r="BQ32">
            <v>-40</v>
          </cell>
          <cell r="BR32">
            <v>-80</v>
          </cell>
          <cell r="BS32">
            <v>0</v>
          </cell>
          <cell r="BY32">
            <v>-16.251107142857148</v>
          </cell>
          <cell r="CD32">
            <v>-16.251107142857148</v>
          </cell>
        </row>
      </sheetData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angible Plant"/>
      <sheetName val="Production"/>
      <sheetName val="Storage"/>
      <sheetName val="Transmission"/>
      <sheetName val="Distribution"/>
      <sheetName val="General Plant"/>
      <sheetName val="Tax Rates"/>
      <sheetName val="39 Year Rate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Yr. Life</v>
          </cell>
          <cell r="B1" t="str">
            <v>Year 1</v>
          </cell>
          <cell r="C1" t="str">
            <v>Year 2</v>
          </cell>
          <cell r="D1" t="str">
            <v>Year 3</v>
          </cell>
          <cell r="E1" t="str">
            <v>Year 4</v>
          </cell>
          <cell r="F1" t="str">
            <v>Description</v>
          </cell>
        </row>
        <row r="2">
          <cell r="A2">
            <v>1</v>
          </cell>
          <cell r="B2">
            <v>1</v>
          </cell>
          <cell r="C2">
            <v>0</v>
          </cell>
          <cell r="D2">
            <v>0</v>
          </cell>
          <cell r="E2">
            <v>0</v>
          </cell>
          <cell r="F2" t="str">
            <v>Transportation Equipment - Duel Fuel Kits &lt;= 2,000</v>
          </cell>
        </row>
        <row r="3">
          <cell r="A3">
            <v>1</v>
          </cell>
          <cell r="B3">
            <v>1</v>
          </cell>
          <cell r="C3">
            <v>0</v>
          </cell>
          <cell r="D3">
            <v>0</v>
          </cell>
          <cell r="E3">
            <v>0</v>
          </cell>
          <cell r="F3" t="str">
            <v>Duel Fuel Stations &lt;= 100,000</v>
          </cell>
        </row>
        <row r="4">
          <cell r="A4">
            <v>3</v>
          </cell>
          <cell r="B4">
            <v>0.16666666666666666</v>
          </cell>
          <cell r="C4">
            <v>0.33333333333333331</v>
          </cell>
          <cell r="D4">
            <v>0.33333333333333331</v>
          </cell>
          <cell r="E4">
            <v>0.16666666666666666</v>
          </cell>
          <cell r="F4" t="str">
            <v>Intangible Plant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</v>
          </cell>
          <cell r="F5" t="str">
            <v>Office Furniture &amp; Equipment - Computers</v>
          </cell>
        </row>
        <row r="6">
          <cell r="A6">
            <v>5</v>
          </cell>
          <cell r="B6">
            <v>0.2</v>
          </cell>
          <cell r="C6">
            <v>0.32</v>
          </cell>
          <cell r="D6">
            <v>0.192</v>
          </cell>
          <cell r="E6">
            <v>0.1152</v>
          </cell>
          <cell r="F6" t="str">
            <v>Office Furniture &amp; Equipment - Equipment</v>
          </cell>
        </row>
        <row r="7">
          <cell r="A7">
            <v>5</v>
          </cell>
          <cell r="B7">
            <v>0.2</v>
          </cell>
          <cell r="C7">
            <v>0.32</v>
          </cell>
          <cell r="D7">
            <v>0.192</v>
          </cell>
          <cell r="E7">
            <v>0.1152</v>
          </cell>
          <cell r="F7" t="str">
            <v>Transportation Equipment - Automobiles</v>
          </cell>
        </row>
        <row r="8">
          <cell r="A8">
            <v>5</v>
          </cell>
          <cell r="B8">
            <v>0.2</v>
          </cell>
          <cell r="C8">
            <v>0.32</v>
          </cell>
          <cell r="D8">
            <v>0.192</v>
          </cell>
          <cell r="E8">
            <v>0.1152</v>
          </cell>
          <cell r="F8" t="str">
            <v>Transportation Equipment - Trucks</v>
          </cell>
        </row>
        <row r="9">
          <cell r="A9">
            <v>5</v>
          </cell>
          <cell r="B9">
            <v>0.2</v>
          </cell>
          <cell r="C9">
            <v>0.32</v>
          </cell>
          <cell r="D9">
            <v>0.192</v>
          </cell>
          <cell r="E9">
            <v>0.1152</v>
          </cell>
          <cell r="F9" t="str">
            <v>Transportation Equipment - Trailers</v>
          </cell>
        </row>
        <row r="10">
          <cell r="A10">
            <v>5</v>
          </cell>
          <cell r="B10">
            <v>0.2</v>
          </cell>
          <cell r="C10">
            <v>0.32</v>
          </cell>
          <cell r="D10">
            <v>0.192</v>
          </cell>
          <cell r="E10">
            <v>0.1152</v>
          </cell>
          <cell r="F10" t="str">
            <v>Transportation Equipment - Duel Fuel Kits &gt; 2,000</v>
          </cell>
        </row>
        <row r="11">
          <cell r="A11">
            <v>7</v>
          </cell>
          <cell r="B11">
            <v>0.14285999999999999</v>
          </cell>
          <cell r="C11">
            <v>0.24490000000000001</v>
          </cell>
          <cell r="D11">
            <v>0.17493</v>
          </cell>
          <cell r="E11">
            <v>0.12495000000000001</v>
          </cell>
          <cell r="F11" t="str">
            <v>Production &amp; Gathering</v>
          </cell>
        </row>
        <row r="12">
          <cell r="A12">
            <v>7</v>
          </cell>
          <cell r="B12">
            <v>0.14285999999999999</v>
          </cell>
          <cell r="C12">
            <v>0.24490000000000001</v>
          </cell>
          <cell r="D12">
            <v>0.17493</v>
          </cell>
          <cell r="E12">
            <v>0.12495000000000001</v>
          </cell>
          <cell r="F12" t="str">
            <v>Office Furniture &amp; Equipment - Furniture</v>
          </cell>
        </row>
        <row r="13">
          <cell r="A13">
            <v>7</v>
          </cell>
          <cell r="B13">
            <v>0.14285999999999999</v>
          </cell>
          <cell r="C13">
            <v>0.24490000000000001</v>
          </cell>
          <cell r="D13">
            <v>0.17493</v>
          </cell>
          <cell r="E13">
            <v>0.12495000000000001</v>
          </cell>
          <cell r="F13" t="str">
            <v>Stores Equipment</v>
          </cell>
        </row>
        <row r="14">
          <cell r="A14">
            <v>7</v>
          </cell>
          <cell r="B14">
            <v>0.14285999999999999</v>
          </cell>
          <cell r="C14">
            <v>0.24490000000000001</v>
          </cell>
          <cell r="D14">
            <v>0.17493</v>
          </cell>
          <cell r="E14">
            <v>0.12495000000000001</v>
          </cell>
          <cell r="F14" t="str">
            <v>Tools, Shop &amp; Garage Equipment</v>
          </cell>
        </row>
        <row r="15">
          <cell r="A15">
            <v>7</v>
          </cell>
          <cell r="B15">
            <v>0.14285999999999999</v>
          </cell>
          <cell r="C15">
            <v>0.24490000000000001</v>
          </cell>
          <cell r="D15">
            <v>0.17493</v>
          </cell>
          <cell r="E15">
            <v>0.12495000000000001</v>
          </cell>
          <cell r="F15" t="str">
            <v>Miscellaneous Equipment</v>
          </cell>
        </row>
        <row r="16">
          <cell r="A16">
            <v>7</v>
          </cell>
          <cell r="B16">
            <v>0.14285999999999999</v>
          </cell>
          <cell r="C16">
            <v>0.24490000000000001</v>
          </cell>
          <cell r="D16">
            <v>0.17493</v>
          </cell>
          <cell r="E16">
            <v>0.12495000000000001</v>
          </cell>
          <cell r="F16" t="str">
            <v>Office Furniture &amp; Equipment - Legal Books</v>
          </cell>
        </row>
        <row r="17">
          <cell r="A17">
            <v>15</v>
          </cell>
          <cell r="B17">
            <v>0.05</v>
          </cell>
          <cell r="C17">
            <v>9.5000000000000001E-2</v>
          </cell>
          <cell r="D17">
            <v>8.5500000000000007E-2</v>
          </cell>
          <cell r="E17">
            <v>7.6899999999999996E-2</v>
          </cell>
          <cell r="F17" t="str">
            <v>Storage, Transmission, &amp; Distribution for 08, 09 &amp; 2010 Investments</v>
          </cell>
        </row>
        <row r="18">
          <cell r="A18">
            <v>20</v>
          </cell>
          <cell r="B18">
            <v>3.7499999999999999E-2</v>
          </cell>
          <cell r="C18">
            <v>7.22E-2</v>
          </cell>
          <cell r="D18">
            <v>6.6799999999999998E-2</v>
          </cell>
          <cell r="E18">
            <v>6.1800000000000001E-2</v>
          </cell>
          <cell r="F18" t="str">
            <v>Distribution for 2011 &amp; Beyond Investments</v>
          </cell>
        </row>
        <row r="19">
          <cell r="A19">
            <v>20</v>
          </cell>
          <cell r="B19">
            <v>3.7499999999999999E-2</v>
          </cell>
          <cell r="C19">
            <v>7.22E-2</v>
          </cell>
          <cell r="D19">
            <v>6.6799999999999998E-2</v>
          </cell>
          <cell r="E19">
            <v>6.1800000000000001E-2</v>
          </cell>
          <cell r="F19" t="str">
            <v>Duel Fuel Stations &gt; 100,000</v>
          </cell>
        </row>
        <row r="20">
          <cell r="A20">
            <v>20</v>
          </cell>
          <cell r="B20">
            <v>3.7499999999999999E-2</v>
          </cell>
          <cell r="C20">
            <v>7.22E-2</v>
          </cell>
          <cell r="D20">
            <v>6.6799999999999998E-2</v>
          </cell>
          <cell r="E20">
            <v>6.1800000000000001E-2</v>
          </cell>
          <cell r="F20" t="str">
            <v>Power Operated Equipment</v>
          </cell>
        </row>
        <row r="21">
          <cell r="A21">
            <v>20</v>
          </cell>
          <cell r="B21">
            <v>3.7499999999999999E-2</v>
          </cell>
          <cell r="C21">
            <v>7.22E-2</v>
          </cell>
          <cell r="D21">
            <v>6.6799999999999998E-2</v>
          </cell>
          <cell r="E21">
            <v>6.1800000000000001E-2</v>
          </cell>
          <cell r="F21" t="str">
            <v>Communication Equipment - Radio</v>
          </cell>
        </row>
        <row r="22">
          <cell r="A22">
            <v>20</v>
          </cell>
          <cell r="B22">
            <v>3.7499999999999999E-2</v>
          </cell>
          <cell r="C22">
            <v>7.22E-2</v>
          </cell>
          <cell r="D22">
            <v>6.6799999999999998E-2</v>
          </cell>
          <cell r="E22">
            <v>6.1800000000000001E-2</v>
          </cell>
          <cell r="F22" t="str">
            <v>Communication Equipment - Telephone</v>
          </cell>
        </row>
        <row r="23">
          <cell r="A23">
            <v>20</v>
          </cell>
          <cell r="B23">
            <v>3.7499999999999999E-2</v>
          </cell>
          <cell r="C23">
            <v>7.22E-2</v>
          </cell>
          <cell r="D23">
            <v>6.6799999999999998E-2</v>
          </cell>
          <cell r="E23">
            <v>6.1800000000000001E-2</v>
          </cell>
          <cell r="F23" t="str">
            <v>Rights of Way - Communication</v>
          </cell>
        </row>
        <row r="24">
          <cell r="A24">
            <v>39</v>
          </cell>
          <cell r="B24">
            <v>1.391E-2</v>
          </cell>
          <cell r="C24">
            <v>2.564E-2</v>
          </cell>
          <cell r="D24">
            <v>2.564E-2</v>
          </cell>
          <cell r="E24">
            <v>2.564E-2</v>
          </cell>
          <cell r="F24" t="str">
            <v>Structures and Improvements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tabSelected="1" zoomScaleNormal="100" workbookViewId="0">
      <selection activeCell="A2" sqref="A2:E2"/>
    </sheetView>
  </sheetViews>
  <sheetFormatPr defaultColWidth="9.140625" defaultRowHeight="15"/>
  <cols>
    <col min="1" max="1" width="7.85546875" style="107" bestFit="1" customWidth="1"/>
    <col min="2" max="2" width="2.85546875" style="108" customWidth="1"/>
    <col min="3" max="3" width="28" style="108" customWidth="1"/>
    <col min="4" max="4" width="0" style="108" hidden="1" customWidth="1"/>
    <col min="5" max="5" width="2" style="108" customWidth="1"/>
    <col min="6" max="6" width="15" style="112" bestFit="1" customWidth="1"/>
    <col min="7" max="7" width="20.5703125" style="108" customWidth="1"/>
    <col min="8" max="8" width="3.7109375" style="108" customWidth="1"/>
    <col min="9" max="9" width="25.42578125" style="108" customWidth="1"/>
    <col min="10" max="10" width="15.7109375" style="108" bestFit="1" customWidth="1"/>
    <col min="11" max="16384" width="9.140625" style="108"/>
  </cols>
  <sheetData>
    <row r="2" spans="1:10" s="106" customFormat="1" ht="60">
      <c r="A2" s="128" t="s">
        <v>0</v>
      </c>
      <c r="B2" s="129"/>
      <c r="C2" s="129"/>
      <c r="D2" s="129" t="s">
        <v>1</v>
      </c>
      <c r="E2" s="129"/>
      <c r="F2" s="127" t="s">
        <v>2</v>
      </c>
      <c r="G2" s="128" t="s">
        <v>3</v>
      </c>
      <c r="H2" s="128"/>
      <c r="I2" s="128" t="s">
        <v>4</v>
      </c>
      <c r="J2" s="128" t="s">
        <v>5</v>
      </c>
    </row>
    <row r="3" spans="1:10" ht="24.75" customHeight="1">
      <c r="A3" s="107">
        <v>1</v>
      </c>
      <c r="B3" s="108" t="s">
        <v>6</v>
      </c>
      <c r="D3" s="109">
        <v>2</v>
      </c>
      <c r="F3" s="110">
        <v>15821883.527727328</v>
      </c>
      <c r="G3" s="110">
        <v>0</v>
      </c>
      <c r="H3" s="110"/>
      <c r="I3" s="111">
        <f>F3-G3</f>
        <v>15821883.527727328</v>
      </c>
    </row>
    <row r="4" spans="1:10" ht="24.75" customHeight="1">
      <c r="A4" s="107">
        <f>1+A3</f>
        <v>2</v>
      </c>
      <c r="B4" s="108" t="s">
        <v>7</v>
      </c>
      <c r="D4" s="109">
        <v>3</v>
      </c>
      <c r="F4" s="112">
        <v>16006949.709243715</v>
      </c>
      <c r="G4" s="112">
        <v>0</v>
      </c>
      <c r="H4" s="112"/>
      <c r="I4" s="113">
        <f>F4-G4</f>
        <v>16006949.709243715</v>
      </c>
    </row>
    <row r="5" spans="1:10" ht="24.75" customHeight="1">
      <c r="A5" s="107">
        <f t="shared" ref="A5:A11" si="0">1+A4</f>
        <v>3</v>
      </c>
      <c r="B5" s="108" t="s">
        <v>8</v>
      </c>
      <c r="D5" s="109">
        <v>4</v>
      </c>
      <c r="F5" s="112">
        <v>9903030.0800000001</v>
      </c>
      <c r="G5" s="112">
        <f>+'Schedule III'!C21</f>
        <v>1216637</v>
      </c>
      <c r="H5" s="112"/>
      <c r="I5" s="113">
        <f t="shared" ref="I5:I8" si="1">F5-G5</f>
        <v>8686393.0800000001</v>
      </c>
    </row>
    <row r="6" spans="1:10" ht="24.75" customHeight="1">
      <c r="A6" s="107">
        <f t="shared" si="0"/>
        <v>4</v>
      </c>
      <c r="B6" s="108" t="s">
        <v>9</v>
      </c>
      <c r="D6" s="109">
        <v>5</v>
      </c>
      <c r="F6" s="112">
        <v>3893351.6560080228</v>
      </c>
      <c r="G6" s="112">
        <f>+'Schedule III'!C44</f>
        <v>821153.87214920495</v>
      </c>
      <c r="H6" s="112"/>
      <c r="I6" s="113">
        <f t="shared" si="1"/>
        <v>3072197.783858818</v>
      </c>
    </row>
    <row r="7" spans="1:10" ht="24.75" customHeight="1">
      <c r="A7" s="107">
        <f t="shared" si="0"/>
        <v>5</v>
      </c>
      <c r="B7" s="108" t="s">
        <v>10</v>
      </c>
      <c r="D7" s="109">
        <v>6</v>
      </c>
      <c r="F7" s="112">
        <v>10311660</v>
      </c>
      <c r="G7" s="112">
        <f>+'PSC 3-3(b)'!Q15</f>
        <v>2388855</v>
      </c>
      <c r="H7" s="112"/>
      <c r="I7" s="113">
        <f t="shared" si="1"/>
        <v>7922805</v>
      </c>
    </row>
    <row r="8" spans="1:10" ht="24.75" customHeight="1">
      <c r="A8" s="107">
        <f t="shared" si="0"/>
        <v>6</v>
      </c>
      <c r="B8" s="108" t="s">
        <v>11</v>
      </c>
      <c r="D8" s="109">
        <v>7</v>
      </c>
      <c r="F8" s="114">
        <v>2512595.9507916025</v>
      </c>
      <c r="G8" s="114">
        <f>+'PSC 3-3(b)'!Q16</f>
        <v>794173</v>
      </c>
      <c r="H8" s="114"/>
      <c r="I8" s="114">
        <f t="shared" si="1"/>
        <v>1718422.9507916025</v>
      </c>
      <c r="J8" s="115"/>
    </row>
    <row r="9" spans="1:10" ht="24.75" customHeight="1">
      <c r="A9" s="107">
        <f t="shared" si="0"/>
        <v>7</v>
      </c>
      <c r="C9" s="108" t="s">
        <v>12</v>
      </c>
      <c r="D9" s="107"/>
      <c r="F9" s="110">
        <f>SUM(F3:F8)</f>
        <v>58449470.923770666</v>
      </c>
      <c r="G9" s="110">
        <f>SUM(G3:G8)</f>
        <v>5220818.8721492048</v>
      </c>
      <c r="H9" s="110"/>
      <c r="I9" s="110">
        <f>SUM(I3:I8)</f>
        <v>53228652.051621467</v>
      </c>
      <c r="J9" s="116">
        <f>I9-F9</f>
        <v>-5220818.8721491992</v>
      </c>
    </row>
    <row r="10" spans="1:10" ht="24.75" customHeight="1">
      <c r="A10" s="107">
        <f t="shared" si="0"/>
        <v>8</v>
      </c>
      <c r="B10" s="108" t="s">
        <v>13</v>
      </c>
      <c r="D10" s="109">
        <v>2</v>
      </c>
      <c r="F10" s="114">
        <v>-49314301.215355426</v>
      </c>
      <c r="G10" s="117">
        <v>3467250</v>
      </c>
      <c r="H10" s="117" t="s">
        <v>14</v>
      </c>
      <c r="I10" s="114">
        <f>F10+G10</f>
        <v>-45847051.215355426</v>
      </c>
      <c r="J10" s="114">
        <f t="shared" ref="J10:J11" si="2">I10-F10</f>
        <v>3467250</v>
      </c>
    </row>
    <row r="11" spans="1:10" ht="24.75" customHeight="1">
      <c r="A11" s="107">
        <f t="shared" si="0"/>
        <v>9</v>
      </c>
      <c r="B11" s="108" t="s">
        <v>15</v>
      </c>
      <c r="D11" s="107"/>
      <c r="F11" s="118">
        <f>+F9+F10</f>
        <v>9135169.70841524</v>
      </c>
      <c r="G11" s="119"/>
      <c r="H11" s="119"/>
      <c r="I11" s="118">
        <f>+I9+I10</f>
        <v>7381600.8362660408</v>
      </c>
      <c r="J11" s="118">
        <f t="shared" si="2"/>
        <v>-1753568.8721491992</v>
      </c>
    </row>
    <row r="12" spans="1:10">
      <c r="D12" s="107"/>
    </row>
    <row r="13" spans="1:10">
      <c r="D13" s="107"/>
      <c r="F13" s="120"/>
      <c r="I13" s="120"/>
    </row>
    <row r="14" spans="1:10">
      <c r="D14" s="107"/>
    </row>
    <row r="15" spans="1:10">
      <c r="C15" s="108" t="s">
        <v>16</v>
      </c>
    </row>
  </sheetData>
  <pageMargins left="0.75" right="0.75" top="1.54" bottom="1" header="0.5" footer="0.5"/>
  <pageSetup orientation="landscape" verticalDpi="1200" r:id="rId1"/>
  <headerFooter alignWithMargins="0">
    <oddHeader xml:space="preserve">&amp;C&amp;"Times New Roman,Bold"Delta Natural Gas Company, Inc.
Revenue Rquirement Summary With and Without PRP Roll-in
Forecasted Test Period 12 ME 12/31/22&amp;R&amp;"Times New Roman,Regular"&amp;11Attachment PSC 3-3 (a)
Witnesses:  John B. Brown
William Steven Seeelye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43"/>
  <sheetViews>
    <sheetView view="pageBreakPreview" topLeftCell="A16" zoomScaleNormal="100" zoomScaleSheetLayoutView="100" workbookViewId="0">
      <selection activeCell="E44" sqref="E44"/>
    </sheetView>
  </sheetViews>
  <sheetFormatPr defaultColWidth="9.140625" defaultRowHeight="15"/>
  <cols>
    <col min="1" max="1" width="14.42578125" style="19" customWidth="1"/>
    <col min="2" max="2" width="18.5703125" style="19" bestFit="1" customWidth="1"/>
    <col min="3" max="4" width="12.7109375" style="19" customWidth="1"/>
    <col min="5" max="5" width="11.28515625" style="19" bestFit="1" customWidth="1"/>
    <col min="6" max="6" width="12.7109375" style="19" customWidth="1"/>
    <col min="7" max="7" width="12.42578125" style="19" bestFit="1" customWidth="1"/>
    <col min="8" max="8" width="13.140625" style="19" bestFit="1" customWidth="1"/>
    <col min="9" max="9" width="2.7109375" style="19" customWidth="1"/>
    <col min="10" max="10" width="10.7109375" style="19" customWidth="1"/>
    <col min="11" max="11" width="8.140625" style="19" bestFit="1" customWidth="1"/>
    <col min="12" max="12" width="12.7109375" style="19" customWidth="1"/>
    <col min="13" max="14" width="11.28515625" style="19" bestFit="1" customWidth="1"/>
    <col min="15" max="15" width="8.42578125" style="19" bestFit="1" customWidth="1"/>
    <col min="16" max="16" width="11.28515625" style="19" bestFit="1" customWidth="1"/>
    <col min="17" max="17" width="2.7109375" style="19" customWidth="1"/>
    <col min="18" max="18" width="13.7109375" style="19" bestFit="1" customWidth="1"/>
    <col min="19" max="19" width="7.7109375" style="19" bestFit="1" customWidth="1"/>
    <col min="20" max="20" width="7.42578125" style="19" bestFit="1" customWidth="1"/>
    <col min="21" max="16384" width="9.140625" style="19"/>
  </cols>
  <sheetData>
    <row r="1" spans="1:19">
      <c r="A1" s="22" t="s">
        <v>70</v>
      </c>
      <c r="B1" s="7">
        <v>2017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>
      <c r="A2" s="22" t="s">
        <v>72</v>
      </c>
      <c r="B2" s="25"/>
      <c r="C2" s="25"/>
      <c r="D2" s="14" t="s">
        <v>73</v>
      </c>
      <c r="E2" s="25"/>
      <c r="F2" s="125" t="s">
        <v>75</v>
      </c>
      <c r="G2" s="125"/>
      <c r="H2" s="1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>
      <c r="A3" s="25"/>
      <c r="B3" s="25"/>
      <c r="C3" s="25"/>
      <c r="D3" s="16" t="s">
        <v>74</v>
      </c>
      <c r="E3" s="25"/>
      <c r="F3" s="20"/>
      <c r="G3" s="14"/>
      <c r="H3" s="20"/>
      <c r="I3" s="25"/>
      <c r="J3" s="23" t="s">
        <v>76</v>
      </c>
      <c r="K3" s="25"/>
      <c r="L3" s="25"/>
      <c r="M3" s="25"/>
      <c r="N3" s="25"/>
      <c r="O3" s="25"/>
      <c r="P3" s="25"/>
      <c r="Q3" s="25"/>
      <c r="R3" s="25"/>
      <c r="S3" s="25"/>
    </row>
    <row r="4" spans="1:19">
      <c r="A4" s="25"/>
      <c r="B4" s="25"/>
      <c r="C4" s="16">
        <v>2017</v>
      </c>
      <c r="D4" s="16" t="s">
        <v>77</v>
      </c>
      <c r="E4" s="25"/>
      <c r="F4" s="16"/>
      <c r="G4" s="16" t="s">
        <v>78</v>
      </c>
      <c r="H4" s="16"/>
      <c r="I4" s="25"/>
      <c r="J4" s="16" t="s">
        <v>79</v>
      </c>
      <c r="K4" s="25"/>
      <c r="L4" s="25"/>
      <c r="M4" s="25"/>
      <c r="N4" s="25"/>
      <c r="O4" s="16" t="s">
        <v>80</v>
      </c>
      <c r="P4" s="16" t="s">
        <v>80</v>
      </c>
      <c r="Q4" s="25"/>
      <c r="R4" s="25"/>
      <c r="S4" s="25"/>
    </row>
    <row r="5" spans="1:19">
      <c r="A5" s="25"/>
      <c r="B5" s="25"/>
      <c r="C5" s="123" t="s">
        <v>81</v>
      </c>
      <c r="D5" s="10">
        <v>6</v>
      </c>
      <c r="E5" s="25"/>
      <c r="F5" s="123" t="s">
        <v>82</v>
      </c>
      <c r="G5" s="123" t="s">
        <v>83</v>
      </c>
      <c r="H5" s="123" t="s">
        <v>84</v>
      </c>
      <c r="I5" s="25"/>
      <c r="J5" s="123" t="s">
        <v>85</v>
      </c>
      <c r="K5" s="25"/>
      <c r="L5" s="25"/>
      <c r="M5" s="25"/>
      <c r="N5" s="25"/>
      <c r="O5" s="123" t="s">
        <v>65</v>
      </c>
      <c r="P5" s="123" t="s">
        <v>86</v>
      </c>
      <c r="Q5" s="25"/>
      <c r="R5" s="25"/>
      <c r="S5" s="25"/>
    </row>
    <row r="6" spans="1:19">
      <c r="A6" s="25">
        <v>1</v>
      </c>
      <c r="B6" s="25" t="s">
        <v>87</v>
      </c>
      <c r="C6" s="100">
        <v>1891971</v>
      </c>
      <c r="D6" s="2">
        <v>3.1E-2</v>
      </c>
      <c r="E6" s="25"/>
      <c r="F6" s="100">
        <v>-263930</v>
      </c>
      <c r="G6" s="18">
        <f>ROUND(IF(D$5=1,-0.5*D6*C6,-D6*C6),0)</f>
        <v>-58651</v>
      </c>
      <c r="H6" s="18">
        <f t="shared" ref="H6:H11" si="0">SUM(F6:G6)</f>
        <v>-322581</v>
      </c>
      <c r="I6" s="25"/>
      <c r="J6" s="5">
        <f t="shared" ref="J6:J11" si="1">C6+H6</f>
        <v>1569390</v>
      </c>
      <c r="K6" s="25"/>
      <c r="L6" s="25"/>
      <c r="M6" s="25"/>
      <c r="N6" s="25"/>
      <c r="O6" s="11">
        <v>1E-4</v>
      </c>
      <c r="P6" s="17">
        <f>ROUND(IF(D$5=1,-0.5*O6*C6,-O6*C6),0)</f>
        <v>-189</v>
      </c>
      <c r="Q6" s="25"/>
      <c r="R6" s="25"/>
      <c r="S6" s="25"/>
    </row>
    <row r="7" spans="1:19">
      <c r="A7" s="25">
        <v>2</v>
      </c>
      <c r="B7" s="25" t="s">
        <v>88</v>
      </c>
      <c r="C7" s="100">
        <v>90359</v>
      </c>
      <c r="D7" s="2">
        <v>2.3300000000000001E-2</v>
      </c>
      <c r="E7" s="25"/>
      <c r="F7" s="100">
        <v>-9473</v>
      </c>
      <c r="G7" s="18">
        <f>ROUND(IF(D$5=1,-0.5*D7*C7,-D7*C7),0)</f>
        <v>-2105</v>
      </c>
      <c r="H7" s="18">
        <f t="shared" si="0"/>
        <v>-11578</v>
      </c>
      <c r="I7" s="25"/>
      <c r="J7" s="5">
        <f t="shared" si="1"/>
        <v>78781</v>
      </c>
      <c r="K7" s="25"/>
      <c r="L7" s="25"/>
      <c r="M7" s="25"/>
      <c r="N7" s="25"/>
      <c r="O7" s="11">
        <v>2.0000000000000001E-4</v>
      </c>
      <c r="P7" s="5">
        <f>ROUND(IF(D$5=1,-0.5*O7*C7,-O7*C7),0)</f>
        <v>-18</v>
      </c>
      <c r="Q7" s="25"/>
      <c r="R7" s="25"/>
      <c r="S7" s="25"/>
    </row>
    <row r="8" spans="1:19">
      <c r="A8" s="25">
        <v>3</v>
      </c>
      <c r="B8" s="25" t="s">
        <v>89</v>
      </c>
      <c r="C8" s="100">
        <v>185093</v>
      </c>
      <c r="D8" s="2">
        <v>2.69E-2</v>
      </c>
      <c r="E8" s="25"/>
      <c r="F8" s="100">
        <v>-22406</v>
      </c>
      <c r="G8" s="18">
        <f>ROUND(IF(D$5=1,-0.5*D8*C8,-D8*C8),0)</f>
        <v>-4979</v>
      </c>
      <c r="H8" s="18">
        <f t="shared" si="0"/>
        <v>-27385</v>
      </c>
      <c r="I8" s="25"/>
      <c r="J8" s="5">
        <f t="shared" si="1"/>
        <v>157708</v>
      </c>
      <c r="K8" s="25"/>
      <c r="L8" s="25"/>
      <c r="M8" s="25"/>
      <c r="N8" s="25"/>
      <c r="O8" s="11">
        <v>4.1999999999999997E-3</v>
      </c>
      <c r="P8" s="5">
        <f>ROUND(IF(D$5=1,-0.5*O8*C8,-O8*C8),0)</f>
        <v>-777</v>
      </c>
      <c r="Q8" s="25"/>
      <c r="R8" s="25"/>
      <c r="S8" s="25"/>
    </row>
    <row r="9" spans="1:19">
      <c r="A9" s="25">
        <v>4</v>
      </c>
      <c r="B9" s="25" t="s">
        <v>90</v>
      </c>
      <c r="C9" s="100">
        <v>0</v>
      </c>
      <c r="D9" s="2">
        <v>2.2499999999999999E-2</v>
      </c>
      <c r="E9" s="25"/>
      <c r="F9" s="100">
        <v>0</v>
      </c>
      <c r="G9" s="18">
        <f>ROUND(IF(D$5=1,-0.5*D9*C9,-D9*C9),0)</f>
        <v>0</v>
      </c>
      <c r="H9" s="18">
        <f t="shared" si="0"/>
        <v>0</v>
      </c>
      <c r="I9" s="25"/>
      <c r="J9" s="5">
        <f t="shared" si="1"/>
        <v>0</v>
      </c>
      <c r="K9" s="25"/>
      <c r="L9" s="25"/>
      <c r="M9" s="25"/>
      <c r="N9" s="25"/>
      <c r="O9" s="11">
        <v>0</v>
      </c>
      <c r="P9" s="5">
        <f>IF(D$5=1,-0.5*O9*C9,-O9*C9)</f>
        <v>0</v>
      </c>
      <c r="Q9" s="25"/>
      <c r="R9" s="25"/>
      <c r="S9" s="25"/>
    </row>
    <row r="10" spans="1:19">
      <c r="A10" s="25">
        <v>5</v>
      </c>
      <c r="B10" s="25" t="s">
        <v>91</v>
      </c>
      <c r="C10" s="100">
        <v>0</v>
      </c>
      <c r="D10" s="2">
        <v>2.0500000000000001E-2</v>
      </c>
      <c r="E10" s="25"/>
      <c r="F10" s="100">
        <v>0</v>
      </c>
      <c r="G10" s="18">
        <f>ROUND(IF(D$5=1,-0.5*D10*C10,-D10*C10),0)</f>
        <v>0</v>
      </c>
      <c r="H10" s="18">
        <f t="shared" si="0"/>
        <v>0</v>
      </c>
      <c r="I10" s="25"/>
      <c r="J10" s="5">
        <f t="shared" si="1"/>
        <v>0</v>
      </c>
      <c r="K10" s="25"/>
      <c r="L10" s="25"/>
      <c r="M10" s="25"/>
      <c r="N10" s="25"/>
      <c r="O10" s="11">
        <v>0</v>
      </c>
      <c r="P10" s="5">
        <f>IF(D$5=1,-0.5*O10*C10,-O10*C10)</f>
        <v>0</v>
      </c>
      <c r="Q10" s="25"/>
      <c r="R10" s="25"/>
      <c r="S10" s="25"/>
    </row>
    <row r="11" spans="1:19">
      <c r="A11" s="25">
        <v>6</v>
      </c>
      <c r="B11" s="25" t="s">
        <v>92</v>
      </c>
      <c r="C11" s="101">
        <v>312527</v>
      </c>
      <c r="D11" s="3" t="s">
        <v>93</v>
      </c>
      <c r="E11" s="25"/>
      <c r="F11" s="101">
        <v>-4429</v>
      </c>
      <c r="G11" s="21">
        <f>P12</f>
        <v>-984</v>
      </c>
      <c r="H11" s="21">
        <f t="shared" si="0"/>
        <v>-5413</v>
      </c>
      <c r="I11" s="25"/>
      <c r="J11" s="6">
        <f t="shared" si="1"/>
        <v>307114</v>
      </c>
      <c r="K11" s="25"/>
      <c r="L11" s="25"/>
      <c r="M11" s="25"/>
      <c r="N11" s="25"/>
      <c r="O11" s="24">
        <v>0</v>
      </c>
      <c r="P11" s="6">
        <f>IF(D$5=1,-0.5*O11*C11,-O11*C11)</f>
        <v>0</v>
      </c>
      <c r="Q11" s="25"/>
      <c r="R11" s="25"/>
      <c r="S11" s="25"/>
    </row>
    <row r="12" spans="1:19">
      <c r="A12" s="25"/>
      <c r="B12" s="25"/>
      <c r="C12" s="18">
        <f>SUM(C6:C11)</f>
        <v>2479950</v>
      </c>
      <c r="D12" s="18"/>
      <c r="E12" s="25"/>
      <c r="F12" s="100">
        <f>SUM(F5:F11)</f>
        <v>-300238</v>
      </c>
      <c r="G12" s="18">
        <f>SUM(G5:G11)</f>
        <v>-66719</v>
      </c>
      <c r="H12" s="18">
        <f>SUM(H5:H11)</f>
        <v>-366957</v>
      </c>
      <c r="I12" s="25"/>
      <c r="J12" s="5">
        <f>SUM(J6:J11)</f>
        <v>2112993</v>
      </c>
      <c r="K12" s="25"/>
      <c r="L12" s="25"/>
      <c r="M12" s="25"/>
      <c r="N12" s="25"/>
      <c r="O12" s="5"/>
      <c r="P12" s="17">
        <f>SUM(P5:P11)</f>
        <v>-984</v>
      </c>
      <c r="Q12" s="25"/>
      <c r="R12" s="25"/>
      <c r="S12" s="25"/>
    </row>
    <row r="13" spans="1:19" ht="14.25" customHeight="1">
      <c r="A13" s="25"/>
      <c r="B13" s="25"/>
      <c r="C13" s="18"/>
      <c r="D13" s="18"/>
      <c r="E13" s="18"/>
      <c r="F13" s="18"/>
      <c r="G13" s="25"/>
      <c r="H13" s="25"/>
      <c r="I13" s="25"/>
      <c r="J13" s="25"/>
      <c r="K13" s="25"/>
      <c r="L13" s="25"/>
      <c r="M13" s="16"/>
      <c r="N13" s="20"/>
      <c r="O13" s="25"/>
      <c r="P13" s="25"/>
      <c r="Q13" s="25"/>
      <c r="R13" s="25"/>
      <c r="S13" s="25"/>
    </row>
    <row r="14" spans="1:19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6"/>
      <c r="N14" s="20"/>
      <c r="O14" s="25"/>
      <c r="P14" s="25"/>
      <c r="Q14" s="25"/>
      <c r="R14" s="25"/>
      <c r="S14" s="25"/>
    </row>
    <row r="15" spans="1:19">
      <c r="A15" s="84"/>
      <c r="B15" s="84"/>
      <c r="C15" s="84"/>
      <c r="D15" s="95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19">
      <c r="A16" s="84"/>
      <c r="B16" s="84"/>
      <c r="C16" s="93"/>
      <c r="D16" s="95" t="s">
        <v>94</v>
      </c>
      <c r="E16" s="93"/>
      <c r="F16" s="93"/>
      <c r="G16" s="48">
        <v>0.5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  <c r="S16" s="84"/>
    </row>
    <row r="17" spans="1:19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  <c r="S17" s="84"/>
    </row>
    <row r="18" spans="1:19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6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  <c r="S18" s="84"/>
    </row>
    <row r="19" spans="1:19">
      <c r="A19" s="84">
        <v>7</v>
      </c>
      <c r="B19" s="84" t="s">
        <v>87</v>
      </c>
      <c r="C19" s="87">
        <f t="shared" ref="C19:C24" si="2">C6</f>
        <v>1891971</v>
      </c>
      <c r="D19" s="51">
        <v>0.98499999999999999</v>
      </c>
      <c r="E19" s="87">
        <f>ROUND(C19*-D19,0)</f>
        <v>-1863591</v>
      </c>
      <c r="F19" s="52">
        <f>C19+E19</f>
        <v>28380</v>
      </c>
      <c r="G19" s="52">
        <f t="shared" ref="G19:G24" si="3">ROUND(F19*-$G$16,0)</f>
        <v>-14190</v>
      </c>
      <c r="H19" s="53">
        <f t="shared" ref="H19:H24" si="4">F19+G19</f>
        <v>14190</v>
      </c>
      <c r="I19" s="84"/>
      <c r="J19" s="84">
        <v>15</v>
      </c>
      <c r="K19" s="54">
        <f>IFERROR(VLOOKUP(J19,'Tax Rates'!$A$1:$AA$12,$K$18+1,FALSE),0)</f>
        <v>6.2330000000000003E-2</v>
      </c>
      <c r="L19" s="102">
        <v>-1883127</v>
      </c>
      <c r="M19" s="52">
        <v>0</v>
      </c>
      <c r="N19" s="52">
        <v>0</v>
      </c>
      <c r="O19" s="87">
        <f>ROUND(K19*-H19,0)</f>
        <v>-884</v>
      </c>
      <c r="P19" s="55">
        <f t="shared" ref="P19:P24" si="5">SUM(L19:O19)</f>
        <v>-1884011</v>
      </c>
      <c r="Q19" s="84"/>
      <c r="R19" s="52">
        <f>C19+P19</f>
        <v>7960</v>
      </c>
      <c r="S19" s="84"/>
    </row>
    <row r="20" spans="1:19">
      <c r="A20" s="84">
        <v>8</v>
      </c>
      <c r="B20" s="84" t="s">
        <v>88</v>
      </c>
      <c r="C20" s="33">
        <f t="shared" si="2"/>
        <v>90359</v>
      </c>
      <c r="D20" s="56">
        <f>-E20/C20</f>
        <v>0</v>
      </c>
      <c r="E20" s="34">
        <v>0</v>
      </c>
      <c r="F20" s="52">
        <f>C20+E20</f>
        <v>90359</v>
      </c>
      <c r="G20" s="52">
        <f t="shared" si="3"/>
        <v>-45180</v>
      </c>
      <c r="H20" s="53">
        <f t="shared" si="4"/>
        <v>45179</v>
      </c>
      <c r="I20" s="84"/>
      <c r="J20" s="84">
        <v>15</v>
      </c>
      <c r="K20" s="54">
        <f>IFERROR(VLOOKUP(J20,'Tax Rates'!$A$1:$AA$12,$K$18+1,FALSE),0)</f>
        <v>6.2330000000000003E-2</v>
      </c>
      <c r="L20" s="102">
        <v>-62200</v>
      </c>
      <c r="M20" s="52">
        <f t="shared" ref="M20" si="6">E20</f>
        <v>0</v>
      </c>
      <c r="N20" s="52">
        <v>0</v>
      </c>
      <c r="O20" s="87">
        <f>ROUND(K20*-H20,0)</f>
        <v>-2816</v>
      </c>
      <c r="P20" s="55">
        <f t="shared" si="5"/>
        <v>-65016</v>
      </c>
      <c r="Q20" s="84"/>
      <c r="R20" s="52">
        <f>C20+P20</f>
        <v>25343</v>
      </c>
      <c r="S20" s="84"/>
    </row>
    <row r="21" spans="1:19">
      <c r="A21" s="84">
        <v>9</v>
      </c>
      <c r="B21" s="84" t="s">
        <v>89</v>
      </c>
      <c r="C21" s="33">
        <f t="shared" si="2"/>
        <v>185093</v>
      </c>
      <c r="D21" s="51">
        <v>1</v>
      </c>
      <c r="E21" s="87">
        <f>ROUND(C21*-D21,0)</f>
        <v>-185093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5.2850000000000001E-2</v>
      </c>
      <c r="L21" s="102">
        <v>-185093</v>
      </c>
      <c r="M21" s="52">
        <v>0</v>
      </c>
      <c r="N21" s="52">
        <v>0</v>
      </c>
      <c r="O21" s="87">
        <f>ROUND(K21*-H21,0)</f>
        <v>0</v>
      </c>
      <c r="P21" s="55">
        <f t="shared" si="5"/>
        <v>-185093</v>
      </c>
      <c r="Q21" s="84"/>
      <c r="R21" s="52">
        <f>C21+P21</f>
        <v>0</v>
      </c>
      <c r="S21" s="84"/>
    </row>
    <row r="22" spans="1:19">
      <c r="A22" s="84">
        <v>10</v>
      </c>
      <c r="B22" s="84" t="s">
        <v>90</v>
      </c>
      <c r="C22" s="33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8.9249999999999996E-2</v>
      </c>
      <c r="L22" s="102">
        <v>0</v>
      </c>
      <c r="M22" s="52">
        <v>0</v>
      </c>
      <c r="N22" s="52">
        <v>0</v>
      </c>
      <c r="O22" s="87">
        <f>ROUND(K22*-H22,0)</f>
        <v>0</v>
      </c>
      <c r="P22" s="55">
        <f t="shared" si="5"/>
        <v>0</v>
      </c>
      <c r="Q22" s="84"/>
      <c r="R22" s="52">
        <f>C22+P22</f>
        <v>0</v>
      </c>
      <c r="S22" s="84"/>
    </row>
    <row r="23" spans="1:19">
      <c r="A23" s="84">
        <v>11</v>
      </c>
      <c r="B23" s="84" t="s">
        <v>91</v>
      </c>
      <c r="C23" s="33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6.2330000000000003E-2</v>
      </c>
      <c r="L23" s="102">
        <v>0</v>
      </c>
      <c r="M23" s="52">
        <v>0</v>
      </c>
      <c r="N23" s="52">
        <v>0</v>
      </c>
      <c r="O23" s="87">
        <f>ROUND(K23*-H23,0)</f>
        <v>0</v>
      </c>
      <c r="P23" s="55">
        <f t="shared" si="5"/>
        <v>0</v>
      </c>
      <c r="Q23" s="84"/>
      <c r="R23" s="52">
        <f>C23+P23</f>
        <v>0</v>
      </c>
      <c r="S23" s="84"/>
    </row>
    <row r="24" spans="1:19">
      <c r="A24" s="84">
        <v>12</v>
      </c>
      <c r="B24" s="84" t="s">
        <v>92</v>
      </c>
      <c r="C24" s="88">
        <f t="shared" si="2"/>
        <v>312527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v>0</v>
      </c>
      <c r="N24" s="63">
        <v>0</v>
      </c>
      <c r="O24" s="88">
        <v>0</v>
      </c>
      <c r="P24" s="64">
        <f t="shared" si="5"/>
        <v>0</v>
      </c>
      <c r="Q24" s="84"/>
      <c r="R24" s="65" t="s">
        <v>105</v>
      </c>
      <c r="S24" s="84"/>
    </row>
    <row r="25" spans="1:19">
      <c r="A25" s="84"/>
      <c r="B25" s="84"/>
      <c r="C25" s="87">
        <f>SUM(C18:C24)</f>
        <v>2479950</v>
      </c>
      <c r="D25" s="84"/>
      <c r="E25" s="87">
        <f>SUM(E19:E24)</f>
        <v>-2048684</v>
      </c>
      <c r="F25" s="87">
        <f>SUM(F19:F24)</f>
        <v>118739</v>
      </c>
      <c r="G25" s="87">
        <f>SUM(G19:G24)</f>
        <v>-59370</v>
      </c>
      <c r="H25" s="55">
        <f>SUM(H19:H24)</f>
        <v>59369</v>
      </c>
      <c r="I25" s="84"/>
      <c r="J25" s="84"/>
      <c r="K25" s="84"/>
      <c r="L25" s="55">
        <f>SUM(L19:L24)</f>
        <v>-2130420</v>
      </c>
      <c r="M25" s="87">
        <f>SUM(M19:M24)</f>
        <v>0</v>
      </c>
      <c r="N25" s="87">
        <f>SUM(N19:N24)</f>
        <v>0</v>
      </c>
      <c r="O25" s="87">
        <f>SUM(O19:O24)</f>
        <v>-3700</v>
      </c>
      <c r="P25" s="55">
        <f>SUM(P19:P24)</f>
        <v>-2134120</v>
      </c>
      <c r="Q25" s="84"/>
      <c r="R25" s="52">
        <f>SUM(R19:R24)</f>
        <v>33303</v>
      </c>
      <c r="S25" s="84"/>
    </row>
    <row r="26" spans="1:19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  <c r="S26" s="84"/>
    </row>
    <row r="27" spans="1:19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>
      <c r="A28" s="84"/>
      <c r="B28" s="84"/>
      <c r="C28" s="84"/>
      <c r="D28" s="84"/>
      <c r="E28" s="87"/>
      <c r="F28" s="50" t="s">
        <v>106</v>
      </c>
      <c r="G28" s="66" t="s">
        <v>114</v>
      </c>
      <c r="H28" s="67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19">
      <c r="A31" s="84">
        <v>13</v>
      </c>
      <c r="B31" s="84" t="s">
        <v>87</v>
      </c>
      <c r="C31" s="84"/>
      <c r="D31" s="52">
        <f t="shared" ref="D31:D36" si="7">J6</f>
        <v>1569390</v>
      </c>
      <c r="E31" s="52">
        <f t="shared" ref="E31:E36" si="8">R19</f>
        <v>7960</v>
      </c>
      <c r="F31" s="52">
        <f>E31-D31</f>
        <v>-1561430</v>
      </c>
      <c r="G31" s="68">
        <v>0.37959999999999999</v>
      </c>
      <c r="H31" s="52">
        <f>ROUND(F31*0.3796,0)</f>
        <v>-592719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>
      <c r="A32" s="84">
        <v>14</v>
      </c>
      <c r="B32" s="84" t="s">
        <v>88</v>
      </c>
      <c r="C32" s="84"/>
      <c r="D32" s="57">
        <f t="shared" si="7"/>
        <v>78781</v>
      </c>
      <c r="E32" s="52">
        <f t="shared" si="8"/>
        <v>25343</v>
      </c>
      <c r="F32" s="52">
        <f>E32-D32</f>
        <v>-53438</v>
      </c>
      <c r="G32" s="67">
        <f>G31</f>
        <v>0.37959999999999999</v>
      </c>
      <c r="H32" s="52">
        <f t="shared" ref="H32:H36" si="9">ROUND(F32*0.3796,0)</f>
        <v>-20285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8">
      <c r="A33" s="84">
        <v>15</v>
      </c>
      <c r="B33" s="84" t="s">
        <v>89</v>
      </c>
      <c r="C33" s="84"/>
      <c r="D33" s="57">
        <f t="shared" si="7"/>
        <v>157708</v>
      </c>
      <c r="E33" s="52">
        <f t="shared" si="8"/>
        <v>0</v>
      </c>
      <c r="F33" s="52">
        <f>E33-D33</f>
        <v>-157708</v>
      </c>
      <c r="G33" s="67">
        <f>G31</f>
        <v>0.37959999999999999</v>
      </c>
      <c r="H33" s="52">
        <f t="shared" si="9"/>
        <v>-59866</v>
      </c>
    </row>
    <row r="34" spans="1:8">
      <c r="A34" s="84">
        <v>16</v>
      </c>
      <c r="B34" s="84" t="s">
        <v>90</v>
      </c>
      <c r="C34" s="84"/>
      <c r="D34" s="57">
        <f t="shared" si="7"/>
        <v>0</v>
      </c>
      <c r="E34" s="52">
        <f t="shared" si="8"/>
        <v>0</v>
      </c>
      <c r="F34" s="52">
        <f>E34-D34</f>
        <v>0</v>
      </c>
      <c r="G34" s="67">
        <f>G31</f>
        <v>0.37959999999999999</v>
      </c>
      <c r="H34" s="52">
        <f t="shared" si="9"/>
        <v>0</v>
      </c>
    </row>
    <row r="35" spans="1:8">
      <c r="A35" s="84">
        <v>17</v>
      </c>
      <c r="B35" s="84" t="s">
        <v>91</v>
      </c>
      <c r="C35" s="84"/>
      <c r="D35" s="57">
        <f t="shared" si="7"/>
        <v>0</v>
      </c>
      <c r="E35" s="52">
        <f t="shared" si="8"/>
        <v>0</v>
      </c>
      <c r="F35" s="52">
        <f>E35-D35</f>
        <v>0</v>
      </c>
      <c r="G35" s="67">
        <f>G31</f>
        <v>0.37959999999999999</v>
      </c>
      <c r="H35" s="52">
        <f t="shared" si="9"/>
        <v>0</v>
      </c>
    </row>
    <row r="36" spans="1:8">
      <c r="A36" s="84">
        <v>18</v>
      </c>
      <c r="B36" s="84" t="s">
        <v>92</v>
      </c>
      <c r="C36" s="84"/>
      <c r="D36" s="59">
        <f t="shared" si="7"/>
        <v>307114</v>
      </c>
      <c r="E36" s="65" t="str">
        <f t="shared" si="8"/>
        <v>NA</v>
      </c>
      <c r="F36" s="59">
        <f>-D36</f>
        <v>-307114</v>
      </c>
      <c r="G36" s="69">
        <f>G31</f>
        <v>0.37959999999999999</v>
      </c>
      <c r="H36" s="59">
        <f t="shared" si="9"/>
        <v>-116580</v>
      </c>
    </row>
    <row r="37" spans="1:8">
      <c r="A37" s="84"/>
      <c r="B37" s="84"/>
      <c r="C37" s="84"/>
      <c r="D37" s="52">
        <f>SUM(D31:D36)</f>
        <v>2112993</v>
      </c>
      <c r="E37" s="52">
        <f>SUM(E31:E36)</f>
        <v>33303</v>
      </c>
      <c r="F37" s="52">
        <f>SUM(F31:F36)</f>
        <v>-2079690</v>
      </c>
      <c r="G37" s="84"/>
      <c r="H37" s="52">
        <f>SUM(H31:H36)</f>
        <v>-789450</v>
      </c>
    </row>
    <row r="39" spans="1:8" s="27" customFormat="1">
      <c r="A39" s="74" t="s">
        <v>73</v>
      </c>
      <c r="B39" s="84" t="s">
        <v>112</v>
      </c>
      <c r="C39" s="84"/>
      <c r="D39" s="84"/>
      <c r="E39" s="84"/>
      <c r="F39" s="84"/>
      <c r="G39" s="84"/>
      <c r="H39" s="84"/>
    </row>
    <row r="40" spans="1:8" s="27" customFormat="1">
      <c r="A40" s="74" t="s">
        <v>114</v>
      </c>
      <c r="B40" s="84" t="s">
        <v>115</v>
      </c>
      <c r="C40" s="84"/>
      <c r="D40" s="84"/>
      <c r="E40" s="84"/>
      <c r="F40" s="84"/>
      <c r="G40" s="84"/>
      <c r="H40" s="84"/>
    </row>
    <row r="41" spans="1:8" s="27" customFormat="1">
      <c r="A41" s="84"/>
      <c r="B41" s="84" t="s">
        <v>116</v>
      </c>
      <c r="C41" s="84"/>
      <c r="D41" s="84"/>
      <c r="E41" s="84"/>
      <c r="F41" s="84"/>
      <c r="G41" s="84"/>
      <c r="H41" s="84"/>
    </row>
    <row r="42" spans="1:8" s="27" customFormat="1">
      <c r="A42" s="84"/>
      <c r="B42" s="84" t="s">
        <v>117</v>
      </c>
      <c r="C42" s="84"/>
      <c r="D42" s="84"/>
      <c r="E42" s="84"/>
      <c r="F42" s="84"/>
      <c r="G42" s="84"/>
      <c r="H42" s="84"/>
    </row>
    <row r="43" spans="1:8" s="27" customFormat="1">
      <c r="A43" s="84"/>
      <c r="B43" s="84" t="s">
        <v>118</v>
      </c>
      <c r="C43" s="84"/>
      <c r="D43" s="84"/>
      <c r="E43" s="84"/>
      <c r="F43" s="84"/>
      <c r="G43" s="84"/>
      <c r="H43" s="84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48"/>
  <sheetViews>
    <sheetView view="pageBreakPreview" topLeftCell="A19" zoomScaleNormal="100" zoomScaleSheetLayoutView="100" workbookViewId="0">
      <selection activeCell="E44" sqref="E44"/>
    </sheetView>
  </sheetViews>
  <sheetFormatPr defaultColWidth="9.140625" defaultRowHeight="15"/>
  <cols>
    <col min="1" max="1" width="14.42578125" style="19" customWidth="1"/>
    <col min="2" max="2" width="18.5703125" style="19" bestFit="1" customWidth="1"/>
    <col min="3" max="4" width="12.7109375" style="19" customWidth="1"/>
    <col min="5" max="5" width="11.28515625" style="19" bestFit="1" customWidth="1"/>
    <col min="6" max="6" width="12.7109375" style="19" customWidth="1"/>
    <col min="7" max="7" width="12.42578125" style="19" bestFit="1" customWidth="1"/>
    <col min="8" max="8" width="13.140625" style="19" bestFit="1" customWidth="1"/>
    <col min="9" max="9" width="2.7109375" style="19" customWidth="1"/>
    <col min="10" max="10" width="10.7109375" style="19" customWidth="1"/>
    <col min="11" max="11" width="8.140625" style="19" bestFit="1" customWidth="1"/>
    <col min="12" max="12" width="12.7109375" style="19" customWidth="1"/>
    <col min="13" max="14" width="11.28515625" style="19" bestFit="1" customWidth="1"/>
    <col min="15" max="15" width="8.42578125" style="19" bestFit="1" customWidth="1"/>
    <col min="16" max="16" width="11.28515625" style="19" bestFit="1" customWidth="1"/>
    <col min="17" max="17" width="2.7109375" style="19" customWidth="1"/>
    <col min="18" max="18" width="13.7109375" style="19" bestFit="1" customWidth="1"/>
    <col min="19" max="19" width="7.7109375" style="19" bestFit="1" customWidth="1"/>
    <col min="20" max="20" width="7.42578125" style="19" bestFit="1" customWidth="1"/>
    <col min="21" max="16384" width="9.140625" style="19"/>
  </cols>
  <sheetData>
    <row r="1" spans="1:18">
      <c r="A1" s="22" t="s">
        <v>70</v>
      </c>
      <c r="B1" s="7">
        <v>2018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2" t="s">
        <v>72</v>
      </c>
      <c r="B2" s="25"/>
      <c r="C2" s="25"/>
      <c r="D2" s="14" t="s">
        <v>73</v>
      </c>
      <c r="E2" s="25"/>
      <c r="F2" s="125" t="s">
        <v>75</v>
      </c>
      <c r="G2" s="125"/>
      <c r="H2" s="1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A3" s="25"/>
      <c r="B3" s="25"/>
      <c r="C3" s="25"/>
      <c r="D3" s="16" t="s">
        <v>74</v>
      </c>
      <c r="E3" s="25"/>
      <c r="F3" s="20"/>
      <c r="G3" s="14"/>
      <c r="H3" s="20"/>
      <c r="I3" s="25"/>
      <c r="J3" s="23" t="s">
        <v>76</v>
      </c>
      <c r="K3" s="25"/>
      <c r="L3" s="25"/>
      <c r="M3" s="25"/>
      <c r="N3" s="25"/>
      <c r="O3" s="25"/>
      <c r="P3" s="25"/>
      <c r="Q3" s="25"/>
      <c r="R3" s="25"/>
    </row>
    <row r="4" spans="1:18">
      <c r="A4" s="25"/>
      <c r="B4" s="25"/>
      <c r="C4" s="16">
        <v>2018</v>
      </c>
      <c r="D4" s="16" t="s">
        <v>77</v>
      </c>
      <c r="E4" s="25"/>
      <c r="F4" s="16"/>
      <c r="G4" s="16" t="s">
        <v>78</v>
      </c>
      <c r="H4" s="16"/>
      <c r="I4" s="25"/>
      <c r="J4" s="16" t="s">
        <v>79</v>
      </c>
      <c r="K4" s="25"/>
      <c r="L4" s="25"/>
      <c r="M4" s="25"/>
      <c r="N4" s="25"/>
      <c r="O4" s="16" t="s">
        <v>80</v>
      </c>
      <c r="P4" s="16" t="s">
        <v>80</v>
      </c>
      <c r="Q4" s="25"/>
      <c r="R4" s="25"/>
    </row>
    <row r="5" spans="1:18">
      <c r="A5" s="25"/>
      <c r="B5" s="25"/>
      <c r="C5" s="123" t="s">
        <v>81</v>
      </c>
      <c r="D5" s="10">
        <v>5</v>
      </c>
      <c r="E5" s="25"/>
      <c r="F5" s="123" t="s">
        <v>82</v>
      </c>
      <c r="G5" s="123" t="s">
        <v>83</v>
      </c>
      <c r="H5" s="123" t="s">
        <v>84</v>
      </c>
      <c r="I5" s="25"/>
      <c r="J5" s="123" t="s">
        <v>85</v>
      </c>
      <c r="K5" s="25"/>
      <c r="L5" s="25"/>
      <c r="M5" s="25"/>
      <c r="N5" s="25"/>
      <c r="O5" s="123" t="s">
        <v>65</v>
      </c>
      <c r="P5" s="123" t="s">
        <v>86</v>
      </c>
      <c r="Q5" s="25"/>
      <c r="R5" s="25"/>
    </row>
    <row r="6" spans="1:18">
      <c r="A6" s="25">
        <v>1</v>
      </c>
      <c r="B6" s="25" t="s">
        <v>87</v>
      </c>
      <c r="C6" s="100">
        <v>2669534</v>
      </c>
      <c r="D6" s="2">
        <v>3.1E-2</v>
      </c>
      <c r="E6" s="25"/>
      <c r="F6" s="100">
        <v>-289646</v>
      </c>
      <c r="G6" s="18">
        <f>ROUND(IF(D$5=1,-0.5*D6*C6,-D6*C6),0)</f>
        <v>-82756</v>
      </c>
      <c r="H6" s="18">
        <f t="shared" ref="H6:H11" si="0">SUM(F6:G6)</f>
        <v>-372402</v>
      </c>
      <c r="I6" s="25"/>
      <c r="J6" s="5">
        <f t="shared" ref="J6:J11" si="1">C6+H6</f>
        <v>2297132</v>
      </c>
      <c r="K6" s="25"/>
      <c r="L6" s="25"/>
      <c r="M6" s="25"/>
      <c r="N6" s="25"/>
      <c r="O6" s="11">
        <v>1E-4</v>
      </c>
      <c r="P6" s="17">
        <f>ROUND(IF(D$5=1,-0.5*O6*C6,-O6*C6),0)</f>
        <v>-267</v>
      </c>
      <c r="Q6" s="25"/>
      <c r="R6" s="25"/>
    </row>
    <row r="7" spans="1:18">
      <c r="A7" s="25">
        <v>2</v>
      </c>
      <c r="B7" s="25" t="s">
        <v>88</v>
      </c>
      <c r="C7" s="100">
        <v>611904</v>
      </c>
      <c r="D7" s="2">
        <v>2.3300000000000001E-2</v>
      </c>
      <c r="E7" s="25"/>
      <c r="F7" s="100">
        <v>-49900</v>
      </c>
      <c r="G7" s="18">
        <f>ROUND(IF(D$5=1,-0.5*D7*C7,-D7*C7),0)</f>
        <v>-14257</v>
      </c>
      <c r="H7" s="18">
        <f t="shared" si="0"/>
        <v>-64157</v>
      </c>
      <c r="I7" s="25"/>
      <c r="J7" s="5">
        <f t="shared" si="1"/>
        <v>547747</v>
      </c>
      <c r="K7" s="25"/>
      <c r="L7" s="25"/>
      <c r="M7" s="25"/>
      <c r="N7" s="25"/>
      <c r="O7" s="11">
        <v>2.0000000000000001E-4</v>
      </c>
      <c r="P7" s="5">
        <f>ROUND(IF(D$5=1,-0.5*O7*C7,-O7*C7),0)</f>
        <v>-122</v>
      </c>
      <c r="Q7" s="25"/>
      <c r="R7" s="25"/>
    </row>
    <row r="8" spans="1:18">
      <c r="A8" s="25">
        <v>3</v>
      </c>
      <c r="B8" s="25" t="s">
        <v>89</v>
      </c>
      <c r="C8" s="100">
        <v>166771</v>
      </c>
      <c r="D8" s="2">
        <v>2.69E-2</v>
      </c>
      <c r="E8" s="25"/>
      <c r="F8" s="100">
        <v>-15701</v>
      </c>
      <c r="G8" s="18">
        <f>ROUND(IF(D$5=1,-0.5*D8*C8,-D8*C8),0)</f>
        <v>-4486</v>
      </c>
      <c r="H8" s="18">
        <f t="shared" si="0"/>
        <v>-20187</v>
      </c>
      <c r="I8" s="25"/>
      <c r="J8" s="5">
        <f t="shared" si="1"/>
        <v>146584</v>
      </c>
      <c r="K8" s="25"/>
      <c r="L8" s="25"/>
      <c r="M8" s="25"/>
      <c r="N8" s="25"/>
      <c r="O8" s="11">
        <v>4.1999999999999997E-3</v>
      </c>
      <c r="P8" s="5">
        <f>ROUND(IF(D$5=1,-0.5*O8*C8,-O8*C8),0)</f>
        <v>-700</v>
      </c>
      <c r="Q8" s="25"/>
      <c r="R8" s="25"/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E9" s="25"/>
      <c r="F9" s="100">
        <v>0</v>
      </c>
      <c r="G9" s="18">
        <f>ROUND(IF(D$5=1,-0.5*D9*C9,-D9*C9),0)</f>
        <v>0</v>
      </c>
      <c r="H9" s="18">
        <f t="shared" si="0"/>
        <v>0</v>
      </c>
      <c r="I9" s="25"/>
      <c r="J9" s="5">
        <f t="shared" si="1"/>
        <v>0</v>
      </c>
      <c r="K9" s="25"/>
      <c r="L9" s="25"/>
      <c r="M9" s="25"/>
      <c r="N9" s="25"/>
      <c r="O9" s="11">
        <v>0</v>
      </c>
      <c r="P9" s="5">
        <f>IF(D$5=1,-0.5*O9*C9,-O9*C9)</f>
        <v>0</v>
      </c>
      <c r="Q9" s="25"/>
      <c r="R9" s="25"/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E10" s="25"/>
      <c r="F10" s="100">
        <v>0</v>
      </c>
      <c r="G10" s="18">
        <f>ROUND(IF(D$5=1,-0.5*D10*C10,-D10*C10),0)</f>
        <v>0</v>
      </c>
      <c r="H10" s="18">
        <f t="shared" si="0"/>
        <v>0</v>
      </c>
      <c r="I10" s="25"/>
      <c r="J10" s="5">
        <f t="shared" si="1"/>
        <v>0</v>
      </c>
      <c r="K10" s="25"/>
      <c r="L10" s="25"/>
      <c r="M10" s="25"/>
      <c r="N10" s="25"/>
      <c r="O10" s="11">
        <v>0</v>
      </c>
      <c r="P10" s="5">
        <f>IF(D$5=1,-0.5*O10*C10,-O10*C10)</f>
        <v>0</v>
      </c>
      <c r="Q10" s="25"/>
      <c r="R10" s="25"/>
    </row>
    <row r="11" spans="1:18">
      <c r="A11" s="25">
        <v>6</v>
      </c>
      <c r="B11" s="25" t="s">
        <v>92</v>
      </c>
      <c r="C11" s="101">
        <v>441538</v>
      </c>
      <c r="D11" s="3" t="s">
        <v>93</v>
      </c>
      <c r="E11" s="25"/>
      <c r="F11" s="101">
        <v>-3811</v>
      </c>
      <c r="G11" s="21">
        <f>P12</f>
        <v>-1089</v>
      </c>
      <c r="H11" s="21">
        <f t="shared" si="0"/>
        <v>-4900</v>
      </c>
      <c r="I11" s="25"/>
      <c r="J11" s="6">
        <f t="shared" si="1"/>
        <v>436638</v>
      </c>
      <c r="K11" s="25"/>
      <c r="L11" s="25"/>
      <c r="M11" s="25"/>
      <c r="N11" s="25"/>
      <c r="O11" s="24">
        <v>0</v>
      </c>
      <c r="P11" s="6">
        <f>IF(D$5=1,-0.5*O11*C11,-O11*C11)</f>
        <v>0</v>
      </c>
      <c r="Q11" s="25"/>
      <c r="R11" s="25"/>
    </row>
    <row r="12" spans="1:18">
      <c r="A12" s="25"/>
      <c r="B12" s="25"/>
      <c r="C12" s="18">
        <f>SUM(C6:C11)</f>
        <v>3889747</v>
      </c>
      <c r="D12" s="18"/>
      <c r="E12" s="25"/>
      <c r="F12" s="100">
        <f>SUM(F5:F11)</f>
        <v>-359058</v>
      </c>
      <c r="G12" s="18">
        <f>SUM(G5:G11)</f>
        <v>-102588</v>
      </c>
      <c r="H12" s="18">
        <f>SUM(H5:H11)</f>
        <v>-461646</v>
      </c>
      <c r="I12" s="25"/>
      <c r="J12" s="5">
        <f>SUM(J6:J11)</f>
        <v>3428101</v>
      </c>
      <c r="K12" s="25"/>
      <c r="L12" s="25"/>
      <c r="M12" s="25"/>
      <c r="N12" s="25"/>
      <c r="O12" s="5"/>
      <c r="P12" s="17">
        <f>SUM(P5:P11)</f>
        <v>-1089</v>
      </c>
      <c r="Q12" s="25"/>
      <c r="R12" s="25"/>
    </row>
    <row r="13" spans="1:18" ht="14.25" customHeight="1">
      <c r="A13" s="25"/>
      <c r="B13" s="25"/>
      <c r="C13" s="18"/>
      <c r="D13" s="18"/>
      <c r="E13" s="18"/>
      <c r="F13" s="18"/>
      <c r="G13" s="25"/>
      <c r="H13" s="25"/>
      <c r="I13" s="25"/>
      <c r="J13" s="25"/>
      <c r="K13" s="25"/>
      <c r="L13" s="25"/>
      <c r="M13" s="16"/>
      <c r="N13" s="20"/>
      <c r="O13" s="25"/>
      <c r="P13" s="25"/>
      <c r="Q13" s="25"/>
      <c r="R13" s="25"/>
    </row>
    <row r="14" spans="1:18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6"/>
      <c r="N14" s="20"/>
      <c r="O14" s="25"/>
      <c r="P14" s="25"/>
      <c r="Q14" s="25"/>
      <c r="R14" s="25"/>
    </row>
    <row r="15" spans="1:18">
      <c r="A15" s="25"/>
      <c r="B15" s="25"/>
      <c r="C15" s="25"/>
      <c r="D15" s="1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s="27" customFormat="1">
      <c r="A16" s="84"/>
      <c r="B16" s="84"/>
      <c r="C16" s="93"/>
      <c r="D16" s="95" t="s">
        <v>94</v>
      </c>
      <c r="E16" s="93"/>
      <c r="F16" s="93"/>
      <c r="G16" s="48">
        <v>0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5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 t="shared" ref="C19:C24" si="2">C6</f>
        <v>2669534</v>
      </c>
      <c r="D19" s="51">
        <v>0.77700000000000002</v>
      </c>
      <c r="E19" s="87">
        <f>ROUND(C19*-D19,0)</f>
        <v>-2074228</v>
      </c>
      <c r="F19" s="52">
        <f>C19+E19</f>
        <v>595306</v>
      </c>
      <c r="G19" s="52">
        <f t="shared" ref="G19:G24" si="3">ROUND(F19*-$G$16,0)</f>
        <v>0</v>
      </c>
      <c r="H19" s="53">
        <f t="shared" ref="H19:H24" si="4">F19+G19</f>
        <v>595306</v>
      </c>
      <c r="I19" s="84"/>
      <c r="J19" s="84">
        <v>15</v>
      </c>
      <c r="K19" s="54">
        <f>IFERROR(VLOOKUP(J19,'Tax Rates'!$A$1:$AA$12,$K$18+1,FALSE),0)</f>
        <v>6.9250000000000006E-2</v>
      </c>
      <c r="L19" s="102">
        <v>-2257255</v>
      </c>
      <c r="M19" s="52">
        <v>0</v>
      </c>
      <c r="N19" s="52">
        <f t="shared" ref="N19:N24" si="5">G19</f>
        <v>0</v>
      </c>
      <c r="O19" s="87">
        <f>ROUND(K19*-H19,0)</f>
        <v>-41225</v>
      </c>
      <c r="P19" s="55">
        <f>SUM(L19:O19)</f>
        <v>-2298480</v>
      </c>
      <c r="Q19" s="84"/>
      <c r="R19" s="52">
        <f>C19+P19</f>
        <v>371054</v>
      </c>
    </row>
    <row r="20" spans="1:18" s="27" customFormat="1">
      <c r="A20" s="84">
        <v>8</v>
      </c>
      <c r="B20" s="84" t="s">
        <v>88</v>
      </c>
      <c r="C20" s="33">
        <f t="shared" si="2"/>
        <v>611904</v>
      </c>
      <c r="D20" s="56">
        <f>-E20/C20</f>
        <v>0.82199658770003137</v>
      </c>
      <c r="E20" s="34">
        <v>-502983</v>
      </c>
      <c r="F20" s="52">
        <f>C20+E20</f>
        <v>108921</v>
      </c>
      <c r="G20" s="52">
        <f t="shared" si="3"/>
        <v>0</v>
      </c>
      <c r="H20" s="53">
        <f t="shared" si="4"/>
        <v>108921</v>
      </c>
      <c r="I20" s="84"/>
      <c r="J20" s="84">
        <v>15</v>
      </c>
      <c r="K20" s="54">
        <f>IFERROR(VLOOKUP(J20,'Tax Rates'!$A$1:$AA$12,$K$18+1,FALSE),0)</f>
        <v>6.9250000000000006E-2</v>
      </c>
      <c r="L20" s="102">
        <v>-536470</v>
      </c>
      <c r="M20" s="52">
        <v>0</v>
      </c>
      <c r="N20" s="52">
        <f t="shared" si="5"/>
        <v>0</v>
      </c>
      <c r="O20" s="87">
        <f>ROUND(K20*-H20,0)</f>
        <v>-7543</v>
      </c>
      <c r="P20" s="55">
        <f t="shared" ref="P20:P24" si="6">SUM(L20:O20)</f>
        <v>-544013</v>
      </c>
      <c r="Q20" s="84"/>
      <c r="R20" s="52">
        <f>C20+P20</f>
        <v>67891</v>
      </c>
    </row>
    <row r="21" spans="1:18" s="27" customFormat="1">
      <c r="A21" s="84">
        <v>9</v>
      </c>
      <c r="B21" s="84" t="s">
        <v>89</v>
      </c>
      <c r="C21" s="33">
        <f t="shared" si="2"/>
        <v>166771</v>
      </c>
      <c r="D21" s="51">
        <v>1</v>
      </c>
      <c r="E21" s="87">
        <f>ROUND(C21*-D21,0)</f>
        <v>-166771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5.713E-2</v>
      </c>
      <c r="L21" s="102">
        <v>-166771</v>
      </c>
      <c r="M21" s="52">
        <v>0</v>
      </c>
      <c r="N21" s="52">
        <f t="shared" si="5"/>
        <v>0</v>
      </c>
      <c r="O21" s="87">
        <f>ROUND(K21*-H21,0)</f>
        <v>0</v>
      </c>
      <c r="P21" s="55">
        <f t="shared" si="6"/>
        <v>-166771</v>
      </c>
      <c r="Q21" s="84"/>
      <c r="R21" s="52">
        <f>C21+P21</f>
        <v>0</v>
      </c>
    </row>
    <row r="22" spans="1:18" s="27" customFormat="1">
      <c r="A22" s="84">
        <v>10</v>
      </c>
      <c r="B22" s="84" t="s">
        <v>90</v>
      </c>
      <c r="C22" s="33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8.9249999999999996E-2</v>
      </c>
      <c r="L22" s="102">
        <v>0</v>
      </c>
      <c r="M22" s="52">
        <f t="shared" ref="M22:M24" si="7">E22</f>
        <v>0</v>
      </c>
      <c r="N22" s="52">
        <f t="shared" si="5"/>
        <v>0</v>
      </c>
      <c r="O22" s="87">
        <f>ROUND(K22*-H22,0)</f>
        <v>0</v>
      </c>
      <c r="P22" s="55">
        <f t="shared" si="6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33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6.9250000000000006E-2</v>
      </c>
      <c r="L23" s="102">
        <v>0</v>
      </c>
      <c r="M23" s="52">
        <f t="shared" si="7"/>
        <v>0</v>
      </c>
      <c r="N23" s="52">
        <f t="shared" si="5"/>
        <v>0</v>
      </c>
      <c r="O23" s="87">
        <f>ROUND(K23*-H23,0)</f>
        <v>0</v>
      </c>
      <c r="P23" s="55">
        <f t="shared" si="6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8">
        <f t="shared" si="2"/>
        <v>441538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f t="shared" si="7"/>
        <v>0</v>
      </c>
      <c r="N24" s="63">
        <f t="shared" si="5"/>
        <v>0</v>
      </c>
      <c r="O24" s="88">
        <v>0</v>
      </c>
      <c r="P24" s="64">
        <f t="shared" si="6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3889747</v>
      </c>
      <c r="D25" s="84"/>
      <c r="E25" s="87">
        <f>SUM(E19:E24)</f>
        <v>-2743982</v>
      </c>
      <c r="F25" s="87">
        <f>SUM(F19:F24)</f>
        <v>704227</v>
      </c>
      <c r="G25" s="87">
        <f>SUM(G19:G24)</f>
        <v>0</v>
      </c>
      <c r="H25" s="55">
        <f>SUM(H19:H24)</f>
        <v>704227</v>
      </c>
      <c r="I25" s="84"/>
      <c r="J25" s="84"/>
      <c r="K25" s="84"/>
      <c r="L25" s="55">
        <f>SUM(L19:L24)</f>
        <v>-2960496</v>
      </c>
      <c r="M25" s="87">
        <f>SUM(M19:M24)</f>
        <v>0</v>
      </c>
      <c r="N25" s="87">
        <f>SUM(N19:N24)</f>
        <v>0</v>
      </c>
      <c r="O25" s="87">
        <f>SUM(O19:O24)</f>
        <v>-48768</v>
      </c>
      <c r="P25" s="55">
        <f>SUM(P19:P24)</f>
        <v>-3009264</v>
      </c>
      <c r="Q25" s="84"/>
      <c r="R25" s="52">
        <f>SUM(R19:R24)</f>
        <v>438945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66" t="s">
        <v>114</v>
      </c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 t="shared" ref="D31:D36" si="8">J6</f>
        <v>2297132</v>
      </c>
      <c r="E31" s="52">
        <f t="shared" ref="E31:E36" si="9">R19</f>
        <v>371054</v>
      </c>
      <c r="F31" s="52">
        <f>E31-D31</f>
        <v>-1926078</v>
      </c>
      <c r="G31" s="68">
        <v>0.2495</v>
      </c>
      <c r="H31" s="52">
        <f>ROUND(F31*G31,0)</f>
        <v>-480556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7">
        <f t="shared" si="8"/>
        <v>547747</v>
      </c>
      <c r="E32" s="52">
        <f t="shared" si="9"/>
        <v>67891</v>
      </c>
      <c r="F32" s="52">
        <f>E32-D32</f>
        <v>-479856</v>
      </c>
      <c r="G32" s="67">
        <f>G31</f>
        <v>0.2495</v>
      </c>
      <c r="H32" s="52">
        <f t="shared" ref="H32:H36" si="10">ROUND(F32*G32,0)</f>
        <v>-119724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0" s="27" customFormat="1">
      <c r="A33" s="84">
        <v>15</v>
      </c>
      <c r="B33" s="84" t="s">
        <v>89</v>
      </c>
      <c r="C33" s="84"/>
      <c r="D33" s="57">
        <f t="shared" si="8"/>
        <v>146584</v>
      </c>
      <c r="E33" s="52">
        <f t="shared" si="9"/>
        <v>0</v>
      </c>
      <c r="F33" s="52">
        <f>E33-D33</f>
        <v>-146584</v>
      </c>
      <c r="G33" s="67">
        <f>G31</f>
        <v>0.2495</v>
      </c>
      <c r="H33" s="52">
        <f t="shared" si="10"/>
        <v>-36573</v>
      </c>
      <c r="I33" s="84"/>
      <c r="J33" s="84"/>
    </row>
    <row r="34" spans="1:10" s="27" customFormat="1">
      <c r="A34" s="84">
        <v>16</v>
      </c>
      <c r="B34" s="84" t="s">
        <v>90</v>
      </c>
      <c r="C34" s="84"/>
      <c r="D34" s="57">
        <f t="shared" si="8"/>
        <v>0</v>
      </c>
      <c r="E34" s="52">
        <f t="shared" si="9"/>
        <v>0</v>
      </c>
      <c r="F34" s="52">
        <f>E34-D34</f>
        <v>0</v>
      </c>
      <c r="G34" s="67">
        <f>G31</f>
        <v>0.2495</v>
      </c>
      <c r="H34" s="52">
        <f t="shared" si="10"/>
        <v>0</v>
      </c>
      <c r="I34" s="84"/>
      <c r="J34" s="84"/>
    </row>
    <row r="35" spans="1:10" s="27" customFormat="1">
      <c r="A35" s="84">
        <v>17</v>
      </c>
      <c r="B35" s="84" t="s">
        <v>91</v>
      </c>
      <c r="C35" s="84"/>
      <c r="D35" s="57">
        <f t="shared" si="8"/>
        <v>0</v>
      </c>
      <c r="E35" s="52">
        <f t="shared" si="9"/>
        <v>0</v>
      </c>
      <c r="F35" s="52">
        <f>E35-D35</f>
        <v>0</v>
      </c>
      <c r="G35" s="67">
        <f>G31</f>
        <v>0.2495</v>
      </c>
      <c r="H35" s="52">
        <f t="shared" si="10"/>
        <v>0</v>
      </c>
      <c r="I35" s="84"/>
      <c r="J35" s="84"/>
    </row>
    <row r="36" spans="1:10" s="27" customFormat="1">
      <c r="A36" s="84">
        <v>18</v>
      </c>
      <c r="B36" s="84" t="s">
        <v>92</v>
      </c>
      <c r="C36" s="84"/>
      <c r="D36" s="59">
        <f t="shared" si="8"/>
        <v>436638</v>
      </c>
      <c r="E36" s="65" t="str">
        <f t="shared" si="9"/>
        <v>NA</v>
      </c>
      <c r="F36" s="59">
        <f>-D36</f>
        <v>-436638</v>
      </c>
      <c r="G36" s="69">
        <f>G31</f>
        <v>0.2495</v>
      </c>
      <c r="H36" s="59">
        <f t="shared" si="10"/>
        <v>-108941</v>
      </c>
      <c r="I36" s="84"/>
      <c r="J36" s="84"/>
    </row>
    <row r="37" spans="1:10" s="27" customFormat="1">
      <c r="A37" s="84"/>
      <c r="B37" s="84"/>
      <c r="C37" s="84"/>
      <c r="D37" s="52">
        <f>SUM(D31:D36)</f>
        <v>3428101</v>
      </c>
      <c r="E37" s="52">
        <f>SUM(E31:E36)</f>
        <v>438945</v>
      </c>
      <c r="F37" s="52">
        <f>SUM(F31:F36)</f>
        <v>-2989156</v>
      </c>
      <c r="G37" s="84"/>
      <c r="H37" s="52">
        <f>SUM(H31:H36)</f>
        <v>-745794</v>
      </c>
      <c r="I37" s="84"/>
      <c r="J37" s="84"/>
    </row>
    <row r="39" spans="1:10" s="27" customFormat="1">
      <c r="A39" s="74" t="s">
        <v>73</v>
      </c>
      <c r="B39" s="84" t="s">
        <v>112</v>
      </c>
      <c r="C39" s="84"/>
      <c r="D39" s="84"/>
      <c r="E39" s="84"/>
      <c r="F39" s="84"/>
      <c r="G39" s="84"/>
      <c r="H39" s="84"/>
      <c r="I39" s="84"/>
      <c r="J39" s="84"/>
    </row>
    <row r="40" spans="1:10" s="27" customFormat="1">
      <c r="A40" s="74" t="s">
        <v>114</v>
      </c>
      <c r="B40" s="84" t="s">
        <v>119</v>
      </c>
      <c r="C40" s="84"/>
      <c r="D40" s="84"/>
      <c r="E40" s="84"/>
      <c r="F40" s="84"/>
      <c r="G40" s="84"/>
      <c r="H40" s="84"/>
      <c r="I40" s="84"/>
      <c r="J40" s="84"/>
    </row>
    <row r="41" spans="1:10" s="27" customFormat="1">
      <c r="A41" s="84"/>
      <c r="B41" s="84" t="s">
        <v>116</v>
      </c>
      <c r="C41" s="84"/>
      <c r="D41" s="84"/>
      <c r="E41" s="84"/>
      <c r="F41" s="84"/>
      <c r="G41" s="84"/>
      <c r="H41" s="84"/>
      <c r="I41" s="84"/>
      <c r="J41" s="84"/>
    </row>
    <row r="42" spans="1:10" s="27" customFormat="1">
      <c r="A42" s="84"/>
      <c r="B42" s="84" t="s">
        <v>117</v>
      </c>
      <c r="C42" s="84"/>
      <c r="D42" s="84"/>
      <c r="E42" s="84"/>
      <c r="F42" s="84"/>
      <c r="G42" s="84"/>
      <c r="H42" s="84"/>
      <c r="I42" s="84"/>
      <c r="J42" s="84"/>
    </row>
    <row r="43" spans="1:10" s="27" customFormat="1">
      <c r="A43" s="84"/>
      <c r="B43" s="84" t="s">
        <v>118</v>
      </c>
      <c r="C43" s="84"/>
      <c r="D43" s="84"/>
      <c r="E43" s="84"/>
      <c r="F43" s="84"/>
      <c r="G43" s="84"/>
      <c r="H43" s="84"/>
      <c r="I43" s="84"/>
      <c r="J43" s="84"/>
    </row>
    <row r="44" spans="1:10" s="27" customForma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6" t="s">
        <v>120</v>
      </c>
      <c r="C45" s="70"/>
      <c r="D45" s="70"/>
      <c r="E45" s="25"/>
      <c r="F45" s="25"/>
      <c r="G45" s="25"/>
      <c r="H45" s="25"/>
      <c r="I45" s="25"/>
      <c r="J45" s="25"/>
    </row>
    <row r="46" spans="1:10">
      <c r="A46" s="25"/>
      <c r="B46" s="70" t="s">
        <v>121</v>
      </c>
      <c r="C46" s="25"/>
      <c r="D46" s="25"/>
      <c r="E46" s="72">
        <v>0.21</v>
      </c>
      <c r="F46" s="71"/>
      <c r="G46" s="25"/>
      <c r="H46" s="25"/>
      <c r="I46" s="25"/>
      <c r="J46" s="25"/>
    </row>
    <row r="47" spans="1:10">
      <c r="A47" s="25"/>
      <c r="B47" s="70" t="s">
        <v>122</v>
      </c>
      <c r="C47" s="25"/>
      <c r="D47" s="25"/>
      <c r="E47" s="73">
        <f>5%+(E46*-0.05)</f>
        <v>3.95E-2</v>
      </c>
      <c r="F47" s="71"/>
      <c r="G47" s="25"/>
      <c r="H47" s="25"/>
      <c r="I47" s="25"/>
      <c r="J47" s="25"/>
    </row>
    <row r="48" spans="1:10">
      <c r="A48" s="25"/>
      <c r="B48" s="70" t="s">
        <v>123</v>
      </c>
      <c r="C48" s="25"/>
      <c r="D48" s="25"/>
      <c r="E48" s="72">
        <f>SUM(E46:E47)</f>
        <v>0.2495</v>
      </c>
      <c r="F48" s="71"/>
      <c r="G48" s="25"/>
      <c r="H48" s="25"/>
      <c r="I48" s="25"/>
      <c r="J48" s="25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4"/>
  <sheetViews>
    <sheetView view="pageBreakPreview" topLeftCell="A16" zoomScaleNormal="100" zoomScaleSheetLayoutView="100" workbookViewId="0">
      <selection activeCell="E44" sqref="E44"/>
    </sheetView>
  </sheetViews>
  <sheetFormatPr defaultColWidth="9.140625" defaultRowHeight="15"/>
  <cols>
    <col min="1" max="1" width="14.42578125" style="25" customWidth="1"/>
    <col min="2" max="2" width="18.5703125" style="25" bestFit="1" customWidth="1"/>
    <col min="3" max="4" width="12.7109375" style="25" customWidth="1"/>
    <col min="5" max="5" width="11.28515625" style="25" bestFit="1" customWidth="1"/>
    <col min="6" max="6" width="12.7109375" style="25" customWidth="1"/>
    <col min="7" max="7" width="12.42578125" style="25" bestFit="1" customWidth="1"/>
    <col min="8" max="8" width="13.140625" style="25" bestFit="1" customWidth="1"/>
    <col min="9" max="9" width="2.7109375" style="25" customWidth="1"/>
    <col min="10" max="10" width="10.7109375" style="25" customWidth="1"/>
    <col min="11" max="11" width="8.140625" style="25" bestFit="1" customWidth="1"/>
    <col min="12" max="12" width="12.7109375" style="25" customWidth="1"/>
    <col min="13" max="14" width="11.28515625" style="25" bestFit="1" customWidth="1"/>
    <col min="15" max="15" width="8.42578125" style="25" bestFit="1" customWidth="1"/>
    <col min="16" max="16" width="11.28515625" style="25" bestFit="1" customWidth="1"/>
    <col min="17" max="17" width="2.7109375" style="25" customWidth="1"/>
    <col min="18" max="18" width="13.7109375" style="25" bestFit="1" customWidth="1"/>
    <col min="19" max="19" width="7.7109375" style="25" bestFit="1" customWidth="1"/>
    <col min="20" max="20" width="7.42578125" style="25" bestFit="1" customWidth="1"/>
    <col min="21" max="16384" width="9.140625" style="25"/>
  </cols>
  <sheetData>
    <row r="1" spans="1:18">
      <c r="A1" s="22" t="s">
        <v>70</v>
      </c>
      <c r="B1" s="7">
        <v>2019</v>
      </c>
    </row>
    <row r="2" spans="1:18">
      <c r="A2" s="22" t="s">
        <v>72</v>
      </c>
      <c r="D2" s="14" t="s">
        <v>73</v>
      </c>
      <c r="F2" s="125" t="s">
        <v>75</v>
      </c>
      <c r="G2" s="125"/>
      <c r="H2" s="125"/>
    </row>
    <row r="3" spans="1:18">
      <c r="D3" s="16" t="s">
        <v>74</v>
      </c>
      <c r="F3" s="20"/>
      <c r="G3" s="14"/>
      <c r="H3" s="20"/>
      <c r="J3" s="23" t="s">
        <v>76</v>
      </c>
    </row>
    <row r="4" spans="1:18">
      <c r="C4" s="16">
        <v>2019</v>
      </c>
      <c r="D4" s="16" t="s">
        <v>77</v>
      </c>
      <c r="F4" s="16"/>
      <c r="G4" s="16" t="s">
        <v>78</v>
      </c>
      <c r="H4" s="16"/>
      <c r="J4" s="16" t="s">
        <v>79</v>
      </c>
      <c r="O4" s="16" t="s">
        <v>80</v>
      </c>
      <c r="P4" s="16" t="s">
        <v>80</v>
      </c>
    </row>
    <row r="5" spans="1:18">
      <c r="C5" s="123" t="s">
        <v>81</v>
      </c>
      <c r="D5" s="10">
        <v>4</v>
      </c>
      <c r="F5" s="123" t="s">
        <v>82</v>
      </c>
      <c r="G5" s="123" t="s">
        <v>83</v>
      </c>
      <c r="H5" s="123" t="s">
        <v>84</v>
      </c>
      <c r="J5" s="123" t="s">
        <v>85</v>
      </c>
      <c r="O5" s="123" t="s">
        <v>65</v>
      </c>
      <c r="P5" s="123" t="s">
        <v>86</v>
      </c>
    </row>
    <row r="6" spans="1:18">
      <c r="A6" s="25">
        <v>1</v>
      </c>
      <c r="B6" s="25" t="s">
        <v>87</v>
      </c>
      <c r="C6" s="100">
        <v>5352350</v>
      </c>
      <c r="D6" s="2">
        <v>3.1E-2</v>
      </c>
      <c r="F6" s="100">
        <v>-414807</v>
      </c>
      <c r="G6" s="18">
        <f>ROUND(IF(D$5=1,-0.5*D6*C6,-D6*C6),0)</f>
        <v>-165923</v>
      </c>
      <c r="H6" s="18">
        <f t="shared" ref="H6:H11" si="0">SUM(F6:G6)</f>
        <v>-580730</v>
      </c>
      <c r="J6" s="5">
        <f t="shared" ref="J6:J11" si="1">C6+H6</f>
        <v>4771620</v>
      </c>
      <c r="O6" s="11">
        <v>1E-4</v>
      </c>
      <c r="P6" s="17">
        <f>ROUND(IF(D$5=1,-0.5*O6*C6,-O6*C6),0)</f>
        <v>-535</v>
      </c>
    </row>
    <row r="7" spans="1:18">
      <c r="A7" s="25">
        <v>2</v>
      </c>
      <c r="B7" s="25" t="s">
        <v>88</v>
      </c>
      <c r="C7" s="100">
        <v>197537</v>
      </c>
      <c r="D7" s="2">
        <v>2.3300000000000001E-2</v>
      </c>
      <c r="F7" s="100">
        <v>-11507</v>
      </c>
      <c r="G7" s="18">
        <f>ROUND(IF(D$5=1,-0.5*D7*C7,-D7*C7),0)</f>
        <v>-4603</v>
      </c>
      <c r="H7" s="18">
        <f t="shared" si="0"/>
        <v>-16110</v>
      </c>
      <c r="J7" s="5">
        <f t="shared" si="1"/>
        <v>181427</v>
      </c>
      <c r="O7" s="11">
        <v>2.0000000000000001E-4</v>
      </c>
      <c r="P7" s="5">
        <f>ROUND(IF(D$5=1,-0.5*O7*C7,-O7*C7),0)</f>
        <v>-40</v>
      </c>
    </row>
    <row r="8" spans="1:18">
      <c r="A8" s="25">
        <v>3</v>
      </c>
      <c r="B8" s="25" t="s">
        <v>89</v>
      </c>
      <c r="C8" s="100">
        <v>274211</v>
      </c>
      <c r="D8" s="2">
        <v>2.69E-2</v>
      </c>
      <c r="F8" s="100">
        <v>-18440</v>
      </c>
      <c r="G8" s="18">
        <f>ROUND(IF(D$5=1,-0.5*D8*C8,-D8*C8),0)</f>
        <v>-7376</v>
      </c>
      <c r="H8" s="18">
        <f t="shared" si="0"/>
        <v>-25816</v>
      </c>
      <c r="J8" s="5">
        <f t="shared" si="1"/>
        <v>248395</v>
      </c>
      <c r="O8" s="11">
        <v>4.1999999999999997E-3</v>
      </c>
      <c r="P8" s="5">
        <f>ROUND(IF(D$5=1,-0.5*O8*C8,-O8*C8),0)</f>
        <v>-1152</v>
      </c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F9" s="100">
        <v>0</v>
      </c>
      <c r="G9" s="18">
        <f>ROUND(IF(D$5=1,-0.5*D9*C9,-D9*C9),0)</f>
        <v>0</v>
      </c>
      <c r="H9" s="18">
        <f t="shared" si="0"/>
        <v>0</v>
      </c>
      <c r="J9" s="5">
        <f t="shared" si="1"/>
        <v>0</v>
      </c>
      <c r="O9" s="11">
        <v>0</v>
      </c>
      <c r="P9" s="5">
        <f>IF(D$5=1,-0.5*O9*C9,-O9*C9)</f>
        <v>0</v>
      </c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F10" s="100">
        <v>0</v>
      </c>
      <c r="G10" s="18">
        <f>ROUND(IF(D$5=1,-0.5*D10*C10,-D10*C10),0)</f>
        <v>0</v>
      </c>
      <c r="H10" s="18">
        <f t="shared" si="0"/>
        <v>0</v>
      </c>
      <c r="J10" s="5">
        <f t="shared" si="1"/>
        <v>0</v>
      </c>
      <c r="O10" s="11">
        <v>0</v>
      </c>
      <c r="P10" s="5">
        <f>IF(D$5=1,-0.5*O10*C10,-O10*C10)</f>
        <v>0</v>
      </c>
    </row>
    <row r="11" spans="1:18">
      <c r="A11" s="25">
        <v>6</v>
      </c>
      <c r="B11" s="25" t="s">
        <v>92</v>
      </c>
      <c r="C11" s="101">
        <v>377580</v>
      </c>
      <c r="D11" s="3" t="s">
        <v>93</v>
      </c>
      <c r="F11" s="101">
        <v>-4318</v>
      </c>
      <c r="G11" s="21">
        <f>P12</f>
        <v>-1727</v>
      </c>
      <c r="H11" s="21">
        <f t="shared" si="0"/>
        <v>-6045</v>
      </c>
      <c r="J11" s="6">
        <f t="shared" si="1"/>
        <v>371535</v>
      </c>
      <c r="O11" s="24">
        <v>0</v>
      </c>
      <c r="P11" s="6">
        <f>IF(D$5=1,-0.5*O11*C11,-O11*C11)</f>
        <v>0</v>
      </c>
    </row>
    <row r="12" spans="1:18">
      <c r="C12" s="18">
        <f>SUM(C6:C11)</f>
        <v>6201678</v>
      </c>
      <c r="D12" s="18"/>
      <c r="F12" s="100">
        <f>SUM(F5:F11)</f>
        <v>-449072</v>
      </c>
      <c r="G12" s="18">
        <f>SUM(G5:G11)</f>
        <v>-179629</v>
      </c>
      <c r="H12" s="18">
        <f>SUM(H5:H11)</f>
        <v>-628701</v>
      </c>
      <c r="J12" s="5">
        <f>SUM(J6:J11)</f>
        <v>5572977</v>
      </c>
      <c r="O12" s="5"/>
      <c r="P12" s="17">
        <f>SUM(P5:P11)</f>
        <v>-1727</v>
      </c>
    </row>
    <row r="13" spans="1:18" ht="14.25" customHeight="1">
      <c r="C13" s="18"/>
      <c r="D13" s="18"/>
      <c r="E13" s="18"/>
      <c r="F13" s="18"/>
      <c r="M13" s="16"/>
      <c r="N13" s="20"/>
    </row>
    <row r="14" spans="1:18">
      <c r="M14" s="16"/>
      <c r="N14" s="20"/>
    </row>
    <row r="15" spans="1:18">
      <c r="D15" s="16"/>
    </row>
    <row r="16" spans="1:18" s="27" customFormat="1">
      <c r="A16" s="84"/>
      <c r="B16" s="84"/>
      <c r="C16" s="93"/>
      <c r="D16" s="95" t="s">
        <v>94</v>
      </c>
      <c r="E16" s="93"/>
      <c r="F16" s="93"/>
      <c r="G16" s="48">
        <v>0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4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 t="shared" ref="C19:C24" si="2">C6</f>
        <v>5352350</v>
      </c>
      <c r="D19" s="51">
        <v>0.93300000000000005</v>
      </c>
      <c r="E19" s="87">
        <f>ROUND(C19*-D19,0)</f>
        <v>-4993743</v>
      </c>
      <c r="F19" s="52">
        <f>C19+E19</f>
        <v>358607</v>
      </c>
      <c r="G19" s="52">
        <f t="shared" ref="G19:G24" si="3">ROUND(F19*-$G$16,0)</f>
        <v>0</v>
      </c>
      <c r="H19" s="53">
        <f t="shared" ref="H19:H24" si="4">F19+G19</f>
        <v>358607</v>
      </c>
      <c r="I19" s="84"/>
      <c r="J19" s="84">
        <v>15</v>
      </c>
      <c r="K19" s="54">
        <f>IFERROR(VLOOKUP(J19,'Tax Rates'!$A$1:$AA$12,$K$18+1,FALSE),0)</f>
        <v>7.6950000000000005E-2</v>
      </c>
      <c r="L19" s="102">
        <v>-5076402</v>
      </c>
      <c r="M19" s="52">
        <v>0</v>
      </c>
      <c r="N19" s="52">
        <f t="shared" ref="N19:N24" si="5">G19</f>
        <v>0</v>
      </c>
      <c r="O19" s="87">
        <f>ROUND(K19*-H19,0)</f>
        <v>-27595</v>
      </c>
      <c r="P19" s="55">
        <f t="shared" ref="P19:P24" si="6">SUM(L19:O19)</f>
        <v>-5103997</v>
      </c>
      <c r="Q19" s="84"/>
      <c r="R19" s="52">
        <f>C19+P19</f>
        <v>248353</v>
      </c>
    </row>
    <row r="20" spans="1:18" s="27" customFormat="1">
      <c r="A20" s="84">
        <v>8</v>
      </c>
      <c r="B20" s="84" t="s">
        <v>88</v>
      </c>
      <c r="C20" s="33">
        <f t="shared" si="2"/>
        <v>197537</v>
      </c>
      <c r="D20" s="56">
        <f>-E20/C20</f>
        <v>1</v>
      </c>
      <c r="E20" s="34">
        <v>-197537</v>
      </c>
      <c r="F20" s="52">
        <f>C20+E20</f>
        <v>0</v>
      </c>
      <c r="G20" s="52">
        <f t="shared" si="3"/>
        <v>0</v>
      </c>
      <c r="H20" s="53">
        <f t="shared" si="4"/>
        <v>0</v>
      </c>
      <c r="I20" s="84"/>
      <c r="J20" s="84">
        <v>15</v>
      </c>
      <c r="K20" s="54">
        <f>IFERROR(VLOOKUP(J20,'Tax Rates'!$A$1:$AA$12,$K$18+1,FALSE),0)</f>
        <v>7.6950000000000005E-2</v>
      </c>
      <c r="L20" s="102">
        <v>-197537</v>
      </c>
      <c r="M20" s="52">
        <v>0</v>
      </c>
      <c r="N20" s="52">
        <f t="shared" si="5"/>
        <v>0</v>
      </c>
      <c r="O20" s="87">
        <f>ROUND(K20*-H20,0)</f>
        <v>0</v>
      </c>
      <c r="P20" s="55">
        <f t="shared" si="6"/>
        <v>-197537</v>
      </c>
      <c r="Q20" s="84"/>
      <c r="R20" s="52">
        <f>C20+P20</f>
        <v>0</v>
      </c>
    </row>
    <row r="21" spans="1:18" s="27" customFormat="1">
      <c r="A21" s="84">
        <v>9</v>
      </c>
      <c r="B21" s="84" t="s">
        <v>89</v>
      </c>
      <c r="C21" s="33">
        <f t="shared" si="2"/>
        <v>274211</v>
      </c>
      <c r="D21" s="51">
        <v>1</v>
      </c>
      <c r="E21" s="87">
        <f>ROUND(C21*-D21,0)</f>
        <v>-274211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6.1769999999999999E-2</v>
      </c>
      <c r="L21" s="102">
        <v>-274211</v>
      </c>
      <c r="M21" s="52">
        <v>0</v>
      </c>
      <c r="N21" s="52">
        <f t="shared" si="5"/>
        <v>0</v>
      </c>
      <c r="O21" s="87">
        <f>ROUND(K21*-H21,0)</f>
        <v>0</v>
      </c>
      <c r="P21" s="55">
        <f t="shared" si="6"/>
        <v>-274211</v>
      </c>
      <c r="Q21" s="84"/>
      <c r="R21" s="52">
        <f>C21+P21</f>
        <v>0</v>
      </c>
    </row>
    <row r="22" spans="1:18" s="27" customFormat="1">
      <c r="A22" s="84">
        <v>10</v>
      </c>
      <c r="B22" s="84" t="s">
        <v>90</v>
      </c>
      <c r="C22" s="33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0.12495000000000001</v>
      </c>
      <c r="L22" s="102">
        <v>0</v>
      </c>
      <c r="M22" s="52">
        <f t="shared" ref="M22:M24" si="7">E22</f>
        <v>0</v>
      </c>
      <c r="N22" s="52">
        <f t="shared" si="5"/>
        <v>0</v>
      </c>
      <c r="O22" s="87">
        <f>ROUND(K22*-H22,0)</f>
        <v>0</v>
      </c>
      <c r="P22" s="55">
        <f t="shared" si="6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33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7.6950000000000005E-2</v>
      </c>
      <c r="L23" s="102">
        <v>0</v>
      </c>
      <c r="M23" s="52">
        <f t="shared" si="7"/>
        <v>0</v>
      </c>
      <c r="N23" s="52">
        <f t="shared" si="5"/>
        <v>0</v>
      </c>
      <c r="O23" s="87">
        <f>ROUND(K23*-H23,0)</f>
        <v>0</v>
      </c>
      <c r="P23" s="55">
        <f t="shared" si="6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8">
        <f t="shared" si="2"/>
        <v>377580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f t="shared" si="7"/>
        <v>0</v>
      </c>
      <c r="N24" s="63">
        <f t="shared" si="5"/>
        <v>0</v>
      </c>
      <c r="O24" s="88">
        <v>0</v>
      </c>
      <c r="P24" s="64">
        <f t="shared" si="6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6201678</v>
      </c>
      <c r="D25" s="84"/>
      <c r="E25" s="87">
        <f>SUM(E19:E24)</f>
        <v>-5465491</v>
      </c>
      <c r="F25" s="87">
        <f>SUM(F19:F24)</f>
        <v>358607</v>
      </c>
      <c r="G25" s="87">
        <f>SUM(G19:G24)</f>
        <v>0</v>
      </c>
      <c r="H25" s="55">
        <f>SUM(H19:H24)</f>
        <v>358607</v>
      </c>
      <c r="I25" s="84"/>
      <c r="J25" s="84"/>
      <c r="K25" s="84"/>
      <c r="L25" s="55">
        <f>SUM(L19:L24)</f>
        <v>-5548150</v>
      </c>
      <c r="M25" s="87">
        <f>SUM(M19:M24)</f>
        <v>0</v>
      </c>
      <c r="N25" s="87">
        <f>SUM(N19:N24)</f>
        <v>0</v>
      </c>
      <c r="O25" s="87">
        <f>SUM(O19:O24)</f>
        <v>-27595</v>
      </c>
      <c r="P25" s="55">
        <f>SUM(P19:P24)</f>
        <v>-5575745</v>
      </c>
      <c r="Q25" s="84"/>
      <c r="R25" s="52">
        <f>SUM(R19:R24)</f>
        <v>248353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66"/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>J6</f>
        <v>4771620</v>
      </c>
      <c r="E31" s="52">
        <f>R19</f>
        <v>248353</v>
      </c>
      <c r="F31" s="52">
        <f>E31-D31</f>
        <v>-4523267</v>
      </c>
      <c r="G31" s="68">
        <v>0.2495</v>
      </c>
      <c r="H31" s="52">
        <f>ROUND(F31*G31,0)</f>
        <v>-1128555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7">
        <f t="shared" ref="D32:D36" si="8">J7</f>
        <v>181427</v>
      </c>
      <c r="E32" s="52">
        <f t="shared" ref="E32:E36" si="9">R20</f>
        <v>0</v>
      </c>
      <c r="F32" s="52">
        <f>E32-D32</f>
        <v>-181427</v>
      </c>
      <c r="G32" s="67">
        <f>G31</f>
        <v>0.2495</v>
      </c>
      <c r="H32" s="52">
        <f t="shared" ref="H32:H36" si="10">ROUND(F32*G32,0)</f>
        <v>-45266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0" s="27" customFormat="1">
      <c r="A33" s="84">
        <v>15</v>
      </c>
      <c r="B33" s="84" t="s">
        <v>89</v>
      </c>
      <c r="C33" s="84"/>
      <c r="D33" s="57">
        <f t="shared" si="8"/>
        <v>248395</v>
      </c>
      <c r="E33" s="52">
        <f t="shared" si="9"/>
        <v>0</v>
      </c>
      <c r="F33" s="52">
        <f>E33-D33</f>
        <v>-248395</v>
      </c>
      <c r="G33" s="67">
        <f>G31</f>
        <v>0.2495</v>
      </c>
      <c r="H33" s="52">
        <f t="shared" si="10"/>
        <v>-61975</v>
      </c>
      <c r="I33" s="84"/>
      <c r="J33" s="84"/>
    </row>
    <row r="34" spans="1:10" s="27" customFormat="1">
      <c r="A34" s="84">
        <v>16</v>
      </c>
      <c r="B34" s="84" t="s">
        <v>90</v>
      </c>
      <c r="C34" s="84"/>
      <c r="D34" s="57">
        <f t="shared" si="8"/>
        <v>0</v>
      </c>
      <c r="E34" s="52">
        <f t="shared" si="9"/>
        <v>0</v>
      </c>
      <c r="F34" s="52">
        <f>E34-D34</f>
        <v>0</v>
      </c>
      <c r="G34" s="67">
        <f>G31</f>
        <v>0.2495</v>
      </c>
      <c r="H34" s="52">
        <f t="shared" si="10"/>
        <v>0</v>
      </c>
      <c r="I34" s="84"/>
      <c r="J34" s="84"/>
    </row>
    <row r="35" spans="1:10" s="27" customFormat="1">
      <c r="A35" s="84">
        <v>17</v>
      </c>
      <c r="B35" s="84" t="s">
        <v>91</v>
      </c>
      <c r="C35" s="84"/>
      <c r="D35" s="57">
        <f t="shared" si="8"/>
        <v>0</v>
      </c>
      <c r="E35" s="52">
        <f t="shared" si="9"/>
        <v>0</v>
      </c>
      <c r="F35" s="52">
        <f>E35-D35</f>
        <v>0</v>
      </c>
      <c r="G35" s="67">
        <f>G31</f>
        <v>0.2495</v>
      </c>
      <c r="H35" s="52">
        <f t="shared" si="10"/>
        <v>0</v>
      </c>
      <c r="I35" s="84"/>
      <c r="J35" s="84"/>
    </row>
    <row r="36" spans="1:10" s="27" customFormat="1">
      <c r="A36" s="84">
        <v>18</v>
      </c>
      <c r="B36" s="84" t="s">
        <v>92</v>
      </c>
      <c r="C36" s="84"/>
      <c r="D36" s="59">
        <f t="shared" si="8"/>
        <v>371535</v>
      </c>
      <c r="E36" s="65" t="str">
        <f t="shared" si="9"/>
        <v>NA</v>
      </c>
      <c r="F36" s="59">
        <f>-D36</f>
        <v>-371535</v>
      </c>
      <c r="G36" s="69">
        <f>G31</f>
        <v>0.2495</v>
      </c>
      <c r="H36" s="59">
        <f t="shared" si="10"/>
        <v>-92698</v>
      </c>
      <c r="I36" s="84"/>
      <c r="J36" s="84"/>
    </row>
    <row r="37" spans="1:10" s="27" customFormat="1">
      <c r="A37" s="84"/>
      <c r="B37" s="84"/>
      <c r="C37" s="84"/>
      <c r="D37" s="52">
        <f>SUM(D31:D36)</f>
        <v>5572977</v>
      </c>
      <c r="E37" s="52">
        <f>SUM(E31:E36)</f>
        <v>248353</v>
      </c>
      <c r="F37" s="52">
        <f>SUM(F31:F36)</f>
        <v>-5324624</v>
      </c>
      <c r="G37" s="84"/>
      <c r="H37" s="52">
        <f>SUM(H31:H36)</f>
        <v>-1328494</v>
      </c>
      <c r="I37" s="84"/>
      <c r="J37" s="84"/>
    </row>
    <row r="39" spans="1:10" s="27" customFormat="1">
      <c r="A39" s="74" t="s">
        <v>73</v>
      </c>
      <c r="B39" s="84" t="s">
        <v>112</v>
      </c>
      <c r="C39" s="84"/>
      <c r="D39" s="84"/>
      <c r="E39" s="84"/>
      <c r="F39" s="84"/>
      <c r="G39" s="84"/>
      <c r="H39" s="84"/>
      <c r="I39" s="84"/>
      <c r="J39" s="84"/>
    </row>
    <row r="40" spans="1:10" s="27" customFormat="1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s="27" customFormat="1">
      <c r="A41" s="25"/>
      <c r="B41" s="26"/>
      <c r="C41" s="70"/>
      <c r="D41" s="70"/>
      <c r="E41" s="25"/>
      <c r="F41" s="25"/>
      <c r="G41" s="25"/>
      <c r="H41" s="25"/>
      <c r="I41" s="25"/>
      <c r="J41" s="25"/>
    </row>
    <row r="42" spans="1:10" s="27" customFormat="1">
      <c r="A42" s="25"/>
      <c r="B42" s="70"/>
      <c r="C42" s="25"/>
      <c r="D42" s="25"/>
      <c r="E42" s="72"/>
      <c r="F42" s="71"/>
      <c r="G42" s="25"/>
      <c r="H42" s="25"/>
      <c r="I42" s="25"/>
      <c r="J42" s="25"/>
    </row>
    <row r="43" spans="1:10" s="27" customFormat="1">
      <c r="A43" s="25"/>
      <c r="B43" s="70"/>
      <c r="C43" s="25"/>
      <c r="D43" s="25"/>
      <c r="E43" s="121"/>
      <c r="F43" s="71"/>
      <c r="G43" s="25"/>
      <c r="H43" s="25"/>
      <c r="I43" s="25"/>
      <c r="J43" s="25"/>
    </row>
    <row r="44" spans="1:10" s="27" customFormat="1">
      <c r="A44" s="25"/>
      <c r="B44" s="70"/>
      <c r="C44" s="25"/>
      <c r="D44" s="25"/>
      <c r="E44" s="72"/>
      <c r="F44" s="71"/>
      <c r="G44" s="25"/>
      <c r="H44" s="25"/>
      <c r="I44" s="25"/>
      <c r="J44" s="25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45"/>
  <sheetViews>
    <sheetView view="pageBreakPreview" topLeftCell="A16" zoomScaleNormal="100" zoomScaleSheetLayoutView="100" workbookViewId="0">
      <selection activeCell="E44" sqref="E44"/>
    </sheetView>
  </sheetViews>
  <sheetFormatPr defaultColWidth="9.140625" defaultRowHeight="15"/>
  <cols>
    <col min="1" max="1" width="14.42578125" style="25" customWidth="1"/>
    <col min="2" max="2" width="18.5703125" style="25" bestFit="1" customWidth="1"/>
    <col min="3" max="4" width="12.7109375" style="25" customWidth="1"/>
    <col min="5" max="5" width="11.28515625" style="25" bestFit="1" customWidth="1"/>
    <col min="6" max="6" width="12.7109375" style="25" customWidth="1"/>
    <col min="7" max="7" width="12.42578125" style="25" bestFit="1" customWidth="1"/>
    <col min="8" max="8" width="13.140625" style="25" bestFit="1" customWidth="1"/>
    <col min="9" max="9" width="2.7109375" style="25" customWidth="1"/>
    <col min="10" max="10" width="10.7109375" style="25" customWidth="1"/>
    <col min="11" max="11" width="8.140625" style="25" bestFit="1" customWidth="1"/>
    <col min="12" max="12" width="12.7109375" style="25" customWidth="1"/>
    <col min="13" max="14" width="11.28515625" style="25" bestFit="1" customWidth="1"/>
    <col min="15" max="15" width="9.7109375" style="25" bestFit="1" customWidth="1"/>
    <col min="16" max="16" width="11.28515625" style="25" bestFit="1" customWidth="1"/>
    <col min="17" max="17" width="2.7109375" style="25" customWidth="1"/>
    <col min="18" max="18" width="13.7109375" style="25" bestFit="1" customWidth="1"/>
    <col min="19" max="19" width="7.7109375" style="25" bestFit="1" customWidth="1"/>
    <col min="20" max="20" width="7.42578125" style="25" bestFit="1" customWidth="1"/>
    <col min="21" max="16384" width="9.140625" style="25"/>
  </cols>
  <sheetData>
    <row r="1" spans="1:18">
      <c r="A1" s="22" t="s">
        <v>70</v>
      </c>
      <c r="B1" s="7">
        <v>2020</v>
      </c>
    </row>
    <row r="2" spans="1:18">
      <c r="A2" s="22" t="s">
        <v>72</v>
      </c>
      <c r="D2" s="14" t="s">
        <v>73</v>
      </c>
      <c r="F2" s="125" t="s">
        <v>75</v>
      </c>
      <c r="G2" s="125"/>
      <c r="H2" s="125"/>
    </row>
    <row r="3" spans="1:18">
      <c r="D3" s="16" t="s">
        <v>74</v>
      </c>
      <c r="F3" s="20"/>
      <c r="G3" s="14"/>
      <c r="H3" s="20"/>
      <c r="J3" s="23" t="s">
        <v>76</v>
      </c>
    </row>
    <row r="4" spans="1:18">
      <c r="C4" s="16">
        <v>2020</v>
      </c>
      <c r="D4" s="16" t="s">
        <v>77</v>
      </c>
      <c r="F4" s="16"/>
      <c r="G4" s="16" t="s">
        <v>78</v>
      </c>
      <c r="H4" s="16"/>
      <c r="J4" s="16" t="s">
        <v>79</v>
      </c>
      <c r="O4" s="16" t="s">
        <v>80</v>
      </c>
      <c r="P4" s="16" t="s">
        <v>80</v>
      </c>
    </row>
    <row r="5" spans="1:18">
      <c r="C5" s="123" t="s">
        <v>81</v>
      </c>
      <c r="D5" s="10">
        <v>3</v>
      </c>
      <c r="F5" s="123" t="s">
        <v>82</v>
      </c>
      <c r="G5" s="123" t="s">
        <v>83</v>
      </c>
      <c r="H5" s="123" t="s">
        <v>84</v>
      </c>
      <c r="J5" s="123" t="s">
        <v>85</v>
      </c>
      <c r="O5" s="123" t="s">
        <v>65</v>
      </c>
      <c r="P5" s="123" t="s">
        <v>86</v>
      </c>
    </row>
    <row r="6" spans="1:18">
      <c r="A6" s="25">
        <v>1</v>
      </c>
      <c r="B6" s="25" t="s">
        <v>87</v>
      </c>
      <c r="C6" s="100">
        <v>5358074</v>
      </c>
      <c r="D6" s="2">
        <v>3.1E-2</v>
      </c>
      <c r="F6" s="100">
        <v>-249150</v>
      </c>
      <c r="G6" s="18">
        <f>ROUND(IF(D$5=1,-0.5*D6*C6,-D6*C6),0)</f>
        <v>-166100</v>
      </c>
      <c r="H6" s="18">
        <f t="shared" ref="H6:H11" si="0">SUM(F6:G6)</f>
        <v>-415250</v>
      </c>
      <c r="J6" s="5">
        <f t="shared" ref="J6:J11" si="1">C6+H6</f>
        <v>4942824</v>
      </c>
      <c r="O6" s="11">
        <v>1E-4</v>
      </c>
      <c r="P6" s="17">
        <f>ROUND(IF(D$5=1,-0.5*O6*C6,-O6*C6),0)</f>
        <v>-536</v>
      </c>
    </row>
    <row r="7" spans="1:18">
      <c r="A7" s="25">
        <v>2</v>
      </c>
      <c r="B7" s="25" t="s">
        <v>88</v>
      </c>
      <c r="C7" s="100">
        <v>0</v>
      </c>
      <c r="D7" s="2">
        <v>2.3300000000000001E-2</v>
      </c>
      <c r="F7" s="100">
        <v>0</v>
      </c>
      <c r="G7" s="18">
        <f>ROUND(IF(D$5=1,-0.5*D7*C7,-D7*C7),0)</f>
        <v>0</v>
      </c>
      <c r="H7" s="18">
        <f t="shared" si="0"/>
        <v>0</v>
      </c>
      <c r="J7" s="5">
        <f t="shared" si="1"/>
        <v>0</v>
      </c>
      <c r="O7" s="11">
        <v>2.0000000000000001E-4</v>
      </c>
      <c r="P7" s="5">
        <f>ROUND(IF(D$5=1,-0.5*O7*C7,-O7*C7),0)</f>
        <v>0</v>
      </c>
    </row>
    <row r="8" spans="1:18">
      <c r="A8" s="25">
        <v>3</v>
      </c>
      <c r="B8" s="25" t="s">
        <v>89</v>
      </c>
      <c r="C8" s="100">
        <v>386910</v>
      </c>
      <c r="D8" s="2">
        <v>2.69E-2</v>
      </c>
      <c r="F8" s="100">
        <v>-15612</v>
      </c>
      <c r="G8" s="18">
        <f>ROUND(IF(D$5=1,-0.5*D8*C8,-D8*C8),0)</f>
        <v>-10408</v>
      </c>
      <c r="H8" s="18">
        <f t="shared" si="0"/>
        <v>-26020</v>
      </c>
      <c r="J8" s="5">
        <f t="shared" si="1"/>
        <v>360890</v>
      </c>
      <c r="O8" s="11">
        <v>4.1999999999999997E-3</v>
      </c>
      <c r="P8" s="5">
        <f>ROUND(IF(D$5=1,-0.5*O8*C8,-O8*C8),0)</f>
        <v>-1625</v>
      </c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F9" s="100">
        <v>0</v>
      </c>
      <c r="G9" s="18">
        <f>ROUND(IF(D$5=1,-0.5*D9*C9,-D9*C9),0)</f>
        <v>0</v>
      </c>
      <c r="H9" s="18">
        <f t="shared" si="0"/>
        <v>0</v>
      </c>
      <c r="J9" s="5">
        <f t="shared" si="1"/>
        <v>0</v>
      </c>
      <c r="O9" s="11">
        <v>0</v>
      </c>
      <c r="P9" s="5">
        <f>IF(D$5=1,-0.5*O9*C9,-O9*C9)</f>
        <v>0</v>
      </c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F10" s="100">
        <v>0</v>
      </c>
      <c r="G10" s="18">
        <f>ROUND(IF(D$5=1,-0.5*D10*C10,-D10*C10),0)</f>
        <v>0</v>
      </c>
      <c r="H10" s="18">
        <f t="shared" si="0"/>
        <v>0</v>
      </c>
      <c r="J10" s="5">
        <f t="shared" si="1"/>
        <v>0</v>
      </c>
      <c r="O10" s="11">
        <v>0</v>
      </c>
      <c r="P10" s="5">
        <f>IF(D$5=1,-0.5*O10*C10,-O10*C10)</f>
        <v>0</v>
      </c>
    </row>
    <row r="11" spans="1:18">
      <c r="A11" s="25">
        <v>6</v>
      </c>
      <c r="B11" s="25" t="s">
        <v>92</v>
      </c>
      <c r="C11" s="101">
        <v>253736</v>
      </c>
      <c r="D11" s="3" t="s">
        <v>93</v>
      </c>
      <c r="F11" s="101">
        <v>-3242</v>
      </c>
      <c r="G11" s="21">
        <f>P12</f>
        <v>-2161</v>
      </c>
      <c r="H11" s="21">
        <f t="shared" si="0"/>
        <v>-5403</v>
      </c>
      <c r="J11" s="6">
        <f t="shared" si="1"/>
        <v>248333</v>
      </c>
      <c r="O11" s="24">
        <v>0</v>
      </c>
      <c r="P11" s="6">
        <f>IF(D$5=1,-0.5*O11*C11,-O11*C11)</f>
        <v>0</v>
      </c>
    </row>
    <row r="12" spans="1:18">
      <c r="C12" s="18">
        <f>SUM(C6:C11)</f>
        <v>5998720</v>
      </c>
      <c r="D12" s="18"/>
      <c r="F12" s="100">
        <f>SUM(F5:F11)</f>
        <v>-268004</v>
      </c>
      <c r="G12" s="18">
        <f>SUM(G5:G11)</f>
        <v>-178669</v>
      </c>
      <c r="H12" s="18">
        <f>SUM(H5:H11)</f>
        <v>-446673</v>
      </c>
      <c r="J12" s="5">
        <f>SUM(J6:J11)</f>
        <v>5552047</v>
      </c>
      <c r="O12" s="5"/>
      <c r="P12" s="17">
        <f>SUM(P5:P11)</f>
        <v>-2161</v>
      </c>
    </row>
    <row r="13" spans="1:18" ht="14.25" customHeight="1">
      <c r="C13" s="18"/>
      <c r="D13" s="18"/>
      <c r="E13" s="18"/>
      <c r="F13" s="18"/>
      <c r="M13" s="16"/>
      <c r="N13" s="20"/>
    </row>
    <row r="14" spans="1:18">
      <c r="M14" s="16"/>
      <c r="N14" s="20"/>
    </row>
    <row r="15" spans="1:18">
      <c r="D15" s="16"/>
    </row>
    <row r="16" spans="1:18" s="27" customFormat="1">
      <c r="A16" s="84"/>
      <c r="B16" s="84"/>
      <c r="C16" s="93"/>
      <c r="D16" s="95" t="s">
        <v>94</v>
      </c>
      <c r="E16" s="93"/>
      <c r="F16" s="93"/>
      <c r="G16" s="48">
        <v>0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3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 t="shared" ref="C19:C24" si="2">C6</f>
        <v>5358074</v>
      </c>
      <c r="D19" s="56">
        <v>0.74450000000000005</v>
      </c>
      <c r="E19" s="87">
        <f>ROUND(C19*-D19,0)</f>
        <v>-3989086</v>
      </c>
      <c r="F19" s="52">
        <f>C19+E19</f>
        <v>1368988</v>
      </c>
      <c r="G19" s="52">
        <f t="shared" ref="G19:G24" si="3">ROUND(F19*-$G$16,0)</f>
        <v>0</v>
      </c>
      <c r="H19" s="53">
        <f t="shared" ref="H19:H24" si="4">F19+G19</f>
        <v>1368988</v>
      </c>
      <c r="I19" s="84"/>
      <c r="J19" s="84">
        <v>15</v>
      </c>
      <c r="K19" s="54">
        <f>IFERROR(VLOOKUP(J19,'Tax Rates'!$A$1:$AA$12,$K$18+1,FALSE),0)</f>
        <v>8.5500000000000007E-2</v>
      </c>
      <c r="L19" s="102">
        <v>-4187589</v>
      </c>
      <c r="M19" s="52">
        <v>0</v>
      </c>
      <c r="N19" s="52">
        <f t="shared" ref="N19:N24" si="5">G19</f>
        <v>0</v>
      </c>
      <c r="O19" s="87">
        <f>ROUND(K19*-H19,0)</f>
        <v>-117048</v>
      </c>
      <c r="P19" s="55">
        <f>SUM(L19:O19)</f>
        <v>-4304637</v>
      </c>
      <c r="Q19" s="84"/>
      <c r="R19" s="52">
        <f>C19+P19</f>
        <v>1053437</v>
      </c>
    </row>
    <row r="20" spans="1:18" s="27" customFormat="1">
      <c r="A20" s="84">
        <v>8</v>
      </c>
      <c r="B20" s="84" t="s">
        <v>88</v>
      </c>
      <c r="C20" s="33">
        <v>0</v>
      </c>
      <c r="D20" s="56">
        <f>IF(C20=0,0,-E20/C20)</f>
        <v>0</v>
      </c>
      <c r="E20" s="34">
        <v>0</v>
      </c>
      <c r="F20" s="52">
        <f>C20+E20</f>
        <v>0</v>
      </c>
      <c r="G20" s="52">
        <f t="shared" si="3"/>
        <v>0</v>
      </c>
      <c r="H20" s="53">
        <f t="shared" si="4"/>
        <v>0</v>
      </c>
      <c r="I20" s="84"/>
      <c r="J20" s="84">
        <v>15</v>
      </c>
      <c r="K20" s="54">
        <f>IFERROR(VLOOKUP(J20,'Tax Rates'!$A$1:$AA$12,$K$18+1,FALSE),0)</f>
        <v>8.5500000000000007E-2</v>
      </c>
      <c r="L20" s="102">
        <v>0</v>
      </c>
      <c r="M20" s="52">
        <f t="shared" ref="M20:M24" si="6">E20</f>
        <v>0</v>
      </c>
      <c r="N20" s="52">
        <f t="shared" si="5"/>
        <v>0</v>
      </c>
      <c r="O20" s="87">
        <f>ROUND(K20*-H20,0)</f>
        <v>0</v>
      </c>
      <c r="P20" s="55">
        <f t="shared" ref="P20:P24" si="7">SUM(L20:O20)</f>
        <v>0</v>
      </c>
      <c r="Q20" s="84"/>
      <c r="R20" s="52">
        <f>C20+P20</f>
        <v>0</v>
      </c>
    </row>
    <row r="21" spans="1:18" s="27" customFormat="1">
      <c r="A21" s="84">
        <v>9</v>
      </c>
      <c r="B21" s="84" t="s">
        <v>89</v>
      </c>
      <c r="C21" s="33">
        <f t="shared" si="2"/>
        <v>386910</v>
      </c>
      <c r="D21" s="51">
        <v>1</v>
      </c>
      <c r="E21" s="87">
        <f>ROUND(C21*-D21,0)</f>
        <v>-386910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6.6769999999999996E-2</v>
      </c>
      <c r="L21" s="102">
        <v>-386910</v>
      </c>
      <c r="M21" s="52">
        <v>0</v>
      </c>
      <c r="N21" s="52">
        <f t="shared" si="5"/>
        <v>0</v>
      </c>
      <c r="O21" s="87">
        <f>ROUND(K21*-H21,0)</f>
        <v>0</v>
      </c>
      <c r="P21" s="55">
        <f t="shared" si="7"/>
        <v>-386910</v>
      </c>
      <c r="Q21" s="84"/>
      <c r="R21" s="52">
        <f>C21+P21</f>
        <v>0</v>
      </c>
    </row>
    <row r="22" spans="1:18" s="27" customFormat="1">
      <c r="A22" s="84">
        <v>10</v>
      </c>
      <c r="B22" s="84" t="s">
        <v>90</v>
      </c>
      <c r="C22" s="33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0.17491999999999999</v>
      </c>
      <c r="L22" s="102">
        <v>0</v>
      </c>
      <c r="M22" s="52">
        <f t="shared" si="6"/>
        <v>0</v>
      </c>
      <c r="N22" s="52">
        <f t="shared" si="5"/>
        <v>0</v>
      </c>
      <c r="O22" s="87">
        <f>ROUND(K22*-H22,0)</f>
        <v>0</v>
      </c>
      <c r="P22" s="55">
        <f t="shared" si="7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33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8.5500000000000007E-2</v>
      </c>
      <c r="L23" s="102">
        <v>0</v>
      </c>
      <c r="M23" s="52">
        <f t="shared" si="6"/>
        <v>0</v>
      </c>
      <c r="N23" s="52">
        <f t="shared" si="5"/>
        <v>0</v>
      </c>
      <c r="O23" s="87">
        <f>ROUND(K23*-H23,0)</f>
        <v>0</v>
      </c>
      <c r="P23" s="55">
        <f t="shared" si="7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8">
        <f t="shared" si="2"/>
        <v>253736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f t="shared" si="6"/>
        <v>0</v>
      </c>
      <c r="N24" s="63">
        <f t="shared" si="5"/>
        <v>0</v>
      </c>
      <c r="O24" s="88">
        <v>0</v>
      </c>
      <c r="P24" s="64">
        <f t="shared" si="7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5998720</v>
      </c>
      <c r="D25" s="84"/>
      <c r="E25" s="87">
        <f>SUM(E19:E24)</f>
        <v>-4375996</v>
      </c>
      <c r="F25" s="87">
        <f>SUM(F19:F24)</f>
        <v>1368988</v>
      </c>
      <c r="G25" s="87">
        <f>SUM(G19:G24)</f>
        <v>0</v>
      </c>
      <c r="H25" s="55">
        <f>SUM(H19:H24)</f>
        <v>1368988</v>
      </c>
      <c r="I25" s="84"/>
      <c r="J25" s="84"/>
      <c r="K25" s="84"/>
      <c r="L25" s="55">
        <f>SUM(L19:L24)</f>
        <v>-4574499</v>
      </c>
      <c r="M25" s="87">
        <f>SUM(M19:M24)</f>
        <v>0</v>
      </c>
      <c r="N25" s="87">
        <f>SUM(N19:N24)</f>
        <v>0</v>
      </c>
      <c r="O25" s="87">
        <f>SUM(O19:O24)</f>
        <v>-117048</v>
      </c>
      <c r="P25" s="55">
        <f>SUM(P19:P24)</f>
        <v>-4691547</v>
      </c>
      <c r="Q25" s="84"/>
      <c r="R25" s="52">
        <f>SUM(R19:R24)</f>
        <v>1053437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66"/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 t="shared" ref="D31:D36" si="8">J6</f>
        <v>4942824</v>
      </c>
      <c r="E31" s="52">
        <f t="shared" ref="E31:E36" si="9">R19</f>
        <v>1053437</v>
      </c>
      <c r="F31" s="52">
        <f>E31-D31</f>
        <v>-3889387</v>
      </c>
      <c r="G31" s="68">
        <v>0.2495</v>
      </c>
      <c r="H31" s="52">
        <f>ROUND(F31*G31,0)</f>
        <v>-970402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7">
        <f t="shared" si="8"/>
        <v>0</v>
      </c>
      <c r="E32" s="52">
        <f t="shared" si="9"/>
        <v>0</v>
      </c>
      <c r="F32" s="52">
        <f>E32-D32</f>
        <v>0</v>
      </c>
      <c r="G32" s="67">
        <f>G31</f>
        <v>0.2495</v>
      </c>
      <c r="H32" s="52">
        <f t="shared" ref="H32:H36" si="10">ROUND(F32*G32,0)</f>
        <v>0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0" s="27" customFormat="1">
      <c r="A33" s="84">
        <v>15</v>
      </c>
      <c r="B33" s="84" t="s">
        <v>89</v>
      </c>
      <c r="C33" s="84"/>
      <c r="D33" s="57">
        <f t="shared" si="8"/>
        <v>360890</v>
      </c>
      <c r="E33" s="52">
        <f t="shared" si="9"/>
        <v>0</v>
      </c>
      <c r="F33" s="52">
        <f>E33-D33</f>
        <v>-360890</v>
      </c>
      <c r="G33" s="67">
        <f>G31</f>
        <v>0.2495</v>
      </c>
      <c r="H33" s="52">
        <f t="shared" si="10"/>
        <v>-90042</v>
      </c>
      <c r="I33" s="84"/>
      <c r="J33" s="84"/>
    </row>
    <row r="34" spans="1:10" s="27" customFormat="1">
      <c r="A34" s="84">
        <v>16</v>
      </c>
      <c r="B34" s="84" t="s">
        <v>90</v>
      </c>
      <c r="C34" s="84"/>
      <c r="D34" s="57">
        <f t="shared" si="8"/>
        <v>0</v>
      </c>
      <c r="E34" s="52">
        <f t="shared" si="9"/>
        <v>0</v>
      </c>
      <c r="F34" s="52">
        <f>E34-D34</f>
        <v>0</v>
      </c>
      <c r="G34" s="67">
        <f>G31</f>
        <v>0.2495</v>
      </c>
      <c r="H34" s="52">
        <f t="shared" si="10"/>
        <v>0</v>
      </c>
      <c r="I34" s="84"/>
      <c r="J34" s="84"/>
    </row>
    <row r="35" spans="1:10" s="27" customFormat="1">
      <c r="A35" s="84">
        <v>17</v>
      </c>
      <c r="B35" s="84" t="s">
        <v>91</v>
      </c>
      <c r="C35" s="84"/>
      <c r="D35" s="57">
        <f t="shared" si="8"/>
        <v>0</v>
      </c>
      <c r="E35" s="52">
        <f t="shared" si="9"/>
        <v>0</v>
      </c>
      <c r="F35" s="52">
        <f>E35-D35</f>
        <v>0</v>
      </c>
      <c r="G35" s="67">
        <f>G31</f>
        <v>0.2495</v>
      </c>
      <c r="H35" s="52">
        <f t="shared" si="10"/>
        <v>0</v>
      </c>
      <c r="I35" s="84"/>
      <c r="J35" s="84"/>
    </row>
    <row r="36" spans="1:10" s="27" customFormat="1">
      <c r="A36" s="84">
        <v>18</v>
      </c>
      <c r="B36" s="84" t="s">
        <v>92</v>
      </c>
      <c r="C36" s="84"/>
      <c r="D36" s="59">
        <f t="shared" si="8"/>
        <v>248333</v>
      </c>
      <c r="E36" s="65" t="str">
        <f t="shared" si="9"/>
        <v>NA</v>
      </c>
      <c r="F36" s="59">
        <f>-D36</f>
        <v>-248333</v>
      </c>
      <c r="G36" s="69">
        <f>G31</f>
        <v>0.2495</v>
      </c>
      <c r="H36" s="59">
        <f t="shared" si="10"/>
        <v>-61959</v>
      </c>
      <c r="I36" s="84"/>
      <c r="J36" s="84"/>
    </row>
    <row r="37" spans="1:10" s="27" customFormat="1">
      <c r="A37" s="84"/>
      <c r="B37" s="84"/>
      <c r="C37" s="84"/>
      <c r="D37" s="52">
        <f>SUM(D31:D36)</f>
        <v>5552047</v>
      </c>
      <c r="E37" s="52">
        <f>SUM(E31:E36)</f>
        <v>1053437</v>
      </c>
      <c r="F37" s="52">
        <f>SUM(F31:F36)</f>
        <v>-4498610</v>
      </c>
      <c r="G37" s="84"/>
      <c r="H37" s="52">
        <f>SUM(H31:H36)</f>
        <v>-1122403</v>
      </c>
      <c r="I37" s="84"/>
      <c r="J37" s="84"/>
    </row>
    <row r="39" spans="1:10" s="27" customFormat="1">
      <c r="A39" s="74" t="s">
        <v>73</v>
      </c>
      <c r="B39" s="84" t="s">
        <v>112</v>
      </c>
      <c r="C39" s="84"/>
      <c r="D39" s="84"/>
      <c r="E39" s="84"/>
      <c r="F39" s="84"/>
      <c r="G39" s="84"/>
      <c r="H39" s="84"/>
      <c r="I39" s="84"/>
      <c r="J39" s="84"/>
    </row>
    <row r="40" spans="1:10" s="27" customFormat="1">
      <c r="A40" s="74"/>
      <c r="B40" s="84"/>
      <c r="C40" s="84"/>
      <c r="D40" s="84"/>
      <c r="E40" s="84"/>
      <c r="F40" s="84"/>
      <c r="G40" s="84"/>
      <c r="H40" s="84"/>
      <c r="I40" s="84"/>
      <c r="J40" s="84"/>
    </row>
    <row r="41" spans="1:10" s="27" customFormat="1">
      <c r="A41" s="74"/>
      <c r="B41" s="25"/>
      <c r="C41" s="25"/>
      <c r="D41" s="25"/>
      <c r="E41" s="25"/>
      <c r="F41" s="25"/>
      <c r="G41" s="25"/>
      <c r="H41" s="25"/>
      <c r="I41" s="25"/>
      <c r="J41" s="25"/>
    </row>
    <row r="42" spans="1:10" s="27" customFormat="1">
      <c r="A42" s="84"/>
      <c r="B42" s="26"/>
      <c r="C42" s="70"/>
      <c r="D42" s="70"/>
      <c r="E42" s="25"/>
      <c r="F42" s="25"/>
      <c r="G42" s="25"/>
      <c r="H42" s="25"/>
      <c r="I42" s="25"/>
      <c r="J42" s="25"/>
    </row>
    <row r="43" spans="1:10" s="27" customFormat="1">
      <c r="A43" s="84"/>
      <c r="B43" s="70"/>
      <c r="C43" s="25"/>
      <c r="D43" s="25"/>
      <c r="E43" s="72"/>
      <c r="F43" s="71"/>
      <c r="G43" s="25"/>
      <c r="H43" s="25"/>
      <c r="I43" s="25"/>
      <c r="J43" s="25"/>
    </row>
    <row r="44" spans="1:10" s="27" customFormat="1">
      <c r="A44" s="84"/>
      <c r="B44" s="70"/>
      <c r="C44" s="25"/>
      <c r="D44" s="25"/>
      <c r="E44" s="121"/>
      <c r="F44" s="71"/>
      <c r="G44" s="25"/>
      <c r="H44" s="25"/>
      <c r="I44" s="25"/>
      <c r="J44" s="25"/>
    </row>
    <row r="45" spans="1:10">
      <c r="B45" s="70"/>
      <c r="E45" s="72"/>
      <c r="F45" s="71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45"/>
  <sheetViews>
    <sheetView view="pageBreakPreview" zoomScaleNormal="100" zoomScaleSheetLayoutView="100" workbookViewId="0">
      <selection activeCell="H17" sqref="H17"/>
    </sheetView>
  </sheetViews>
  <sheetFormatPr defaultColWidth="9.140625" defaultRowHeight="15"/>
  <cols>
    <col min="1" max="1" width="14.42578125" style="25" customWidth="1"/>
    <col min="2" max="2" width="18.5703125" style="25" bestFit="1" customWidth="1"/>
    <col min="3" max="4" width="12.7109375" style="25" customWidth="1"/>
    <col min="5" max="5" width="11.28515625" style="25" bestFit="1" customWidth="1"/>
    <col min="6" max="6" width="12.7109375" style="25" customWidth="1"/>
    <col min="7" max="7" width="12.42578125" style="25" bestFit="1" customWidth="1"/>
    <col min="8" max="8" width="13.140625" style="25" bestFit="1" customWidth="1"/>
    <col min="9" max="9" width="2.7109375" style="25" customWidth="1"/>
    <col min="10" max="10" width="10.7109375" style="25" customWidth="1"/>
    <col min="11" max="11" width="8.140625" style="25" bestFit="1" customWidth="1"/>
    <col min="12" max="12" width="12.7109375" style="25" customWidth="1"/>
    <col min="13" max="14" width="11.28515625" style="25" bestFit="1" customWidth="1"/>
    <col min="15" max="15" width="9.7109375" style="25" bestFit="1" customWidth="1"/>
    <col min="16" max="16" width="11.28515625" style="25" bestFit="1" customWidth="1"/>
    <col min="17" max="17" width="2.7109375" style="25" customWidth="1"/>
    <col min="18" max="18" width="13.7109375" style="25" bestFit="1" customWidth="1"/>
    <col min="19" max="19" width="7.7109375" style="25" bestFit="1" customWidth="1"/>
    <col min="20" max="20" width="7.42578125" style="25" bestFit="1" customWidth="1"/>
    <col min="21" max="16384" width="9.140625" style="25"/>
  </cols>
  <sheetData>
    <row r="1" spans="1:18">
      <c r="A1" s="22" t="s">
        <v>70</v>
      </c>
      <c r="B1" s="7">
        <v>2021</v>
      </c>
    </row>
    <row r="2" spans="1:18">
      <c r="A2" s="22" t="s">
        <v>72</v>
      </c>
      <c r="D2" s="14" t="s">
        <v>73</v>
      </c>
      <c r="F2" s="125" t="s">
        <v>75</v>
      </c>
      <c r="G2" s="125"/>
      <c r="H2" s="125"/>
    </row>
    <row r="3" spans="1:18">
      <c r="D3" s="16" t="s">
        <v>74</v>
      </c>
      <c r="F3" s="20"/>
      <c r="G3" s="14"/>
      <c r="H3" s="20"/>
      <c r="J3" s="23" t="s">
        <v>76</v>
      </c>
    </row>
    <row r="4" spans="1:18">
      <c r="C4" s="16">
        <v>2021</v>
      </c>
      <c r="D4" s="16" t="s">
        <v>77</v>
      </c>
      <c r="F4" s="16"/>
      <c r="G4" s="16" t="s">
        <v>78</v>
      </c>
      <c r="H4" s="16"/>
      <c r="J4" s="16" t="s">
        <v>79</v>
      </c>
      <c r="O4" s="16" t="s">
        <v>80</v>
      </c>
      <c r="P4" s="16" t="s">
        <v>80</v>
      </c>
    </row>
    <row r="5" spans="1:18">
      <c r="C5" s="123" t="s">
        <v>81</v>
      </c>
      <c r="D5" s="10">
        <v>2</v>
      </c>
      <c r="F5" s="123" t="s">
        <v>82</v>
      </c>
      <c r="G5" s="123" t="s">
        <v>83</v>
      </c>
      <c r="H5" s="123" t="s">
        <v>84</v>
      </c>
      <c r="J5" s="123" t="s">
        <v>85</v>
      </c>
      <c r="O5" s="123" t="s">
        <v>65</v>
      </c>
      <c r="P5" s="123" t="s">
        <v>86</v>
      </c>
    </row>
    <row r="6" spans="1:18">
      <c r="A6" s="25">
        <v>1</v>
      </c>
      <c r="B6" s="25" t="s">
        <v>87</v>
      </c>
      <c r="C6" s="100">
        <v>5350289</v>
      </c>
      <c r="D6" s="2">
        <v>3.1E-2</v>
      </c>
      <c r="F6" s="100">
        <v>-82929</v>
      </c>
      <c r="G6" s="18">
        <f>ROUND(IF(D$5=1,-0.5*D6*C6,-D6*C6),0)</f>
        <v>-165859</v>
      </c>
      <c r="H6" s="18">
        <f t="shared" ref="H6:H11" si="0">SUM(F6:G6)</f>
        <v>-248788</v>
      </c>
      <c r="J6" s="5">
        <f t="shared" ref="J6:J11" si="1">C6+H6</f>
        <v>5101501</v>
      </c>
      <c r="O6" s="11">
        <v>1E-4</v>
      </c>
      <c r="P6" s="17">
        <f>ROUND(IF(D$5=1,-0.5*O6*C6,-O6*C6),0)</f>
        <v>-535</v>
      </c>
    </row>
    <row r="7" spans="1:18">
      <c r="A7" s="25">
        <v>2</v>
      </c>
      <c r="B7" s="25" t="s">
        <v>88</v>
      </c>
      <c r="C7" s="100">
        <v>147311</v>
      </c>
      <c r="D7" s="2">
        <v>2.3300000000000001E-2</v>
      </c>
      <c r="F7" s="100">
        <v>-1716</v>
      </c>
      <c r="G7" s="18">
        <f>ROUND(IF(D$5=1,-0.5*D7*C7,-D7*C7),0)</f>
        <v>-3432</v>
      </c>
      <c r="H7" s="18">
        <f t="shared" si="0"/>
        <v>-5148</v>
      </c>
      <c r="J7" s="5">
        <f t="shared" si="1"/>
        <v>142163</v>
      </c>
      <c r="O7" s="11">
        <v>2.0000000000000001E-4</v>
      </c>
      <c r="P7" s="5">
        <f>ROUND(IF(D$5=1,-0.5*O7*C7,-O7*C7),0)</f>
        <v>-29</v>
      </c>
    </row>
    <row r="8" spans="1:18">
      <c r="A8" s="25">
        <v>3</v>
      </c>
      <c r="B8" s="25" t="s">
        <v>89</v>
      </c>
      <c r="C8" s="100">
        <v>568050</v>
      </c>
      <c r="D8" s="2">
        <v>2.69E-2</v>
      </c>
      <c r="F8" s="100">
        <v>-7640</v>
      </c>
      <c r="G8" s="18">
        <f>ROUND(IF(D$5=1,-0.5*D8*C8,-D8*C8),0)</f>
        <v>-15281</v>
      </c>
      <c r="H8" s="18">
        <f t="shared" si="0"/>
        <v>-22921</v>
      </c>
      <c r="J8" s="5">
        <f t="shared" si="1"/>
        <v>545129</v>
      </c>
      <c r="O8" s="11">
        <v>4.1999999999999997E-3</v>
      </c>
      <c r="P8" s="5">
        <f>ROUND(IF(D$5=1,-0.5*O8*C8,-O8*C8),0)</f>
        <v>-2386</v>
      </c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F9" s="100">
        <v>0</v>
      </c>
      <c r="G9" s="18">
        <f>ROUND(IF(D$5=1,-0.5*D9*C9,-D9*C9),0)</f>
        <v>0</v>
      </c>
      <c r="H9" s="18">
        <f t="shared" si="0"/>
        <v>0</v>
      </c>
      <c r="J9" s="5">
        <f t="shared" si="1"/>
        <v>0</v>
      </c>
      <c r="O9" s="11">
        <v>0</v>
      </c>
      <c r="P9" s="5">
        <f>IF(D$5=1,-0.5*O9*C9,-O9*C9)</f>
        <v>0</v>
      </c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F10" s="100">
        <v>0</v>
      </c>
      <c r="G10" s="18">
        <f>ROUND(IF(D$5=1,-0.5*D10*C10,-D10*C10),0)</f>
        <v>0</v>
      </c>
      <c r="H10" s="18">
        <f t="shared" si="0"/>
        <v>0</v>
      </c>
      <c r="J10" s="5">
        <f t="shared" si="1"/>
        <v>0</v>
      </c>
      <c r="O10" s="11">
        <v>0</v>
      </c>
      <c r="P10" s="5">
        <f>IF(D$5=1,-0.5*O10*C10,-O10*C10)</f>
        <v>0</v>
      </c>
    </row>
    <row r="11" spans="1:18">
      <c r="A11" s="25">
        <v>6</v>
      </c>
      <c r="B11" s="25" t="s">
        <v>92</v>
      </c>
      <c r="C11" s="101">
        <v>253736</v>
      </c>
      <c r="D11" s="3" t="s">
        <v>93</v>
      </c>
      <c r="F11" s="101">
        <v>-1476</v>
      </c>
      <c r="G11" s="21">
        <f>P12</f>
        <v>-2950</v>
      </c>
      <c r="H11" s="21">
        <f t="shared" si="0"/>
        <v>-4426</v>
      </c>
      <c r="J11" s="6">
        <f t="shared" si="1"/>
        <v>249310</v>
      </c>
      <c r="O11" s="24">
        <v>0</v>
      </c>
      <c r="P11" s="6">
        <f>IF(D$5=1,-0.5*O11*C11,-O11*C11)</f>
        <v>0</v>
      </c>
    </row>
    <row r="12" spans="1:18">
      <c r="C12" s="18">
        <f>SUM(C6:C11)</f>
        <v>6319386</v>
      </c>
      <c r="D12" s="18"/>
      <c r="F12" s="100">
        <f>SUM(F5:F11)</f>
        <v>-93761</v>
      </c>
      <c r="G12" s="18">
        <f>SUM(G5:G11)</f>
        <v>-187522</v>
      </c>
      <c r="H12" s="18">
        <f>SUM(H5:H11)</f>
        <v>-281283</v>
      </c>
      <c r="J12" s="5">
        <f>SUM(J6:J11)</f>
        <v>6038103</v>
      </c>
      <c r="O12" s="5"/>
      <c r="P12" s="17">
        <f>SUM(P5:P11)</f>
        <v>-2950</v>
      </c>
    </row>
    <row r="13" spans="1:18" ht="14.25" customHeight="1">
      <c r="C13" s="18"/>
      <c r="D13" s="18"/>
      <c r="E13" s="18"/>
      <c r="F13" s="18"/>
      <c r="M13" s="16"/>
      <c r="N13" s="20"/>
    </row>
    <row r="14" spans="1:18">
      <c r="M14" s="16"/>
      <c r="N14" s="20"/>
    </row>
    <row r="15" spans="1:18">
      <c r="D15" s="16"/>
    </row>
    <row r="16" spans="1:18" s="27" customFormat="1">
      <c r="A16" s="84"/>
      <c r="B16" s="84"/>
      <c r="C16" s="93"/>
      <c r="D16" s="95" t="s">
        <v>94</v>
      </c>
      <c r="E16" s="93"/>
      <c r="F16" s="93"/>
      <c r="G16" s="48">
        <v>0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2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 t="shared" ref="C19:C24" si="2">C6</f>
        <v>5350289</v>
      </c>
      <c r="D19" s="56">
        <v>0.74450000000000005</v>
      </c>
      <c r="E19" s="87">
        <f>ROUND(C19*-D19,0)</f>
        <v>-3983290</v>
      </c>
      <c r="F19" s="52">
        <f>C19+E19</f>
        <v>1366999</v>
      </c>
      <c r="G19" s="52">
        <f t="shared" ref="G19:G24" si="3">ROUND(F19*-$G$16,0)</f>
        <v>0</v>
      </c>
      <c r="H19" s="53">
        <f t="shared" ref="H19:H24" si="4">F19+G19</f>
        <v>1366999</v>
      </c>
      <c r="I19" s="84"/>
      <c r="J19" s="84">
        <v>15</v>
      </c>
      <c r="K19" s="54">
        <f>IFERROR(VLOOKUP(J19,'Tax Rates'!$A$1:$AA$12,$K$18+1,FALSE),0)</f>
        <v>9.5000000000000001E-2</v>
      </c>
      <c r="L19" s="102">
        <v>-4051640</v>
      </c>
      <c r="M19" s="52"/>
      <c r="N19" s="52">
        <f t="shared" ref="N19:N24" si="5">G19</f>
        <v>0</v>
      </c>
      <c r="O19" s="87">
        <f>ROUND(K19*-H19,0)</f>
        <v>-129865</v>
      </c>
      <c r="P19" s="55">
        <f t="shared" ref="P19:P24" si="6">SUM(L19:O19)</f>
        <v>-4181505</v>
      </c>
      <c r="Q19" s="84"/>
      <c r="R19" s="52">
        <f>C19+P19</f>
        <v>1168784</v>
      </c>
    </row>
    <row r="20" spans="1:18" s="27" customFormat="1">
      <c r="A20" s="84">
        <v>8</v>
      </c>
      <c r="B20" s="84" t="s">
        <v>88</v>
      </c>
      <c r="C20" s="87">
        <f t="shared" si="2"/>
        <v>147311</v>
      </c>
      <c r="D20" s="56">
        <f>IF(C20=0,0,-E20/C20)</f>
        <v>0</v>
      </c>
      <c r="E20" s="34">
        <v>0</v>
      </c>
      <c r="F20" s="52">
        <f>C20+E20</f>
        <v>147311</v>
      </c>
      <c r="G20" s="52">
        <f t="shared" si="3"/>
        <v>0</v>
      </c>
      <c r="H20" s="53">
        <f t="shared" si="4"/>
        <v>147311</v>
      </c>
      <c r="I20" s="84"/>
      <c r="J20" s="84">
        <v>15</v>
      </c>
      <c r="K20" s="54">
        <f>IFERROR(VLOOKUP(J20,'Tax Rates'!$A$1:$AA$12,$K$18+1,FALSE),0)</f>
        <v>9.5000000000000001E-2</v>
      </c>
      <c r="L20" s="102">
        <v>-7366</v>
      </c>
      <c r="M20" s="52">
        <f t="shared" ref="M20:M24" si="7">E20</f>
        <v>0</v>
      </c>
      <c r="N20" s="52">
        <f t="shared" si="5"/>
        <v>0</v>
      </c>
      <c r="O20" s="87">
        <f>ROUND(K20*-H20,0)</f>
        <v>-13995</v>
      </c>
      <c r="P20" s="55">
        <f t="shared" si="6"/>
        <v>-21361</v>
      </c>
      <c r="Q20" s="84"/>
      <c r="R20" s="52">
        <f>C20+P20</f>
        <v>125950</v>
      </c>
    </row>
    <row r="21" spans="1:18" s="27" customFormat="1">
      <c r="A21" s="84">
        <v>9</v>
      </c>
      <c r="B21" s="84" t="s">
        <v>89</v>
      </c>
      <c r="C21" s="87">
        <f t="shared" si="2"/>
        <v>568050</v>
      </c>
      <c r="D21" s="51">
        <v>1</v>
      </c>
      <c r="E21" s="87">
        <f>ROUND(C21*-D21,0)</f>
        <v>-568050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7.2190000000000004E-2</v>
      </c>
      <c r="L21" s="102">
        <v>-568050</v>
      </c>
      <c r="M21" s="52"/>
      <c r="N21" s="52">
        <f t="shared" si="5"/>
        <v>0</v>
      </c>
      <c r="O21" s="87">
        <f>ROUND(K21*-H21,0)</f>
        <v>0</v>
      </c>
      <c r="P21" s="55">
        <f t="shared" si="6"/>
        <v>-568050</v>
      </c>
      <c r="Q21" s="84"/>
      <c r="R21" s="52">
        <f>C21+P21</f>
        <v>0</v>
      </c>
    </row>
    <row r="22" spans="1:18" s="27" customFormat="1">
      <c r="A22" s="84">
        <v>10</v>
      </c>
      <c r="B22" s="84" t="s">
        <v>90</v>
      </c>
      <c r="C22" s="87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0.24490000000000001</v>
      </c>
      <c r="L22" s="102">
        <v>0</v>
      </c>
      <c r="M22" s="52">
        <f t="shared" si="7"/>
        <v>0</v>
      </c>
      <c r="N22" s="52">
        <f t="shared" si="5"/>
        <v>0</v>
      </c>
      <c r="O22" s="87">
        <f>ROUND(K22*-H22,0)</f>
        <v>0</v>
      </c>
      <c r="P22" s="55">
        <f t="shared" si="6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87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9.5000000000000001E-2</v>
      </c>
      <c r="L23" s="102">
        <v>0</v>
      </c>
      <c r="M23" s="52">
        <f t="shared" si="7"/>
        <v>0</v>
      </c>
      <c r="N23" s="52">
        <f t="shared" si="5"/>
        <v>0</v>
      </c>
      <c r="O23" s="87">
        <f>ROUND(K23*-H23,0)</f>
        <v>0</v>
      </c>
      <c r="P23" s="55">
        <f t="shared" si="6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7">
        <f t="shared" si="2"/>
        <v>253736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f t="shared" si="7"/>
        <v>0</v>
      </c>
      <c r="N24" s="63">
        <f t="shared" si="5"/>
        <v>0</v>
      </c>
      <c r="O24" s="88">
        <v>0</v>
      </c>
      <c r="P24" s="64">
        <f t="shared" si="6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6319386</v>
      </c>
      <c r="D25" s="84"/>
      <c r="E25" s="87">
        <f>SUM(E19:E24)</f>
        <v>-4551340</v>
      </c>
      <c r="F25" s="87">
        <f>SUM(F19:F24)</f>
        <v>1514310</v>
      </c>
      <c r="G25" s="87">
        <f>SUM(G19:G24)</f>
        <v>0</v>
      </c>
      <c r="H25" s="55">
        <f>SUM(H19:H24)</f>
        <v>1514310</v>
      </c>
      <c r="I25" s="84"/>
      <c r="J25" s="84"/>
      <c r="K25" s="84"/>
      <c r="L25" s="55">
        <f>SUM(L19:L24)</f>
        <v>-4627056</v>
      </c>
      <c r="M25" s="87">
        <f>SUM(M19:M24)</f>
        <v>0</v>
      </c>
      <c r="N25" s="87">
        <f>SUM(N19:N24)</f>
        <v>0</v>
      </c>
      <c r="O25" s="87">
        <f>SUM(O19:O24)</f>
        <v>-143860</v>
      </c>
      <c r="P25" s="55">
        <f>SUM(P19:P24)</f>
        <v>-4770916</v>
      </c>
      <c r="Q25" s="84"/>
      <c r="R25" s="52">
        <f>SUM(R19:R24)</f>
        <v>1294734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66"/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 t="shared" ref="D31:D36" si="8">J6</f>
        <v>5101501</v>
      </c>
      <c r="E31" s="52">
        <f>R19</f>
        <v>1168784</v>
      </c>
      <c r="F31" s="52">
        <f>E31-D31</f>
        <v>-3932717</v>
      </c>
      <c r="G31" s="68">
        <v>0.2495</v>
      </c>
      <c r="H31" s="52">
        <f>ROUND(F31*G31,0)</f>
        <v>-981213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7">
        <f t="shared" si="8"/>
        <v>142163</v>
      </c>
      <c r="E32" s="52">
        <f t="shared" ref="E32:E36" si="9">R20</f>
        <v>125950</v>
      </c>
      <c r="F32" s="52">
        <f>E32-D32</f>
        <v>-16213</v>
      </c>
      <c r="G32" s="67">
        <f>G31</f>
        <v>0.2495</v>
      </c>
      <c r="H32" s="52">
        <f t="shared" ref="H32:H36" si="10">ROUND(F32*G32,0)</f>
        <v>-4045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0" s="27" customFormat="1">
      <c r="A33" s="84">
        <v>15</v>
      </c>
      <c r="B33" s="84" t="s">
        <v>89</v>
      </c>
      <c r="C33" s="84"/>
      <c r="D33" s="57">
        <f t="shared" si="8"/>
        <v>545129</v>
      </c>
      <c r="E33" s="52">
        <f t="shared" si="9"/>
        <v>0</v>
      </c>
      <c r="F33" s="52">
        <f>E33-D33</f>
        <v>-545129</v>
      </c>
      <c r="G33" s="67">
        <f>G31</f>
        <v>0.2495</v>
      </c>
      <c r="H33" s="52">
        <f t="shared" si="10"/>
        <v>-136010</v>
      </c>
      <c r="I33" s="84"/>
      <c r="J33" s="84"/>
    </row>
    <row r="34" spans="1:10" s="27" customFormat="1">
      <c r="A34" s="84">
        <v>16</v>
      </c>
      <c r="B34" s="84" t="s">
        <v>90</v>
      </c>
      <c r="C34" s="84"/>
      <c r="D34" s="57">
        <f t="shared" si="8"/>
        <v>0</v>
      </c>
      <c r="E34" s="52">
        <f t="shared" si="9"/>
        <v>0</v>
      </c>
      <c r="F34" s="52">
        <f>E34-D34</f>
        <v>0</v>
      </c>
      <c r="G34" s="67">
        <f>G31</f>
        <v>0.2495</v>
      </c>
      <c r="H34" s="52">
        <f t="shared" si="10"/>
        <v>0</v>
      </c>
      <c r="I34" s="84"/>
      <c r="J34" s="84"/>
    </row>
    <row r="35" spans="1:10" s="27" customFormat="1">
      <c r="A35" s="84">
        <v>17</v>
      </c>
      <c r="B35" s="84" t="s">
        <v>91</v>
      </c>
      <c r="C35" s="84"/>
      <c r="D35" s="57">
        <f t="shared" si="8"/>
        <v>0</v>
      </c>
      <c r="E35" s="52">
        <f t="shared" si="9"/>
        <v>0</v>
      </c>
      <c r="F35" s="52">
        <f>E35-D35</f>
        <v>0</v>
      </c>
      <c r="G35" s="67">
        <f>G31</f>
        <v>0.2495</v>
      </c>
      <c r="H35" s="52">
        <f t="shared" si="10"/>
        <v>0</v>
      </c>
      <c r="I35" s="84"/>
      <c r="J35" s="84"/>
    </row>
    <row r="36" spans="1:10" s="27" customFormat="1">
      <c r="A36" s="84">
        <v>18</v>
      </c>
      <c r="B36" s="84" t="s">
        <v>92</v>
      </c>
      <c r="C36" s="84"/>
      <c r="D36" s="59">
        <f t="shared" si="8"/>
        <v>249310</v>
      </c>
      <c r="E36" s="65" t="str">
        <f t="shared" si="9"/>
        <v>NA</v>
      </c>
      <c r="F36" s="59">
        <f>-D36</f>
        <v>-249310</v>
      </c>
      <c r="G36" s="69">
        <f>G31</f>
        <v>0.2495</v>
      </c>
      <c r="H36" s="59">
        <f t="shared" si="10"/>
        <v>-62203</v>
      </c>
      <c r="I36" s="84"/>
      <c r="J36" s="84"/>
    </row>
    <row r="37" spans="1:10" s="27" customFormat="1">
      <c r="A37" s="84"/>
      <c r="B37" s="84"/>
      <c r="C37" s="84"/>
      <c r="D37" s="52">
        <f>SUM(D31:D36)</f>
        <v>6038103</v>
      </c>
      <c r="E37" s="52">
        <f>SUM(E31:E36)</f>
        <v>1294734</v>
      </c>
      <c r="F37" s="52">
        <f>SUM(F31:F36)</f>
        <v>-4743369</v>
      </c>
      <c r="G37" s="84"/>
      <c r="H37" s="52">
        <f>SUM(H31:H36)</f>
        <v>-1183471</v>
      </c>
      <c r="I37" s="84"/>
      <c r="J37" s="84"/>
    </row>
    <row r="39" spans="1:10" s="27" customFormat="1">
      <c r="A39" s="74" t="s">
        <v>73</v>
      </c>
      <c r="B39" s="84" t="s">
        <v>112</v>
      </c>
      <c r="C39" s="84"/>
      <c r="D39" s="84"/>
      <c r="E39" s="84"/>
      <c r="F39" s="84"/>
      <c r="G39" s="84"/>
      <c r="H39" s="84"/>
      <c r="I39" s="84"/>
      <c r="J39" s="84"/>
    </row>
    <row r="40" spans="1:10" s="27" customFormat="1">
      <c r="A40" s="74"/>
      <c r="B40" s="84"/>
      <c r="C40" s="84"/>
      <c r="D40" s="84"/>
      <c r="E40" s="84"/>
      <c r="F40" s="84"/>
      <c r="G40" s="84"/>
      <c r="H40" s="84"/>
      <c r="I40" s="84"/>
      <c r="J40" s="84"/>
    </row>
    <row r="41" spans="1:10" s="27" customFormat="1">
      <c r="A41" s="74"/>
      <c r="B41" s="25"/>
      <c r="C41" s="25"/>
      <c r="D41" s="25"/>
      <c r="E41" s="25"/>
      <c r="F41" s="25"/>
      <c r="G41" s="25"/>
      <c r="H41" s="25"/>
      <c r="I41" s="25"/>
      <c r="J41" s="25"/>
    </row>
    <row r="42" spans="1:10" s="27" customFormat="1">
      <c r="A42" s="84"/>
      <c r="B42" s="26"/>
      <c r="C42" s="70"/>
      <c r="D42" s="70"/>
      <c r="E42" s="25"/>
      <c r="F42" s="25"/>
      <c r="G42" s="25"/>
      <c r="H42" s="25"/>
      <c r="I42" s="25"/>
      <c r="J42" s="25"/>
    </row>
    <row r="43" spans="1:10" s="27" customFormat="1">
      <c r="A43" s="84"/>
      <c r="B43" s="70"/>
      <c r="C43" s="25"/>
      <c r="D43" s="25"/>
      <c r="E43" s="72"/>
      <c r="F43" s="71"/>
      <c r="G43" s="25"/>
      <c r="H43" s="25"/>
      <c r="I43" s="25"/>
      <c r="J43" s="25"/>
    </row>
    <row r="44" spans="1:10" s="27" customFormat="1">
      <c r="A44" s="84"/>
      <c r="B44" s="70"/>
      <c r="C44" s="25"/>
      <c r="D44" s="25"/>
      <c r="E44" s="121"/>
      <c r="F44" s="71"/>
      <c r="G44" s="25"/>
      <c r="H44" s="25"/>
      <c r="I44" s="25"/>
      <c r="J44" s="25"/>
    </row>
    <row r="45" spans="1:10">
      <c r="B45" s="70"/>
      <c r="E45" s="72"/>
      <c r="F45" s="71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5"/>
  <sheetViews>
    <sheetView zoomScaleNormal="100" zoomScaleSheetLayoutView="100" workbookViewId="0">
      <selection activeCell="L28" sqref="L28"/>
    </sheetView>
  </sheetViews>
  <sheetFormatPr defaultColWidth="9.140625" defaultRowHeight="15"/>
  <cols>
    <col min="1" max="1" width="14.42578125" style="25" customWidth="1"/>
    <col min="2" max="2" width="18.5703125" style="25" bestFit="1" customWidth="1"/>
    <col min="3" max="4" width="12.7109375" style="25" customWidth="1"/>
    <col min="5" max="5" width="11.28515625" style="25" bestFit="1" customWidth="1"/>
    <col min="6" max="6" width="12.7109375" style="25" customWidth="1"/>
    <col min="7" max="7" width="12.42578125" style="25" bestFit="1" customWidth="1"/>
    <col min="8" max="8" width="13.140625" style="25" bestFit="1" customWidth="1"/>
    <col min="9" max="9" width="2.7109375" style="25" customWidth="1"/>
    <col min="10" max="10" width="10.7109375" style="25" customWidth="1"/>
    <col min="11" max="11" width="8.140625" style="25" bestFit="1" customWidth="1"/>
    <col min="12" max="12" width="12.7109375" style="25" customWidth="1"/>
    <col min="13" max="14" width="11.28515625" style="25" bestFit="1" customWidth="1"/>
    <col min="15" max="15" width="8.42578125" style="25" bestFit="1" customWidth="1"/>
    <col min="16" max="16" width="11.28515625" style="25" bestFit="1" customWidth="1"/>
    <col min="17" max="17" width="2.7109375" style="25" customWidth="1"/>
    <col min="18" max="18" width="13.7109375" style="25" bestFit="1" customWidth="1"/>
    <col min="19" max="19" width="7.7109375" style="25" bestFit="1" customWidth="1"/>
    <col min="20" max="20" width="7.42578125" style="25" bestFit="1" customWidth="1"/>
    <col min="21" max="16384" width="9.140625" style="25"/>
  </cols>
  <sheetData>
    <row r="1" spans="1:18">
      <c r="A1" s="22" t="s">
        <v>70</v>
      </c>
      <c r="B1" s="7">
        <v>2022</v>
      </c>
    </row>
    <row r="2" spans="1:18">
      <c r="A2" s="22" t="s">
        <v>72</v>
      </c>
      <c r="D2" s="14" t="s">
        <v>73</v>
      </c>
      <c r="F2" s="125" t="s">
        <v>75</v>
      </c>
      <c r="G2" s="125"/>
      <c r="H2" s="125"/>
    </row>
    <row r="3" spans="1:18">
      <c r="D3" s="16" t="s">
        <v>74</v>
      </c>
      <c r="F3" s="20"/>
      <c r="G3" s="14" t="s">
        <v>114</v>
      </c>
      <c r="H3" s="20"/>
      <c r="J3" s="23" t="s">
        <v>76</v>
      </c>
    </row>
    <row r="4" spans="1:18">
      <c r="C4" s="16">
        <v>2022</v>
      </c>
      <c r="D4" s="16" t="s">
        <v>77</v>
      </c>
      <c r="F4" s="16"/>
      <c r="G4" s="16" t="s">
        <v>78</v>
      </c>
      <c r="H4" s="16"/>
      <c r="J4" s="16" t="s">
        <v>79</v>
      </c>
      <c r="O4" s="16" t="s">
        <v>80</v>
      </c>
      <c r="P4" s="16" t="s">
        <v>80</v>
      </c>
    </row>
    <row r="5" spans="1:18">
      <c r="C5" s="123" t="s">
        <v>81</v>
      </c>
      <c r="D5" s="10">
        <v>1</v>
      </c>
      <c r="F5" s="123" t="s">
        <v>82</v>
      </c>
      <c r="G5" s="123" t="s">
        <v>83</v>
      </c>
      <c r="H5" s="123" t="s">
        <v>84</v>
      </c>
      <c r="J5" s="123" t="s">
        <v>85</v>
      </c>
      <c r="O5" s="123" t="s">
        <v>65</v>
      </c>
      <c r="P5" s="123" t="s">
        <v>86</v>
      </c>
    </row>
    <row r="6" spans="1:18">
      <c r="A6" s="25">
        <v>1</v>
      </c>
      <c r="B6" s="25" t="s">
        <v>87</v>
      </c>
      <c r="C6" s="100">
        <v>4281077</v>
      </c>
      <c r="D6" s="2">
        <v>3.1E-2</v>
      </c>
      <c r="F6" s="100">
        <v>0</v>
      </c>
      <c r="G6" s="18">
        <f>ROUND(IF(D$5=1,-0.5*D6*C6,-D6*C6),0)</f>
        <v>-66357</v>
      </c>
      <c r="H6" s="18">
        <f t="shared" ref="H6:H11" si="0">SUM(F6:G6)</f>
        <v>-66357</v>
      </c>
      <c r="J6" s="5">
        <f t="shared" ref="J6:J11" si="1">C6+H6</f>
        <v>4214720</v>
      </c>
      <c r="O6" s="11">
        <v>1E-4</v>
      </c>
      <c r="P6" s="17">
        <f>ROUND(IF(D$5=1,-0.5*O6*C6,-O6*C6),0)</f>
        <v>-214</v>
      </c>
    </row>
    <row r="7" spans="1:18">
      <c r="A7" s="25">
        <v>2</v>
      </c>
      <c r="B7" s="25" t="s">
        <v>88</v>
      </c>
      <c r="C7" s="100">
        <v>1654300</v>
      </c>
      <c r="D7" s="2">
        <v>2.3300000000000001E-2</v>
      </c>
      <c r="F7" s="100">
        <v>0</v>
      </c>
      <c r="G7" s="18">
        <f>ROUND(IF(D$5=1,-0.5*D7*C7,-D7*C7),0)</f>
        <v>-19273</v>
      </c>
      <c r="H7" s="18">
        <f t="shared" si="0"/>
        <v>-19273</v>
      </c>
      <c r="J7" s="5">
        <f t="shared" si="1"/>
        <v>1635027</v>
      </c>
      <c r="O7" s="11">
        <v>2.0000000000000001E-4</v>
      </c>
      <c r="P7" s="5">
        <f>ROUND(IF(D$5=1,-0.5*O7*C7,-O7*C7),0)</f>
        <v>-165</v>
      </c>
    </row>
    <row r="8" spans="1:18">
      <c r="A8" s="25">
        <v>3</v>
      </c>
      <c r="B8" s="25" t="s">
        <v>89</v>
      </c>
      <c r="C8" s="100">
        <v>375695</v>
      </c>
      <c r="D8" s="2">
        <v>2.69E-2</v>
      </c>
      <c r="F8" s="100">
        <v>0</v>
      </c>
      <c r="G8" s="18">
        <f>ROUND(IF(D$5=1,-0.5*D8*C8,-D8*C8),0)</f>
        <v>-5053</v>
      </c>
      <c r="H8" s="18">
        <f t="shared" si="0"/>
        <v>-5053</v>
      </c>
      <c r="J8" s="5">
        <f t="shared" si="1"/>
        <v>370642</v>
      </c>
      <c r="O8" s="11">
        <v>4.1999999999999997E-3</v>
      </c>
      <c r="P8" s="5">
        <f>ROUND(IF(D$5=1,-0.5*O8*C8,-O8*C8),0)</f>
        <v>-789</v>
      </c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F9" s="100">
        <v>0</v>
      </c>
      <c r="G9" s="18">
        <f>ROUND(IF(D$5=1,-0.5*D9*C9,-D9*C9),0)</f>
        <v>0</v>
      </c>
      <c r="H9" s="18">
        <f t="shared" si="0"/>
        <v>0</v>
      </c>
      <c r="J9" s="5">
        <f t="shared" si="1"/>
        <v>0</v>
      </c>
      <c r="O9" s="11">
        <v>0</v>
      </c>
      <c r="P9" s="5">
        <f>IF(D$5=1,-0.5*O9*C9,-O9*C9)</f>
        <v>0</v>
      </c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F10" s="100">
        <v>0</v>
      </c>
      <c r="G10" s="18">
        <f>ROUND(IF(D$5=1,-0.5*D10*C10,-D10*C10),0)</f>
        <v>0</v>
      </c>
      <c r="H10" s="18">
        <f t="shared" si="0"/>
        <v>0</v>
      </c>
      <c r="J10" s="5">
        <f t="shared" si="1"/>
        <v>0</v>
      </c>
      <c r="O10" s="11">
        <v>0</v>
      </c>
      <c r="P10" s="5">
        <f>IF(D$5=1,-0.5*O10*C10,-O10*C10)</f>
        <v>0</v>
      </c>
    </row>
    <row r="11" spans="1:18">
      <c r="A11" s="25">
        <v>6</v>
      </c>
      <c r="B11" s="25" t="s">
        <v>92</v>
      </c>
      <c r="C11" s="101">
        <v>253736</v>
      </c>
      <c r="D11" s="3" t="s">
        <v>93</v>
      </c>
      <c r="F11" s="101">
        <v>0</v>
      </c>
      <c r="G11" s="21">
        <f>P12</f>
        <v>-1168</v>
      </c>
      <c r="H11" s="21">
        <f t="shared" si="0"/>
        <v>-1168</v>
      </c>
      <c r="J11" s="6">
        <f t="shared" si="1"/>
        <v>252568</v>
      </c>
      <c r="O11" s="24">
        <v>0</v>
      </c>
      <c r="P11" s="6">
        <f>IF(D$5=1,-0.5*O11*C11,-O11*C11)</f>
        <v>0</v>
      </c>
    </row>
    <row r="12" spans="1:18">
      <c r="C12" s="18">
        <f>SUM(C6:C11)</f>
        <v>6564808</v>
      </c>
      <c r="D12" s="18"/>
      <c r="F12" s="100">
        <f>SUM(F5:F11)</f>
        <v>0</v>
      </c>
      <c r="G12" s="18">
        <f>SUM(G5:G11)</f>
        <v>-91851</v>
      </c>
      <c r="H12" s="18">
        <f>SUM(H5:H11)</f>
        <v>-91851</v>
      </c>
      <c r="J12" s="5">
        <f>SUM(J6:J11)</f>
        <v>6472957</v>
      </c>
      <c r="O12" s="5"/>
      <c r="P12" s="17">
        <f>SUM(P5:P11)</f>
        <v>-1168</v>
      </c>
    </row>
    <row r="13" spans="1:18" ht="14.25" customHeight="1">
      <c r="C13" s="18"/>
      <c r="D13" s="18"/>
      <c r="E13" s="18"/>
      <c r="F13" s="18"/>
      <c r="M13" s="16"/>
      <c r="N13" s="20"/>
    </row>
    <row r="14" spans="1:18">
      <c r="M14" s="16"/>
      <c r="N14" s="20"/>
    </row>
    <row r="15" spans="1:18">
      <c r="D15" s="16"/>
    </row>
    <row r="16" spans="1:18" s="27" customFormat="1">
      <c r="A16" s="84"/>
      <c r="B16" s="84"/>
      <c r="C16" s="93"/>
      <c r="D16" s="95" t="s">
        <v>94</v>
      </c>
      <c r="E16" s="93"/>
      <c r="F16" s="93"/>
      <c r="G16" s="48">
        <v>0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1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 t="shared" ref="C19:C24" si="2">C6</f>
        <v>4281077</v>
      </c>
      <c r="D19" s="56">
        <v>0.74450000000000005</v>
      </c>
      <c r="E19" s="87">
        <f>ROUND(C19*-D19,0)</f>
        <v>-3187262</v>
      </c>
      <c r="F19" s="52">
        <f>C19+E19</f>
        <v>1093815</v>
      </c>
      <c r="G19" s="52">
        <f t="shared" ref="G19:G24" si="3">ROUND(F19*-$G$16,0)</f>
        <v>0</v>
      </c>
      <c r="H19" s="53">
        <f t="shared" ref="H19:H24" si="4">F19+G19</f>
        <v>1093815</v>
      </c>
      <c r="I19" s="84"/>
      <c r="J19" s="84">
        <v>15</v>
      </c>
      <c r="K19" s="54">
        <f>IFERROR(VLOOKUP(J19,'Tax Rates'!$A$1:$AA$12,$K$18+1,FALSE),0)</f>
        <v>0.05</v>
      </c>
      <c r="L19" s="102">
        <v>0</v>
      </c>
      <c r="M19" s="52">
        <f>E19</f>
        <v>-3187262</v>
      </c>
      <c r="N19" s="52">
        <f t="shared" ref="N19:N24" si="5">G19</f>
        <v>0</v>
      </c>
      <c r="O19" s="87">
        <f>ROUND(K19*-H19,0)</f>
        <v>-54691</v>
      </c>
      <c r="P19" s="55">
        <f t="shared" ref="P19:P24" si="6">SUM(L19:O19)</f>
        <v>-3241953</v>
      </c>
      <c r="Q19" s="84"/>
      <c r="R19" s="52">
        <f>C19+P19</f>
        <v>1039124</v>
      </c>
    </row>
    <row r="20" spans="1:18" s="27" customFormat="1">
      <c r="A20" s="84">
        <v>8</v>
      </c>
      <c r="B20" s="84" t="s">
        <v>88</v>
      </c>
      <c r="C20" s="87">
        <f t="shared" si="2"/>
        <v>1654300</v>
      </c>
      <c r="D20" s="56">
        <f>IF(C20=0,0,-E20/C20)</f>
        <v>0</v>
      </c>
      <c r="E20" s="34">
        <v>0</v>
      </c>
      <c r="F20" s="52">
        <f>C20+E20</f>
        <v>1654300</v>
      </c>
      <c r="G20" s="52">
        <f t="shared" si="3"/>
        <v>0</v>
      </c>
      <c r="H20" s="53">
        <f t="shared" si="4"/>
        <v>1654300</v>
      </c>
      <c r="I20" s="84"/>
      <c r="J20" s="84">
        <v>15</v>
      </c>
      <c r="K20" s="54">
        <f>IFERROR(VLOOKUP(J20,'Tax Rates'!$A$1:$AA$12,$K$18+1,FALSE),0)</f>
        <v>0.05</v>
      </c>
      <c r="L20" s="102">
        <v>0</v>
      </c>
      <c r="M20" s="52">
        <f t="shared" ref="M20:M24" si="7">E20</f>
        <v>0</v>
      </c>
      <c r="N20" s="52">
        <f t="shared" si="5"/>
        <v>0</v>
      </c>
      <c r="O20" s="87">
        <f>ROUND(K20*-H20,0)</f>
        <v>-82715</v>
      </c>
      <c r="P20" s="55">
        <f t="shared" si="6"/>
        <v>-82715</v>
      </c>
      <c r="Q20" s="84"/>
      <c r="R20" s="52">
        <f>C20+P20</f>
        <v>1571585</v>
      </c>
    </row>
    <row r="21" spans="1:18" s="27" customFormat="1">
      <c r="A21" s="84">
        <v>9</v>
      </c>
      <c r="B21" s="84" t="s">
        <v>89</v>
      </c>
      <c r="C21" s="87">
        <f t="shared" si="2"/>
        <v>375695</v>
      </c>
      <c r="D21" s="51">
        <v>1</v>
      </c>
      <c r="E21" s="87">
        <f>ROUND(C21*-D21,0)</f>
        <v>-375695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3.7499999999999999E-2</v>
      </c>
      <c r="L21" s="102">
        <v>0</v>
      </c>
      <c r="M21" s="52">
        <f t="shared" si="7"/>
        <v>-375695</v>
      </c>
      <c r="N21" s="52">
        <f t="shared" si="5"/>
        <v>0</v>
      </c>
      <c r="O21" s="87">
        <f>ROUND(K21*-H21,0)</f>
        <v>0</v>
      </c>
      <c r="P21" s="55">
        <f t="shared" si="6"/>
        <v>-375695</v>
      </c>
      <c r="Q21" s="84"/>
      <c r="R21" s="52">
        <f>C21+P21</f>
        <v>0</v>
      </c>
    </row>
    <row r="22" spans="1:18" s="27" customFormat="1">
      <c r="A22" s="84">
        <v>10</v>
      </c>
      <c r="B22" s="84" t="s">
        <v>90</v>
      </c>
      <c r="C22" s="87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0.14285999999999999</v>
      </c>
      <c r="L22" s="102">
        <v>0</v>
      </c>
      <c r="M22" s="52">
        <f t="shared" si="7"/>
        <v>0</v>
      </c>
      <c r="N22" s="52">
        <f t="shared" si="5"/>
        <v>0</v>
      </c>
      <c r="O22" s="87">
        <f>ROUND(K22*-H22,0)</f>
        <v>0</v>
      </c>
      <c r="P22" s="55">
        <f t="shared" si="6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87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0.05</v>
      </c>
      <c r="L23" s="102">
        <v>0</v>
      </c>
      <c r="M23" s="52">
        <f t="shared" si="7"/>
        <v>0</v>
      </c>
      <c r="N23" s="52">
        <f t="shared" si="5"/>
        <v>0</v>
      </c>
      <c r="O23" s="87">
        <f>ROUND(K23*-H23,0)</f>
        <v>0</v>
      </c>
      <c r="P23" s="55">
        <f t="shared" si="6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7">
        <f t="shared" si="2"/>
        <v>253736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f t="shared" si="7"/>
        <v>0</v>
      </c>
      <c r="N24" s="63">
        <f t="shared" si="5"/>
        <v>0</v>
      </c>
      <c r="O24" s="88">
        <v>0</v>
      </c>
      <c r="P24" s="64">
        <f t="shared" si="6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6564808</v>
      </c>
      <c r="D25" s="84"/>
      <c r="E25" s="87">
        <f>SUM(E19:E24)</f>
        <v>-3562957</v>
      </c>
      <c r="F25" s="87">
        <f>SUM(F19:F24)</f>
        <v>2748115</v>
      </c>
      <c r="G25" s="87">
        <f>SUM(G19:G24)</f>
        <v>0</v>
      </c>
      <c r="H25" s="55">
        <f>SUM(H19:H24)</f>
        <v>2748115</v>
      </c>
      <c r="I25" s="84"/>
      <c r="J25" s="84"/>
      <c r="K25" s="84"/>
      <c r="L25" s="55">
        <f>SUM(L19:L24)</f>
        <v>0</v>
      </c>
      <c r="M25" s="87">
        <f>SUM(M19:M24)</f>
        <v>-3562957</v>
      </c>
      <c r="N25" s="87">
        <f>SUM(N19:N24)</f>
        <v>0</v>
      </c>
      <c r="O25" s="87">
        <f>SUM(O19:O24)</f>
        <v>-137406</v>
      </c>
      <c r="P25" s="55">
        <f>SUM(P19:P24)</f>
        <v>-3700363</v>
      </c>
      <c r="Q25" s="84"/>
      <c r="R25" s="52">
        <f>SUM(R19:R24)</f>
        <v>2610709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66"/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 t="shared" ref="D31:D36" si="8">J6</f>
        <v>4214720</v>
      </c>
      <c r="E31" s="52">
        <f>R19</f>
        <v>1039124</v>
      </c>
      <c r="F31" s="52">
        <f>E31-D31</f>
        <v>-3175596</v>
      </c>
      <c r="G31" s="68">
        <v>0.2495</v>
      </c>
      <c r="H31" s="52">
        <f>ROUND(F31*G31,0)</f>
        <v>-792311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7">
        <f t="shared" si="8"/>
        <v>1635027</v>
      </c>
      <c r="E32" s="52">
        <f t="shared" ref="E32:E36" si="9">R20</f>
        <v>1571585</v>
      </c>
      <c r="F32" s="52">
        <f>E32-D32</f>
        <v>-63442</v>
      </c>
      <c r="G32" s="67">
        <f>G31</f>
        <v>0.2495</v>
      </c>
      <c r="H32" s="52">
        <f t="shared" ref="H32:H36" si="10">ROUND(F32*G32,0)</f>
        <v>-15829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0" s="27" customFormat="1">
      <c r="A33" s="84">
        <v>15</v>
      </c>
      <c r="B33" s="84" t="s">
        <v>89</v>
      </c>
      <c r="C33" s="84"/>
      <c r="D33" s="57">
        <f t="shared" si="8"/>
        <v>370642</v>
      </c>
      <c r="E33" s="52">
        <f t="shared" si="9"/>
        <v>0</v>
      </c>
      <c r="F33" s="52">
        <f>E33-D33</f>
        <v>-370642</v>
      </c>
      <c r="G33" s="67">
        <f>G31</f>
        <v>0.2495</v>
      </c>
      <c r="H33" s="52">
        <f t="shared" si="10"/>
        <v>-92475</v>
      </c>
      <c r="I33" s="84"/>
      <c r="J33" s="84"/>
    </row>
    <row r="34" spans="1:10" s="27" customFormat="1">
      <c r="A34" s="84">
        <v>16</v>
      </c>
      <c r="B34" s="84" t="s">
        <v>90</v>
      </c>
      <c r="C34" s="84"/>
      <c r="D34" s="57">
        <f t="shared" si="8"/>
        <v>0</v>
      </c>
      <c r="E34" s="52">
        <f t="shared" si="9"/>
        <v>0</v>
      </c>
      <c r="F34" s="52">
        <f>E34-D34</f>
        <v>0</v>
      </c>
      <c r="G34" s="67">
        <f>G31</f>
        <v>0.2495</v>
      </c>
      <c r="H34" s="52">
        <f t="shared" si="10"/>
        <v>0</v>
      </c>
      <c r="I34" s="84"/>
      <c r="J34" s="84"/>
    </row>
    <row r="35" spans="1:10" s="27" customFormat="1">
      <c r="A35" s="84">
        <v>17</v>
      </c>
      <c r="B35" s="84" t="s">
        <v>91</v>
      </c>
      <c r="C35" s="84"/>
      <c r="D35" s="57">
        <f t="shared" si="8"/>
        <v>0</v>
      </c>
      <c r="E35" s="52">
        <f t="shared" si="9"/>
        <v>0</v>
      </c>
      <c r="F35" s="52">
        <f>E35-D35</f>
        <v>0</v>
      </c>
      <c r="G35" s="67">
        <f>G31</f>
        <v>0.2495</v>
      </c>
      <c r="H35" s="52">
        <f t="shared" si="10"/>
        <v>0</v>
      </c>
      <c r="I35" s="84"/>
      <c r="J35" s="84"/>
    </row>
    <row r="36" spans="1:10" s="27" customFormat="1">
      <c r="A36" s="84">
        <v>18</v>
      </c>
      <c r="B36" s="84" t="s">
        <v>92</v>
      </c>
      <c r="C36" s="84"/>
      <c r="D36" s="59">
        <f t="shared" si="8"/>
        <v>252568</v>
      </c>
      <c r="E36" s="65" t="str">
        <f t="shared" si="9"/>
        <v>NA</v>
      </c>
      <c r="F36" s="59">
        <f>-D36</f>
        <v>-252568</v>
      </c>
      <c r="G36" s="69">
        <f>G31</f>
        <v>0.2495</v>
      </c>
      <c r="H36" s="59">
        <f t="shared" si="10"/>
        <v>-63016</v>
      </c>
      <c r="I36" s="84"/>
      <c r="J36" s="84"/>
    </row>
    <row r="37" spans="1:10" s="27" customFormat="1">
      <c r="A37" s="84"/>
      <c r="B37" s="84"/>
      <c r="C37" s="84"/>
      <c r="D37" s="52">
        <f>SUM(D31:D36)</f>
        <v>6472957</v>
      </c>
      <c r="E37" s="52">
        <f>SUM(E31:E36)</f>
        <v>2610709</v>
      </c>
      <c r="F37" s="52">
        <f>SUM(F31:F36)</f>
        <v>-3862248</v>
      </c>
      <c r="G37" s="84"/>
      <c r="H37" s="52">
        <f>SUM(H31:H36)</f>
        <v>-963631</v>
      </c>
      <c r="I37" s="84"/>
      <c r="J37" s="84"/>
    </row>
    <row r="39" spans="1:10" s="27" customFormat="1">
      <c r="A39" s="74" t="s">
        <v>73</v>
      </c>
      <c r="B39" s="84" t="s">
        <v>112</v>
      </c>
      <c r="C39" s="84"/>
      <c r="D39" s="84"/>
      <c r="E39" s="84"/>
      <c r="F39" s="84"/>
      <c r="G39" s="84"/>
      <c r="H39" s="84"/>
      <c r="I39" s="84"/>
      <c r="J39" s="84"/>
    </row>
    <row r="40" spans="1:10" s="27" customFormat="1">
      <c r="A40" s="74" t="s">
        <v>114</v>
      </c>
      <c r="B40" s="84" t="s">
        <v>124</v>
      </c>
      <c r="C40" s="84"/>
      <c r="D40" s="84"/>
      <c r="E40" s="84"/>
      <c r="F40" s="84"/>
      <c r="G40" s="84"/>
      <c r="H40" s="84"/>
      <c r="I40" s="84"/>
      <c r="J40" s="84"/>
    </row>
    <row r="41" spans="1:10" s="27" customFormat="1">
      <c r="A41" s="74"/>
      <c r="B41" s="25"/>
      <c r="C41" s="25"/>
      <c r="D41" s="25"/>
      <c r="E41" s="25"/>
      <c r="F41" s="25"/>
      <c r="G41" s="25"/>
      <c r="H41" s="25"/>
      <c r="I41" s="25"/>
      <c r="J41" s="25"/>
    </row>
    <row r="42" spans="1:10" s="27" customFormat="1">
      <c r="A42" s="84"/>
      <c r="B42" s="26"/>
      <c r="C42" s="70"/>
      <c r="D42" s="70"/>
      <c r="E42" s="25"/>
      <c r="F42" s="25"/>
      <c r="G42" s="25"/>
      <c r="H42" s="25"/>
      <c r="I42" s="25"/>
      <c r="J42" s="25"/>
    </row>
    <row r="43" spans="1:10" s="27" customFormat="1">
      <c r="A43" s="84"/>
      <c r="B43" s="70"/>
      <c r="C43" s="25"/>
      <c r="D43" s="25"/>
      <c r="E43" s="72"/>
      <c r="F43" s="71"/>
      <c r="G43" s="25"/>
      <c r="H43" s="25"/>
      <c r="I43" s="25"/>
      <c r="J43" s="25"/>
    </row>
    <row r="44" spans="1:10" s="27" customFormat="1">
      <c r="A44" s="84"/>
      <c r="B44" s="70"/>
      <c r="C44" s="25"/>
      <c r="D44" s="25"/>
      <c r="E44" s="121"/>
      <c r="F44" s="71"/>
      <c r="G44" s="25"/>
      <c r="H44" s="25"/>
      <c r="I44" s="25"/>
      <c r="J44" s="25"/>
    </row>
    <row r="45" spans="1:10">
      <c r="B45" s="70"/>
      <c r="E45" s="72"/>
      <c r="F45" s="71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49"/>
  <sheetViews>
    <sheetView view="pageBreakPreview" topLeftCell="A12" zoomScaleNormal="80" zoomScaleSheetLayoutView="100" workbookViewId="0">
      <selection activeCell="E44" sqref="E44"/>
    </sheetView>
  </sheetViews>
  <sheetFormatPr defaultColWidth="9.140625" defaultRowHeight="15"/>
  <cols>
    <col min="1" max="1" width="4.7109375" style="27" customWidth="1"/>
    <col min="2" max="2" width="38.42578125" style="27" customWidth="1"/>
    <col min="3" max="3" width="16" style="27" bestFit="1" customWidth="1"/>
    <col min="4" max="4" width="2.7109375" style="27" customWidth="1"/>
    <col min="5" max="5" width="12.5703125" style="27" customWidth="1"/>
    <col min="6" max="16384" width="9.140625" style="27"/>
  </cols>
  <sheetData>
    <row r="1" spans="1:9">
      <c r="A1" s="83" t="s">
        <v>17</v>
      </c>
      <c r="B1" s="84"/>
      <c r="C1" s="84"/>
      <c r="D1" s="84"/>
      <c r="E1" s="84"/>
      <c r="F1" s="75" t="s">
        <v>125</v>
      </c>
      <c r="G1" s="84"/>
      <c r="H1" s="84"/>
      <c r="I1" s="84"/>
    </row>
    <row r="2" spans="1:9">
      <c r="A2" s="83" t="s">
        <v>126</v>
      </c>
      <c r="B2" s="84"/>
      <c r="C2" s="84"/>
      <c r="D2" s="84"/>
      <c r="E2" s="84"/>
      <c r="F2" s="84"/>
      <c r="G2" s="84"/>
      <c r="H2" s="84"/>
      <c r="I2" s="84"/>
    </row>
    <row r="3" spans="1:9">
      <c r="A3" s="76"/>
      <c r="B3" s="76"/>
      <c r="C3" s="76"/>
      <c r="D3" s="76"/>
      <c r="E3" s="76"/>
      <c r="F3" s="93"/>
      <c r="G3" s="93"/>
      <c r="H3" s="93"/>
      <c r="I3" s="84"/>
    </row>
    <row r="4" spans="1:9">
      <c r="A4" s="84"/>
      <c r="B4" s="84"/>
      <c r="C4" s="84"/>
      <c r="D4" s="84"/>
      <c r="E4" s="84"/>
      <c r="F4" s="93"/>
      <c r="G4" s="93"/>
      <c r="H4" s="93"/>
      <c r="I4" s="84"/>
    </row>
    <row r="5" spans="1:9">
      <c r="A5" s="83" t="s">
        <v>127</v>
      </c>
      <c r="B5" s="84"/>
      <c r="C5" s="84"/>
      <c r="D5" s="84"/>
      <c r="E5" s="84"/>
      <c r="F5" s="93"/>
      <c r="G5" s="93"/>
      <c r="H5" s="93"/>
      <c r="I5" s="93"/>
    </row>
    <row r="6" spans="1:9">
      <c r="A6" s="84"/>
      <c r="B6" s="83"/>
      <c r="C6" s="84"/>
      <c r="D6" s="84"/>
      <c r="E6" s="84"/>
      <c r="F6" s="93"/>
      <c r="G6" s="93"/>
      <c r="H6" s="93"/>
      <c r="I6" s="93"/>
    </row>
    <row r="7" spans="1:9">
      <c r="A7" s="84"/>
      <c r="B7" s="83"/>
      <c r="C7" s="84"/>
      <c r="D7" s="84"/>
      <c r="E7" s="84"/>
      <c r="F7" s="93"/>
      <c r="G7" s="93"/>
      <c r="H7" s="93"/>
      <c r="I7" s="93"/>
    </row>
    <row r="8" spans="1:9">
      <c r="A8" s="84"/>
      <c r="B8" s="83">
        <v>2010</v>
      </c>
      <c r="C8" s="98">
        <f>-'2010'!G12</f>
        <v>29643</v>
      </c>
      <c r="D8" s="84"/>
      <c r="E8" s="84"/>
      <c r="F8" s="93"/>
      <c r="G8" s="93"/>
      <c r="H8" s="93"/>
      <c r="I8" s="93"/>
    </row>
    <row r="9" spans="1:9">
      <c r="A9" s="84"/>
      <c r="B9" s="83">
        <v>2011</v>
      </c>
      <c r="C9" s="98">
        <f>-'2011'!G12</f>
        <v>39770</v>
      </c>
      <c r="D9" s="84"/>
      <c r="E9" s="84"/>
      <c r="F9" s="93"/>
      <c r="G9" s="93"/>
      <c r="H9" s="93"/>
      <c r="I9" s="93"/>
    </row>
    <row r="10" spans="1:9">
      <c r="A10" s="84"/>
      <c r="B10" s="83">
        <v>2012</v>
      </c>
      <c r="C10" s="98">
        <f>-'2012'!G12</f>
        <v>90827</v>
      </c>
      <c r="D10" s="84"/>
      <c r="E10" s="84"/>
      <c r="F10" s="93"/>
      <c r="G10" s="93"/>
      <c r="H10" s="93"/>
      <c r="I10" s="84"/>
    </row>
    <row r="11" spans="1:9">
      <c r="A11" s="84"/>
      <c r="B11" s="83">
        <v>2013</v>
      </c>
      <c r="C11" s="98">
        <f>-'2013'!G12</f>
        <v>68191</v>
      </c>
      <c r="D11" s="84"/>
      <c r="E11" s="84"/>
      <c r="F11" s="93"/>
      <c r="G11" s="93"/>
      <c r="H11" s="93"/>
      <c r="I11" s="84"/>
    </row>
    <row r="12" spans="1:9">
      <c r="A12" s="84"/>
      <c r="B12" s="83">
        <v>2014</v>
      </c>
      <c r="C12" s="98">
        <f>-'2014'!G12</f>
        <v>52186</v>
      </c>
      <c r="D12" s="84"/>
      <c r="E12" s="84"/>
      <c r="F12" s="93"/>
      <c r="G12" s="93"/>
      <c r="H12" s="93"/>
      <c r="I12" s="84"/>
    </row>
    <row r="13" spans="1:9">
      <c r="A13" s="84"/>
      <c r="B13" s="83">
        <v>2015</v>
      </c>
      <c r="C13" s="98">
        <f>-'2015'!G12</f>
        <v>43721</v>
      </c>
      <c r="D13" s="84"/>
      <c r="E13" s="84"/>
      <c r="F13" s="93"/>
      <c r="G13" s="93"/>
      <c r="H13" s="93"/>
      <c r="I13" s="84"/>
    </row>
    <row r="14" spans="1:9">
      <c r="A14" s="84"/>
      <c r="B14" s="83">
        <v>2016</v>
      </c>
      <c r="C14" s="98">
        <f>-'2016'!G12</f>
        <v>85321</v>
      </c>
      <c r="D14" s="84"/>
      <c r="E14" s="84"/>
      <c r="F14" s="93"/>
      <c r="G14" s="93"/>
      <c r="H14" s="93"/>
      <c r="I14" s="84"/>
    </row>
    <row r="15" spans="1:9">
      <c r="A15" s="84"/>
      <c r="B15" s="83">
        <v>2017</v>
      </c>
      <c r="C15" s="98">
        <f>-'2017'!G12</f>
        <v>66719</v>
      </c>
      <c r="D15" s="84"/>
      <c r="E15" s="84"/>
      <c r="F15" s="93"/>
      <c r="G15" s="93"/>
      <c r="H15" s="93"/>
      <c r="I15" s="84"/>
    </row>
    <row r="16" spans="1:9">
      <c r="A16" s="84"/>
      <c r="B16" s="83">
        <v>2018</v>
      </c>
      <c r="C16" s="98">
        <f>-'2018'!G12</f>
        <v>102588</v>
      </c>
      <c r="D16" s="84"/>
      <c r="E16" s="84"/>
      <c r="F16" s="93"/>
      <c r="G16" s="93"/>
      <c r="H16" s="93"/>
      <c r="I16" s="84"/>
    </row>
    <row r="17" spans="1:9">
      <c r="A17" s="84"/>
      <c r="B17" s="83">
        <v>2019</v>
      </c>
      <c r="C17" s="98">
        <f>-'2019'!G12</f>
        <v>179629</v>
      </c>
      <c r="D17" s="84"/>
      <c r="E17" s="84"/>
      <c r="F17" s="93"/>
      <c r="G17" s="93"/>
      <c r="H17" s="93"/>
      <c r="I17" s="84"/>
    </row>
    <row r="18" spans="1:9">
      <c r="A18" s="84"/>
      <c r="B18" s="83">
        <v>2020</v>
      </c>
      <c r="C18" s="98">
        <f>-'2020'!G12</f>
        <v>178669</v>
      </c>
      <c r="D18" s="84"/>
      <c r="E18" s="84"/>
      <c r="F18" s="93"/>
      <c r="G18" s="93"/>
      <c r="H18" s="93"/>
      <c r="I18" s="84"/>
    </row>
    <row r="19" spans="1:9">
      <c r="A19" s="84"/>
      <c r="B19" s="83">
        <v>2021</v>
      </c>
      <c r="C19" s="98">
        <f>-'2021'!G12</f>
        <v>187522</v>
      </c>
      <c r="D19" s="84"/>
      <c r="E19" s="84"/>
      <c r="F19" s="93"/>
      <c r="G19" s="93"/>
      <c r="H19" s="93"/>
      <c r="I19" s="84"/>
    </row>
    <row r="20" spans="1:9" s="84" customFormat="1">
      <c r="B20" s="83">
        <v>2022</v>
      </c>
      <c r="C20" s="98">
        <f>-'2022'!G12</f>
        <v>91851</v>
      </c>
      <c r="F20" s="93"/>
      <c r="G20" s="93"/>
      <c r="H20" s="93"/>
    </row>
    <row r="21" spans="1:9">
      <c r="A21" s="84"/>
      <c r="B21" s="83"/>
      <c r="C21" s="77">
        <f>SUM(C8:C20)</f>
        <v>1216637</v>
      </c>
      <c r="D21" s="84"/>
      <c r="E21" s="84"/>
      <c r="F21" s="93"/>
      <c r="G21" s="93"/>
      <c r="H21" s="93"/>
      <c r="I21" s="84"/>
    </row>
    <row r="22" spans="1:9">
      <c r="A22" s="76"/>
      <c r="B22" s="76"/>
      <c r="C22" s="76"/>
      <c r="D22" s="76"/>
      <c r="E22" s="76"/>
      <c r="F22" s="93"/>
      <c r="G22" s="93"/>
      <c r="H22" s="93"/>
      <c r="I22" s="84"/>
    </row>
    <row r="23" spans="1:9">
      <c r="A23" s="84"/>
      <c r="B23" s="84"/>
      <c r="C23" s="84"/>
      <c r="D23" s="84"/>
      <c r="E23" s="84"/>
      <c r="F23" s="93"/>
      <c r="G23" s="93"/>
      <c r="H23" s="93"/>
      <c r="I23" s="84"/>
    </row>
    <row r="24" spans="1:9">
      <c r="A24" s="83" t="s">
        <v>128</v>
      </c>
      <c r="B24" s="84"/>
      <c r="C24" s="84"/>
      <c r="D24" s="84"/>
      <c r="E24" s="84"/>
      <c r="F24" s="93"/>
      <c r="G24" s="93"/>
      <c r="H24" s="93"/>
      <c r="I24" s="84"/>
    </row>
    <row r="25" spans="1:9">
      <c r="A25" s="84"/>
      <c r="B25" s="84"/>
      <c r="C25" s="84"/>
      <c r="D25" s="84"/>
      <c r="E25" s="93"/>
      <c r="F25" s="93"/>
      <c r="G25" s="93"/>
      <c r="H25" s="93"/>
      <c r="I25" s="84"/>
    </row>
    <row r="26" spans="1:9">
      <c r="A26" s="84"/>
      <c r="B26" s="126" t="s">
        <v>129</v>
      </c>
      <c r="C26" s="84"/>
      <c r="D26" s="84"/>
      <c r="E26" s="93"/>
      <c r="F26" s="93"/>
      <c r="G26" s="93"/>
      <c r="H26" s="93"/>
      <c r="I26" s="93"/>
    </row>
    <row r="27" spans="1:9" ht="15" customHeight="1">
      <c r="A27" s="75"/>
      <c r="B27" s="126"/>
      <c r="C27" s="98">
        <v>76450</v>
      </c>
      <c r="D27" s="86"/>
      <c r="E27" s="98"/>
      <c r="F27" s="93"/>
      <c r="G27" s="93"/>
      <c r="H27" s="93"/>
      <c r="I27" s="93"/>
    </row>
    <row r="28" spans="1:9">
      <c r="A28" s="93"/>
      <c r="B28" s="93"/>
      <c r="C28" s="98"/>
      <c r="D28" s="98"/>
      <c r="E28" s="98"/>
      <c r="F28" s="93"/>
      <c r="G28" s="93"/>
      <c r="H28" s="93"/>
      <c r="I28" s="93"/>
    </row>
    <row r="29" spans="1:9">
      <c r="A29" s="93"/>
      <c r="B29" s="93" t="s">
        <v>130</v>
      </c>
      <c r="C29" s="88">
        <v>85990.16</v>
      </c>
      <c r="D29" s="98"/>
      <c r="E29" s="98"/>
      <c r="F29" s="93"/>
      <c r="G29" s="93"/>
      <c r="H29" s="93"/>
      <c r="I29" s="84"/>
    </row>
    <row r="30" spans="1:9">
      <c r="A30" s="93"/>
      <c r="B30" s="93"/>
      <c r="C30" s="98"/>
      <c r="D30" s="98"/>
      <c r="E30" s="98"/>
      <c r="F30" s="93"/>
      <c r="G30" s="93"/>
      <c r="H30" s="93"/>
      <c r="I30" s="84"/>
    </row>
    <row r="31" spans="1:9">
      <c r="A31" s="93"/>
      <c r="B31" s="93" t="s">
        <v>131</v>
      </c>
      <c r="C31" s="98">
        <f>IF(C27&gt;C29,C29-C27,0)</f>
        <v>0</v>
      </c>
      <c r="D31" s="98"/>
      <c r="E31" s="98"/>
      <c r="F31" s="93"/>
      <c r="G31" s="93"/>
      <c r="H31" s="93"/>
      <c r="I31" s="84"/>
    </row>
    <row r="32" spans="1:9">
      <c r="A32" s="76"/>
      <c r="B32" s="76"/>
      <c r="C32" s="78"/>
      <c r="D32" s="78"/>
      <c r="E32" s="78"/>
      <c r="F32" s="84"/>
      <c r="G32" s="84"/>
      <c r="H32" s="84"/>
      <c r="I32" s="84"/>
    </row>
    <row r="33" spans="1:5">
      <c r="A33" s="93"/>
      <c r="B33" s="93"/>
      <c r="C33" s="98"/>
      <c r="D33" s="98"/>
      <c r="E33" s="98"/>
    </row>
    <row r="34" spans="1:5">
      <c r="A34" s="83" t="s">
        <v>132</v>
      </c>
      <c r="B34" s="84"/>
      <c r="C34" s="86"/>
      <c r="D34" s="86"/>
      <c r="E34" s="86"/>
    </row>
    <row r="35" spans="1:5">
      <c r="A35" s="47" t="s">
        <v>73</v>
      </c>
      <c r="B35" s="79" t="s">
        <v>133</v>
      </c>
      <c r="C35" s="83"/>
      <c r="D35" s="83"/>
      <c r="E35" s="84"/>
    </row>
    <row r="36" spans="1:5">
      <c r="A36" s="84"/>
      <c r="B36" s="28" t="s">
        <v>134</v>
      </c>
      <c r="C36" s="87">
        <v>163016804</v>
      </c>
      <c r="D36" s="84"/>
      <c r="E36" s="84"/>
    </row>
    <row r="38" spans="1:5">
      <c r="A38" s="84"/>
      <c r="B38" s="84" t="s">
        <v>135</v>
      </c>
      <c r="C38" s="87">
        <v>3166308</v>
      </c>
      <c r="D38" s="84"/>
      <c r="E38" s="84"/>
    </row>
    <row r="40" spans="1:5">
      <c r="A40" s="84"/>
      <c r="B40" s="84" t="s">
        <v>136</v>
      </c>
      <c r="C40" s="80">
        <f>C38/C36</f>
        <v>1.9423200076968752E-2</v>
      </c>
      <c r="D40" s="84"/>
      <c r="E40" s="84"/>
    </row>
    <row r="42" spans="1:5">
      <c r="A42" s="93"/>
      <c r="B42" s="93" t="s">
        <v>137</v>
      </c>
      <c r="C42" s="88">
        <f>SUM('PSC 3-3(b)'!D8:P10)</f>
        <v>42276961</v>
      </c>
      <c r="D42" s="93"/>
      <c r="E42" s="93"/>
    </row>
    <row r="43" spans="1:5">
      <c r="A43" s="93"/>
      <c r="B43" s="93"/>
      <c r="C43" s="93"/>
      <c r="D43" s="93"/>
      <c r="E43" s="93"/>
    </row>
    <row r="44" spans="1:5">
      <c r="A44" s="93"/>
      <c r="B44" s="93" t="s">
        <v>138</v>
      </c>
      <c r="C44" s="37">
        <f>C40*C42</f>
        <v>821153.87214920495</v>
      </c>
      <c r="D44" s="93"/>
      <c r="E44" s="93"/>
    </row>
    <row r="45" spans="1:5">
      <c r="A45" s="76"/>
      <c r="B45" s="76"/>
      <c r="C45" s="76"/>
      <c r="D45" s="76"/>
      <c r="E45" s="76"/>
    </row>
    <row r="47" spans="1:5">
      <c r="A47" s="83" t="s">
        <v>139</v>
      </c>
      <c r="B47" s="83"/>
      <c r="C47" s="38">
        <f>C44+C31+C21</f>
        <v>2037790.8721492048</v>
      </c>
      <c r="D47" s="84"/>
      <c r="E47" s="84"/>
    </row>
    <row r="49" spans="1:2">
      <c r="A49" s="47" t="s">
        <v>73</v>
      </c>
      <c r="B49" s="81" t="s">
        <v>140</v>
      </c>
    </row>
  </sheetData>
  <mergeCells count="1">
    <mergeCell ref="B26:B27"/>
  </mergeCells>
  <pageMargins left="0.25" right="0.25" top="0.75" bottom="0.75" header="0.3" footer="0.3"/>
  <pageSetup scale="70" orientation="landscape" r:id="rId1"/>
  <headerFooter>
    <oddHeader>&amp;RResponse to PSC 3-3
Page &amp;P of &amp;N
Witnesses: John Brown and
William Steven Seelye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21"/>
  <sheetViews>
    <sheetView view="pageBreakPreview" zoomScaleNormal="100" zoomScaleSheetLayoutView="100" workbookViewId="0">
      <selection activeCell="E44" sqref="E44"/>
    </sheetView>
  </sheetViews>
  <sheetFormatPr defaultRowHeight="15"/>
  <cols>
    <col min="22" max="22" width="9.140625" style="70"/>
  </cols>
  <sheetData>
    <row r="1" spans="1:23">
      <c r="A1" s="70"/>
      <c r="B1" s="70">
        <v>1</v>
      </c>
      <c r="C1" s="70">
        <v>2</v>
      </c>
      <c r="D1" s="70">
        <v>3</v>
      </c>
      <c r="E1" s="70">
        <v>4</v>
      </c>
      <c r="F1" s="70">
        <v>5</v>
      </c>
      <c r="G1" s="70">
        <v>6</v>
      </c>
      <c r="H1" s="70">
        <v>7</v>
      </c>
      <c r="I1" s="70">
        <v>8</v>
      </c>
      <c r="J1" s="70">
        <v>9</v>
      </c>
      <c r="K1" s="70">
        <v>10</v>
      </c>
      <c r="L1" s="70">
        <v>11</v>
      </c>
      <c r="M1" s="70">
        <v>12</v>
      </c>
      <c r="N1" s="70">
        <v>13</v>
      </c>
      <c r="O1" s="70">
        <v>14</v>
      </c>
      <c r="P1" s="70">
        <v>15</v>
      </c>
      <c r="Q1" s="70">
        <v>16</v>
      </c>
      <c r="R1" s="70">
        <v>17</v>
      </c>
      <c r="S1" s="70">
        <v>18</v>
      </c>
      <c r="T1" s="70">
        <v>19</v>
      </c>
      <c r="U1" s="70">
        <v>20</v>
      </c>
      <c r="V1" s="70">
        <v>21</v>
      </c>
      <c r="W1" s="70"/>
    </row>
    <row r="2" spans="1:23">
      <c r="A2" s="70">
        <v>7</v>
      </c>
      <c r="B2" s="1">
        <v>0.14285999999999999</v>
      </c>
      <c r="C2" s="1">
        <v>0.24490000000000001</v>
      </c>
      <c r="D2" s="1">
        <v>0.17491999999999999</v>
      </c>
      <c r="E2" s="1">
        <v>0.12495000000000001</v>
      </c>
      <c r="F2" s="1">
        <v>8.9249999999999996E-2</v>
      </c>
      <c r="G2" s="1">
        <v>8.9249999999999996E-2</v>
      </c>
      <c r="H2" s="1">
        <v>8.9249999999999996E-2</v>
      </c>
      <c r="I2" s="1">
        <v>4.462E-2</v>
      </c>
      <c r="J2" s="1"/>
      <c r="K2" s="1"/>
      <c r="L2" s="70"/>
      <c r="M2" s="70"/>
      <c r="N2" s="70"/>
      <c r="O2" s="70"/>
      <c r="P2" s="70"/>
      <c r="Q2" s="70"/>
      <c r="R2" s="70"/>
      <c r="S2" s="70"/>
      <c r="T2" s="70"/>
      <c r="U2" s="70"/>
      <c r="W2" s="82">
        <f>SUM(B2:V2)</f>
        <v>1.0000000000000002</v>
      </c>
    </row>
    <row r="3" spans="1:23">
      <c r="A3" s="70">
        <v>15</v>
      </c>
      <c r="B3" s="1">
        <v>0.05</v>
      </c>
      <c r="C3" s="1">
        <v>9.5000000000000001E-2</v>
      </c>
      <c r="D3" s="1">
        <v>8.5500000000000007E-2</v>
      </c>
      <c r="E3" s="1">
        <v>7.6950000000000005E-2</v>
      </c>
      <c r="F3" s="1">
        <v>6.9250000000000006E-2</v>
      </c>
      <c r="G3" s="1">
        <v>6.2330000000000003E-2</v>
      </c>
      <c r="H3" s="1">
        <v>5.9049999999999998E-2</v>
      </c>
      <c r="I3" s="1">
        <v>5.9049999999999998E-2</v>
      </c>
      <c r="J3" s="1">
        <v>5.9049999999999998E-2</v>
      </c>
      <c r="K3" s="1">
        <v>5.9049999999999998E-2</v>
      </c>
      <c r="L3" s="1">
        <v>5.9049999999999998E-2</v>
      </c>
      <c r="M3" s="1">
        <v>5.9049999999999998E-2</v>
      </c>
      <c r="N3" s="1">
        <v>5.9049999999999998E-2</v>
      </c>
      <c r="O3" s="1">
        <v>5.9049999999999998E-2</v>
      </c>
      <c r="P3" s="1">
        <v>5.9049999999999998E-2</v>
      </c>
      <c r="Q3" s="1">
        <v>2.9520000000000001E-2</v>
      </c>
      <c r="R3" s="70"/>
      <c r="S3" s="70"/>
      <c r="T3" s="70"/>
      <c r="U3" s="70"/>
      <c r="W3" s="82">
        <f>SUM(B3:V3)</f>
        <v>1.0000000000000004</v>
      </c>
    </row>
    <row r="4" spans="1:23">
      <c r="A4" s="70">
        <v>20</v>
      </c>
      <c r="B4" s="1">
        <v>3.7499999999999999E-2</v>
      </c>
      <c r="C4" s="1">
        <v>7.2190000000000004E-2</v>
      </c>
      <c r="D4" s="1">
        <v>6.6769999999999996E-2</v>
      </c>
      <c r="E4" s="1">
        <v>6.1769999999999999E-2</v>
      </c>
      <c r="F4" s="1">
        <v>5.713E-2</v>
      </c>
      <c r="G4" s="1">
        <v>5.2850000000000001E-2</v>
      </c>
      <c r="H4" s="1">
        <v>4.888E-2</v>
      </c>
      <c r="I4" s="1">
        <v>4.5220000000000003E-2</v>
      </c>
      <c r="J4" s="1">
        <v>4.462E-2</v>
      </c>
      <c r="K4" s="1">
        <v>4.4609999999999997E-2</v>
      </c>
      <c r="L4" s="1">
        <v>4.462E-2</v>
      </c>
      <c r="M4" s="1">
        <v>4.4610000000000004E-2</v>
      </c>
      <c r="N4" s="1">
        <v>4.462E-2</v>
      </c>
      <c r="O4" s="1">
        <v>4.4610000000000004E-2</v>
      </c>
      <c r="P4" s="1">
        <v>4.462E-2</v>
      </c>
      <c r="Q4" s="1">
        <v>4.4610000000000004E-2</v>
      </c>
      <c r="R4" s="1">
        <v>4.462E-2</v>
      </c>
      <c r="S4" s="1">
        <v>4.4610000000000004E-2</v>
      </c>
      <c r="T4" s="1">
        <v>4.462E-2</v>
      </c>
      <c r="U4" s="1">
        <v>4.4610000000000004E-2</v>
      </c>
      <c r="V4" s="1">
        <v>2.231E-2</v>
      </c>
      <c r="W4" s="82">
        <f>SUM(B4:V4)</f>
        <v>1.0000000000000002</v>
      </c>
    </row>
    <row r="5" spans="1:23">
      <c r="A5" s="70"/>
      <c r="B5" s="70"/>
      <c r="C5" s="70"/>
      <c r="D5" s="70"/>
      <c r="E5" s="70"/>
      <c r="F5" s="70"/>
      <c r="G5" s="70"/>
      <c r="H5" s="70"/>
      <c r="I5" s="70"/>
      <c r="J5" s="70"/>
      <c r="K5" s="1"/>
      <c r="L5" s="70"/>
      <c r="M5" s="70"/>
      <c r="N5" s="70"/>
      <c r="O5" s="70"/>
      <c r="P5" s="70"/>
      <c r="Q5" s="70"/>
      <c r="R5" s="70"/>
      <c r="S5" s="70"/>
      <c r="T5" s="70"/>
      <c r="U5" s="70"/>
      <c r="W5" s="70"/>
    </row>
    <row r="21" spans="4:4">
      <c r="D21" s="25"/>
    </row>
  </sheetData>
  <pageMargins left="0.25" right="0.25" top="0.75" bottom="0.75" header="0.3" footer="0.3"/>
  <pageSetup scale="63" orientation="landscape" r:id="rId1"/>
  <headerFooter>
    <oddHeader>&amp;RResponse to PSC 3-3
Page &amp;P of &amp;N
Witnesses: John Brown and
William Steven Seelye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topLeftCell="B1" zoomScale="90" zoomScaleNormal="90" workbookViewId="0">
      <selection activeCell="O10" sqref="O10"/>
    </sheetView>
  </sheetViews>
  <sheetFormatPr defaultColWidth="9.140625" defaultRowHeight="15"/>
  <cols>
    <col min="1" max="1" width="9.140625" style="27"/>
    <col min="2" max="2" width="33.7109375" style="27" customWidth="1"/>
    <col min="3" max="3" width="22.140625" style="27" customWidth="1"/>
    <col min="4" max="5" width="12.7109375" style="27" customWidth="1"/>
    <col min="6" max="6" width="18.85546875" style="27" customWidth="1"/>
    <col min="7" max="15" width="12.85546875" style="27" customWidth="1"/>
    <col min="16" max="16" width="12.85546875" style="84" customWidth="1"/>
    <col min="17" max="17" width="14.5703125" style="27" customWidth="1"/>
    <col min="18" max="18" width="22.140625" style="27" bestFit="1" customWidth="1"/>
    <col min="19" max="19" width="12.7109375" style="27" customWidth="1"/>
    <col min="20" max="20" width="13.7109375" style="27" bestFit="1" customWidth="1"/>
    <col min="21" max="16384" width="9.140625" style="27"/>
  </cols>
  <sheetData>
    <row r="1" spans="1:17">
      <c r="A1" s="83" t="s">
        <v>17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Q1" s="84"/>
    </row>
    <row r="2" spans="1:17">
      <c r="A2" s="83" t="s">
        <v>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Q2" s="84"/>
    </row>
    <row r="3" spans="1:17">
      <c r="A3" s="83" t="s">
        <v>19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Q3" s="84"/>
    </row>
    <row r="4" spans="1:17">
      <c r="A4" s="83" t="s">
        <v>20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Q4" s="84"/>
    </row>
    <row r="7" spans="1:17">
      <c r="A7" s="84"/>
      <c r="B7" s="84"/>
      <c r="C7" s="84"/>
      <c r="D7" s="85" t="s">
        <v>21</v>
      </c>
      <c r="E7" s="85" t="s">
        <v>22</v>
      </c>
      <c r="F7" s="85" t="s">
        <v>23</v>
      </c>
      <c r="G7" s="85" t="s">
        <v>24</v>
      </c>
      <c r="H7" s="85" t="s">
        <v>25</v>
      </c>
      <c r="I7" s="85" t="s">
        <v>26</v>
      </c>
      <c r="J7" s="85" t="s">
        <v>27</v>
      </c>
      <c r="K7" s="85" t="s">
        <v>28</v>
      </c>
      <c r="L7" s="85" t="s">
        <v>29</v>
      </c>
      <c r="M7" s="85" t="s">
        <v>30</v>
      </c>
      <c r="N7" s="85" t="s">
        <v>31</v>
      </c>
      <c r="O7" s="85" t="s">
        <v>32</v>
      </c>
      <c r="P7" s="85" t="s">
        <v>33</v>
      </c>
      <c r="Q7" s="85" t="s">
        <v>34</v>
      </c>
    </row>
    <row r="8" spans="1:17">
      <c r="A8" s="84">
        <v>1</v>
      </c>
      <c r="B8" s="84" t="s">
        <v>35</v>
      </c>
      <c r="C8" s="84"/>
      <c r="D8" s="86">
        <f>'2010'!C12</f>
        <v>1574788</v>
      </c>
      <c r="E8" s="86">
        <f>'2011'!C12</f>
        <v>1730104</v>
      </c>
      <c r="F8" s="86">
        <f>'2012'!C12</f>
        <v>3796271</v>
      </c>
      <c r="G8" s="86">
        <f>'2013'!C12</f>
        <v>2961542</v>
      </c>
      <c r="H8" s="86">
        <f>'2014'!C12</f>
        <v>1843366</v>
      </c>
      <c r="I8" s="86">
        <f>'2015'!C12</f>
        <v>1758827</v>
      </c>
      <c r="J8" s="86">
        <f>'2016'!C12</f>
        <v>3190348</v>
      </c>
      <c r="K8" s="86">
        <f>'2017'!C12</f>
        <v>2479950</v>
      </c>
      <c r="L8" s="86">
        <f>'2018'!C12</f>
        <v>3889747</v>
      </c>
      <c r="M8" s="86">
        <f>'2019'!C12</f>
        <v>6201678</v>
      </c>
      <c r="N8" s="86">
        <f>'2020'!C12</f>
        <v>5998720</v>
      </c>
      <c r="O8" s="86">
        <f>'2021'!C12</f>
        <v>6319386</v>
      </c>
      <c r="P8" s="86">
        <f>'2022'!C12</f>
        <v>6564808</v>
      </c>
      <c r="Q8" s="86"/>
    </row>
    <row r="9" spans="1:17">
      <c r="A9" s="84">
        <v>2</v>
      </c>
      <c r="B9" s="84" t="s">
        <v>36</v>
      </c>
      <c r="C9" s="84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4"/>
    </row>
    <row r="10" spans="1:17">
      <c r="A10" s="84">
        <v>3</v>
      </c>
      <c r="B10" s="28" t="s">
        <v>37</v>
      </c>
      <c r="C10" s="84"/>
      <c r="D10" s="87">
        <f>ROUND('2010'!H12,0)</f>
        <v>-370537</v>
      </c>
      <c r="E10" s="87">
        <f>ROUND('2011'!H12,0)</f>
        <v>-457355</v>
      </c>
      <c r="F10" s="87">
        <f>ROUND('2012'!H12,0)</f>
        <v>-953683</v>
      </c>
      <c r="G10" s="87">
        <f>ROUND('2013'!H12,0)</f>
        <v>-647815</v>
      </c>
      <c r="H10" s="87">
        <f>ROUND('2014'!H12,0)</f>
        <v>-443581</v>
      </c>
      <c r="I10" s="87">
        <f>ROUND('2015'!H12,0)</f>
        <v>-327907</v>
      </c>
      <c r="J10" s="87">
        <f>ROUND('2016'!H12,0)</f>
        <v>-554585</v>
      </c>
      <c r="K10" s="87">
        <f>ROUND('2017'!H12,0)</f>
        <v>-366957</v>
      </c>
      <c r="L10" s="87">
        <f>ROUND('2018'!H12,0)</f>
        <v>-461646</v>
      </c>
      <c r="M10" s="87">
        <f>ROUND('2019'!H12,0)</f>
        <v>-628701</v>
      </c>
      <c r="N10" s="87">
        <f>ROUND('2020'!H12,0)</f>
        <v>-446673</v>
      </c>
      <c r="O10" s="87">
        <f>ROUND('2021'!H12,0)</f>
        <v>-281283</v>
      </c>
      <c r="P10" s="87">
        <f>ROUND('2022'!H12,0)</f>
        <v>-91851</v>
      </c>
      <c r="Q10" s="84"/>
    </row>
    <row r="11" spans="1:17">
      <c r="A11" s="84">
        <v>4</v>
      </c>
      <c r="B11" s="28" t="s">
        <v>38</v>
      </c>
      <c r="C11" s="84"/>
      <c r="D11" s="88">
        <f>ROUND('2010'!H37,0)</f>
        <v>-449525</v>
      </c>
      <c r="E11" s="88">
        <f>ROUND('2011'!H37,0)</f>
        <v>-483136</v>
      </c>
      <c r="F11" s="88">
        <f>ROUND('2012'!H37,0)</f>
        <v>-1069833</v>
      </c>
      <c r="G11" s="88">
        <f>ROUND('2013'!H37,0)</f>
        <v>-878291</v>
      </c>
      <c r="H11" s="88">
        <f>ROUND('2014'!H37,0)</f>
        <v>-531322</v>
      </c>
      <c r="I11" s="88">
        <f>ROUND('2015'!H37,0)</f>
        <v>-529517</v>
      </c>
      <c r="J11" s="88">
        <f>ROUND('2016'!H37,0)</f>
        <v>-974295</v>
      </c>
      <c r="K11" s="88">
        <f>ROUND('2017'!H37,0)</f>
        <v>-789450</v>
      </c>
      <c r="L11" s="88">
        <f>ROUND('2018'!H37,0)</f>
        <v>-745794</v>
      </c>
      <c r="M11" s="88">
        <f>ROUND('2019'!H37,0)</f>
        <v>-1328494</v>
      </c>
      <c r="N11" s="88">
        <f>ROUND('2020'!H37,0)</f>
        <v>-1122403</v>
      </c>
      <c r="O11" s="88">
        <f>ROUND('2021'!H37,0)</f>
        <v>-1183471</v>
      </c>
      <c r="P11" s="88">
        <f>ROUND('2022'!H37,0)</f>
        <v>-963631</v>
      </c>
      <c r="Q11" s="84"/>
    </row>
    <row r="12" spans="1:17">
      <c r="A12" s="84">
        <v>5</v>
      </c>
      <c r="B12" s="84" t="s">
        <v>39</v>
      </c>
      <c r="C12" s="84"/>
      <c r="D12" s="87">
        <f>SUM(D8:D11)</f>
        <v>754726</v>
      </c>
      <c r="E12" s="87">
        <f t="shared" ref="E12:K12" si="0">SUM(E8:E11)</f>
        <v>789613</v>
      </c>
      <c r="F12" s="87">
        <f t="shared" si="0"/>
        <v>1772755</v>
      </c>
      <c r="G12" s="87">
        <f t="shared" si="0"/>
        <v>1435436</v>
      </c>
      <c r="H12" s="87">
        <f t="shared" si="0"/>
        <v>868463</v>
      </c>
      <c r="I12" s="87">
        <f t="shared" si="0"/>
        <v>901403</v>
      </c>
      <c r="J12" s="87">
        <f t="shared" si="0"/>
        <v>1661468</v>
      </c>
      <c r="K12" s="87">
        <f t="shared" si="0"/>
        <v>1323543</v>
      </c>
      <c r="L12" s="87">
        <f t="shared" ref="L12" si="1">SUM(L8:L11)</f>
        <v>2682307</v>
      </c>
      <c r="M12" s="87">
        <f>SUM(M8:M11)</f>
        <v>4244483</v>
      </c>
      <c r="N12" s="87">
        <f>SUM(N8:N11)</f>
        <v>4429644</v>
      </c>
      <c r="O12" s="87">
        <f>SUM(O8:O11)</f>
        <v>4854632</v>
      </c>
      <c r="P12" s="87">
        <f>SUM(P8:P11)</f>
        <v>5509326</v>
      </c>
      <c r="Q12" s="86">
        <f>D12+E12+F12+G12+H12+I12+J12+K12+L12+M12+N12+O12+P12</f>
        <v>31227799</v>
      </c>
    </row>
    <row r="13" spans="1:17">
      <c r="A13" s="84"/>
      <c r="B13" s="84"/>
      <c r="C13" s="84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4"/>
    </row>
    <row r="14" spans="1:17">
      <c r="A14" s="84">
        <v>6</v>
      </c>
      <c r="B14" s="84" t="s">
        <v>40</v>
      </c>
      <c r="C14" s="84"/>
      <c r="D14" s="89">
        <v>7.6497700000000002E-2</v>
      </c>
      <c r="E14" s="89">
        <v>7.6497700000000002E-2</v>
      </c>
      <c r="F14" s="89">
        <v>7.6497700000000002E-2</v>
      </c>
      <c r="G14" s="89">
        <v>7.6497700000000002E-2</v>
      </c>
      <c r="H14" s="89">
        <v>7.6497700000000002E-2</v>
      </c>
      <c r="I14" s="89">
        <v>7.6497700000000002E-2</v>
      </c>
      <c r="J14" s="89">
        <v>7.6497700000000002E-2</v>
      </c>
      <c r="K14" s="89">
        <v>7.6497700000000002E-2</v>
      </c>
      <c r="L14" s="89">
        <v>7.6497700000000002E-2</v>
      </c>
      <c r="M14" s="89">
        <v>7.6497700000000002E-2</v>
      </c>
      <c r="N14" s="89">
        <v>7.6497700000000002E-2</v>
      </c>
      <c r="O14" s="89">
        <v>7.6497700000000002E-2</v>
      </c>
      <c r="P14" s="89">
        <v>7.6497700000000002E-2</v>
      </c>
      <c r="Q14" s="84"/>
    </row>
    <row r="15" spans="1:17">
      <c r="A15" s="84">
        <v>7</v>
      </c>
      <c r="B15" s="84" t="s">
        <v>41</v>
      </c>
      <c r="C15" s="84"/>
      <c r="D15" s="87">
        <f t="shared" ref="D15:K15" si="2">ROUND(D12*D14,0)</f>
        <v>57735</v>
      </c>
      <c r="E15" s="87">
        <f t="shared" si="2"/>
        <v>60404</v>
      </c>
      <c r="F15" s="87">
        <f t="shared" si="2"/>
        <v>135612</v>
      </c>
      <c r="G15" s="87">
        <f t="shared" si="2"/>
        <v>109808</v>
      </c>
      <c r="H15" s="87">
        <f t="shared" si="2"/>
        <v>66435</v>
      </c>
      <c r="I15" s="87">
        <f t="shared" si="2"/>
        <v>68955</v>
      </c>
      <c r="J15" s="87">
        <f t="shared" si="2"/>
        <v>127098</v>
      </c>
      <c r="K15" s="87">
        <f t="shared" si="2"/>
        <v>101248</v>
      </c>
      <c r="L15" s="87">
        <f t="shared" ref="L15:M15" si="3">ROUND(L12*L14,0)</f>
        <v>205190</v>
      </c>
      <c r="M15" s="87">
        <f t="shared" si="3"/>
        <v>324693</v>
      </c>
      <c r="N15" s="87">
        <f>ROUND(N12*N14,0)</f>
        <v>338858</v>
      </c>
      <c r="O15" s="87">
        <f>ROUND(O12*O14,0)</f>
        <v>371368</v>
      </c>
      <c r="P15" s="87">
        <f>ROUND(P12*P14,0)</f>
        <v>421451</v>
      </c>
      <c r="Q15" s="52">
        <f>SUM(D15:P15)</f>
        <v>2388855</v>
      </c>
    </row>
    <row r="16" spans="1:17">
      <c r="A16" s="84">
        <v>8</v>
      </c>
      <c r="B16" s="84" t="s">
        <v>42</v>
      </c>
      <c r="C16" s="84"/>
      <c r="D16" s="90">
        <v>1.3324499999999999</v>
      </c>
      <c r="E16" s="90">
        <v>1.3324499999999999</v>
      </c>
      <c r="F16" s="90">
        <v>1.3324499999999999</v>
      </c>
      <c r="G16" s="90">
        <v>1.3324499999999999</v>
      </c>
      <c r="H16" s="90">
        <v>1.3324499999999999</v>
      </c>
      <c r="I16" s="90">
        <v>1.3324499999999999</v>
      </c>
      <c r="J16" s="90">
        <v>1.3324499999999999</v>
      </c>
      <c r="K16" s="90">
        <v>1.3324499999999999</v>
      </c>
      <c r="L16" s="90">
        <v>1.3324499999999999</v>
      </c>
      <c r="M16" s="90">
        <v>1.3324499999999999</v>
      </c>
      <c r="N16" s="90">
        <v>1.3324499999999999</v>
      </c>
      <c r="O16" s="90">
        <v>1.3324499999999999</v>
      </c>
      <c r="P16" s="90">
        <v>1.3324499999999999</v>
      </c>
      <c r="Q16" s="52">
        <f>Q17-Q15</f>
        <v>794173</v>
      </c>
    </row>
    <row r="17" spans="1:18">
      <c r="A17" s="84">
        <v>9</v>
      </c>
      <c r="B17" s="84" t="s">
        <v>43</v>
      </c>
      <c r="C17" s="84"/>
      <c r="D17" s="86">
        <f>ROUND(D15*D16,0)</f>
        <v>76929</v>
      </c>
      <c r="E17" s="86">
        <f t="shared" ref="E17:J17" si="4">ROUND(E15*E16,0)</f>
        <v>80485</v>
      </c>
      <c r="F17" s="86">
        <f t="shared" si="4"/>
        <v>180696</v>
      </c>
      <c r="G17" s="86">
        <f t="shared" si="4"/>
        <v>146314</v>
      </c>
      <c r="H17" s="86">
        <f t="shared" si="4"/>
        <v>88521</v>
      </c>
      <c r="I17" s="86">
        <f t="shared" si="4"/>
        <v>91879</v>
      </c>
      <c r="J17" s="86">
        <f t="shared" si="4"/>
        <v>169352</v>
      </c>
      <c r="K17" s="86">
        <f t="shared" ref="K17:L17" si="5">ROUND(K15*K16,0)</f>
        <v>134908</v>
      </c>
      <c r="L17" s="86">
        <f t="shared" si="5"/>
        <v>273405</v>
      </c>
      <c r="M17" s="86">
        <f>ROUND(M15*M16,0)</f>
        <v>432637</v>
      </c>
      <c r="N17" s="86">
        <f>ROUND(N15*N16,0)</f>
        <v>451511</v>
      </c>
      <c r="O17" s="86">
        <f>ROUND(O15*O16,0)</f>
        <v>494829</v>
      </c>
      <c r="P17" s="86">
        <f>ROUND(P15*P16,0)</f>
        <v>561562</v>
      </c>
      <c r="Q17" s="86">
        <f>D17+E17+F17+G17+H17+I17+J17+K17+L17+M17+N17+O17+P17</f>
        <v>3183028</v>
      </c>
      <c r="R17" s="84"/>
    </row>
    <row r="18" spans="1:18">
      <c r="A18" s="84">
        <v>10</v>
      </c>
      <c r="B18" s="84" t="s">
        <v>44</v>
      </c>
      <c r="C18" s="84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29">
        <f>'Schedule III'!C47</f>
        <v>2037790.8721492048</v>
      </c>
      <c r="R18" s="84"/>
    </row>
    <row r="19" spans="1:18">
      <c r="A19" s="84">
        <v>12</v>
      </c>
      <c r="B19" s="84" t="s">
        <v>45</v>
      </c>
      <c r="C19" s="84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30">
        <f>Q17+Q18</f>
        <v>5220818.8721492048</v>
      </c>
      <c r="R19" s="84"/>
    </row>
    <row r="20" spans="1:18" s="32" customFormat="1">
      <c r="A20" s="84">
        <v>13</v>
      </c>
      <c r="B20" s="84" t="s">
        <v>46</v>
      </c>
      <c r="C20" s="84"/>
      <c r="D20" s="31"/>
      <c r="E20" s="31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93"/>
    </row>
    <row r="21" spans="1:18" s="32" customFormat="1">
      <c r="A21" s="84">
        <v>14</v>
      </c>
      <c r="B21" s="28" t="s">
        <v>47</v>
      </c>
      <c r="C21" s="84"/>
      <c r="D21" s="33"/>
      <c r="E21" s="93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99">
        <v>4866675</v>
      </c>
      <c r="R21" s="93"/>
    </row>
    <row r="22" spans="1:18" s="32" customFormat="1">
      <c r="A22" s="84">
        <v>15</v>
      </c>
      <c r="B22" s="28" t="s">
        <v>48</v>
      </c>
      <c r="C22" s="84"/>
      <c r="D22" s="33"/>
      <c r="E22" s="93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99">
        <v>-4866675</v>
      </c>
      <c r="R22" s="93"/>
    </row>
    <row r="23" spans="1:18" s="32" customFormat="1">
      <c r="A23" s="84">
        <v>16</v>
      </c>
      <c r="B23" s="28" t="s">
        <v>49</v>
      </c>
      <c r="C23" s="84"/>
      <c r="D23" s="33"/>
      <c r="E23" s="93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35">
        <v>0</v>
      </c>
      <c r="R23" s="36"/>
    </row>
    <row r="24" spans="1:18" s="32" customFormat="1">
      <c r="A24" s="84">
        <v>17</v>
      </c>
      <c r="B24" s="84" t="s">
        <v>50</v>
      </c>
      <c r="C24" s="84"/>
      <c r="D24" s="37"/>
      <c r="E24" s="37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38">
        <f>SUM(Q19:Q23)</f>
        <v>5220818.8721492048</v>
      </c>
      <c r="R24" s="93"/>
    </row>
    <row r="25" spans="1:18">
      <c r="A25" s="84"/>
      <c r="B25" s="84"/>
      <c r="C25" s="84"/>
      <c r="D25" s="93"/>
      <c r="E25" s="93"/>
      <c r="F25" s="104" t="s">
        <v>51</v>
      </c>
      <c r="G25" s="84"/>
      <c r="H25" s="84"/>
      <c r="I25" s="84"/>
      <c r="J25" s="84"/>
      <c r="K25" s="84"/>
      <c r="L25" s="84"/>
      <c r="M25" s="84"/>
      <c r="N25" s="84"/>
      <c r="O25" s="84"/>
      <c r="Q25" s="93"/>
      <c r="R25" s="93"/>
    </row>
    <row r="26" spans="1:18">
      <c r="A26" s="84"/>
      <c r="B26" s="84"/>
      <c r="C26" s="84"/>
      <c r="D26" s="84"/>
      <c r="E26" s="84"/>
      <c r="F26" s="94" t="s">
        <v>52</v>
      </c>
      <c r="G26" s="84"/>
      <c r="H26" s="84"/>
      <c r="I26" s="84"/>
      <c r="J26" s="84"/>
      <c r="K26" s="84"/>
      <c r="L26" s="84"/>
      <c r="M26" s="84"/>
      <c r="N26" s="84"/>
      <c r="O26" s="84"/>
      <c r="Q26" s="93"/>
      <c r="R26" s="93"/>
    </row>
    <row r="27" spans="1:18">
      <c r="A27" s="84"/>
      <c r="B27" s="84"/>
      <c r="C27" s="94" t="s">
        <v>53</v>
      </c>
      <c r="D27" s="94"/>
      <c r="E27" s="94" t="s">
        <v>54</v>
      </c>
      <c r="F27" s="95" t="s">
        <v>55</v>
      </c>
      <c r="G27" s="94" t="s">
        <v>56</v>
      </c>
      <c r="H27" s="94"/>
      <c r="I27" s="94"/>
      <c r="J27" s="94"/>
      <c r="K27" s="94"/>
      <c r="L27" s="94"/>
      <c r="M27" s="94"/>
      <c r="N27" s="94"/>
      <c r="O27" s="94"/>
      <c r="P27" s="94"/>
      <c r="Q27" s="95"/>
      <c r="R27" s="84"/>
    </row>
    <row r="28" spans="1:18">
      <c r="A28" s="84"/>
      <c r="B28" s="84"/>
      <c r="C28" s="39" t="s">
        <v>57</v>
      </c>
      <c r="D28" s="95" t="s">
        <v>58</v>
      </c>
      <c r="E28" s="95" t="s">
        <v>59</v>
      </c>
      <c r="F28" s="94" t="s">
        <v>60</v>
      </c>
      <c r="G28" s="95" t="s">
        <v>59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84"/>
    </row>
    <row r="29" spans="1:18">
      <c r="A29" s="84"/>
      <c r="B29" s="84"/>
      <c r="C29" s="122" t="s">
        <v>61</v>
      </c>
      <c r="D29" s="122" t="s">
        <v>62</v>
      </c>
      <c r="E29" s="122" t="s">
        <v>63</v>
      </c>
      <c r="F29" s="40" t="s">
        <v>64</v>
      </c>
      <c r="G29" s="122" t="s">
        <v>65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84"/>
    </row>
    <row r="30" spans="1:18">
      <c r="A30" s="84">
        <v>18</v>
      </c>
      <c r="B30" s="28" t="s">
        <v>66</v>
      </c>
      <c r="C30" s="41">
        <v>16955239</v>
      </c>
      <c r="D30" s="42">
        <f>C30/C34</f>
        <v>0.53151264422700295</v>
      </c>
      <c r="E30" s="91">
        <f>ROUND(D30*$Q$24,0)</f>
        <v>2774931</v>
      </c>
      <c r="F30" s="34">
        <v>365580</v>
      </c>
      <c r="G30" s="96">
        <f>E30/F30</f>
        <v>7.5904890858362055</v>
      </c>
      <c r="H30" s="97"/>
      <c r="I30" s="105"/>
      <c r="J30" s="105"/>
      <c r="K30" s="86"/>
      <c r="L30" s="105"/>
      <c r="M30" s="97"/>
      <c r="N30" s="97"/>
      <c r="O30" s="97"/>
      <c r="P30" s="97"/>
      <c r="Q30" s="43"/>
      <c r="R30" s="84"/>
    </row>
    <row r="31" spans="1:18">
      <c r="A31" s="84">
        <v>19</v>
      </c>
      <c r="B31" s="28" t="s">
        <v>67</v>
      </c>
      <c r="C31" s="34">
        <v>4813864</v>
      </c>
      <c r="D31" s="42">
        <f>C31/C34</f>
        <v>0.15090495531140419</v>
      </c>
      <c r="E31" s="87">
        <f>ROUND(D31*$Q$24,0)</f>
        <v>787847</v>
      </c>
      <c r="F31" s="34">
        <v>51905</v>
      </c>
      <c r="G31" s="96">
        <f>E31/F31</f>
        <v>15.178634042963106</v>
      </c>
      <c r="H31" s="97"/>
      <c r="I31" s="105"/>
      <c r="J31" s="105"/>
      <c r="K31" s="86"/>
      <c r="L31" s="105"/>
      <c r="M31" s="97"/>
      <c r="N31" s="97"/>
      <c r="O31" s="97"/>
      <c r="P31" s="97"/>
      <c r="Q31" s="43"/>
      <c r="R31" s="84"/>
    </row>
    <row r="32" spans="1:18">
      <c r="A32" s="84">
        <v>18</v>
      </c>
      <c r="B32" s="28" t="s">
        <v>68</v>
      </c>
      <c r="C32" s="99">
        <v>8446761</v>
      </c>
      <c r="D32" s="44">
        <f>C32/C34</f>
        <v>0.26478897019756098</v>
      </c>
      <c r="E32" s="33">
        <f>ROUND(D32*$Q$24,0)</f>
        <v>1382415</v>
      </c>
      <c r="F32" s="99">
        <v>12035</v>
      </c>
      <c r="G32" s="43">
        <f>E32/F32</f>
        <v>114.86622351474865</v>
      </c>
      <c r="H32" s="97"/>
      <c r="I32" s="105"/>
      <c r="J32" s="105"/>
      <c r="K32" s="86"/>
      <c r="L32" s="105"/>
      <c r="M32" s="97"/>
      <c r="N32" s="97"/>
      <c r="O32" s="97"/>
      <c r="P32" s="97"/>
      <c r="Q32" s="43"/>
      <c r="R32" s="84"/>
    </row>
    <row r="33" spans="1:18">
      <c r="A33" s="84">
        <v>19</v>
      </c>
      <c r="B33" s="28" t="s">
        <v>69</v>
      </c>
      <c r="C33" s="35">
        <v>1684109</v>
      </c>
      <c r="D33" s="45">
        <f>C33/C34</f>
        <v>5.2793430264031882E-2</v>
      </c>
      <c r="E33" s="88">
        <f>ROUND(D33*$Q$24,0)</f>
        <v>275625</v>
      </c>
      <c r="F33" s="35">
        <v>429</v>
      </c>
      <c r="G33" s="46">
        <f>E33/F33</f>
        <v>642.48251748251744</v>
      </c>
      <c r="H33" s="97"/>
      <c r="I33" s="105"/>
      <c r="J33" s="105"/>
      <c r="K33" s="86"/>
      <c r="L33" s="105"/>
      <c r="M33" s="97"/>
      <c r="N33" s="97"/>
      <c r="O33" s="97"/>
      <c r="P33" s="97"/>
      <c r="Q33" s="43"/>
      <c r="R33" s="84"/>
    </row>
    <row r="34" spans="1:18">
      <c r="A34" s="84">
        <v>20</v>
      </c>
      <c r="B34" s="84"/>
      <c r="C34" s="86">
        <f>SUM(C30:C33)</f>
        <v>31899973</v>
      </c>
      <c r="D34" s="42">
        <f>SUM(D30:D33)</f>
        <v>1</v>
      </c>
      <c r="E34" s="91">
        <f>SUM(E30:E33)</f>
        <v>5220818</v>
      </c>
      <c r="F34" s="87">
        <f>SUM(F30:F33)</f>
        <v>429949</v>
      </c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3"/>
      <c r="R34" s="84"/>
    </row>
    <row r="35" spans="1:18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Q35" s="93"/>
      <c r="R35" s="93"/>
    </row>
    <row r="37" spans="1:18">
      <c r="A37" s="47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Q37" s="84"/>
      <c r="R37" s="84"/>
    </row>
  </sheetData>
  <pageMargins left="0.25" right="0.25" top="0.75" bottom="0.75" header="0.3" footer="0.3"/>
  <pageSetup scale="53" orientation="landscape" r:id="rId1"/>
  <headerFooter>
    <oddHeader>&amp;RResponse to PSC 3-3
Page &amp;P of &amp;N
Witnesses: John Brown and
William Steven Seelye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0"/>
  <sheetViews>
    <sheetView topLeftCell="A13" zoomScaleNormal="100" workbookViewId="0">
      <selection activeCell="E44" sqref="E44"/>
    </sheetView>
  </sheetViews>
  <sheetFormatPr defaultColWidth="9.140625" defaultRowHeight="15"/>
  <cols>
    <col min="1" max="1" width="14.42578125" style="4" customWidth="1"/>
    <col min="2" max="2" width="18.5703125" style="4" bestFit="1" customWidth="1"/>
    <col min="3" max="3" width="12.7109375" style="4" customWidth="1"/>
    <col min="4" max="4" width="14.28515625" style="4" customWidth="1"/>
    <col min="5" max="5" width="10.7109375" style="4" customWidth="1"/>
    <col min="6" max="6" width="12.7109375" style="4" customWidth="1"/>
    <col min="7" max="7" width="12.42578125" style="4" bestFit="1" customWidth="1"/>
    <col min="8" max="8" width="13.140625" style="4" bestFit="1" customWidth="1"/>
    <col min="9" max="9" width="2.7109375" style="4" customWidth="1"/>
    <col min="10" max="10" width="10.7109375" style="4" customWidth="1"/>
    <col min="11" max="11" width="8.140625" style="4" bestFit="1" customWidth="1"/>
    <col min="12" max="12" width="12.7109375" style="4" customWidth="1"/>
    <col min="13" max="14" width="11.28515625" style="4" bestFit="1" customWidth="1"/>
    <col min="15" max="15" width="8.42578125" style="4" bestFit="1" customWidth="1"/>
    <col min="16" max="16" width="11.28515625" style="4" bestFit="1" customWidth="1"/>
    <col min="17" max="17" width="2.7109375" style="4" customWidth="1"/>
    <col min="18" max="18" width="13.7109375" style="4" bestFit="1" customWidth="1"/>
    <col min="19" max="19" width="7.7109375" style="4" bestFit="1" customWidth="1"/>
    <col min="20" max="20" width="7.42578125" style="4" bestFit="1" customWidth="1"/>
    <col min="21" max="16384" width="9.140625" style="4"/>
  </cols>
  <sheetData>
    <row r="1" spans="1:21">
      <c r="A1" s="22" t="s">
        <v>70</v>
      </c>
      <c r="B1" s="7">
        <v>2010</v>
      </c>
      <c r="C1" s="25"/>
      <c r="D1" s="25"/>
      <c r="E1" s="25"/>
      <c r="F1" s="25" t="s">
        <v>71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>
      <c r="A2" s="22" t="s">
        <v>72</v>
      </c>
      <c r="B2" s="25"/>
      <c r="C2" s="25"/>
      <c r="D2" s="8" t="s">
        <v>73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>
      <c r="A3" s="25"/>
      <c r="B3" s="25"/>
      <c r="C3" s="25"/>
      <c r="D3" s="16" t="s">
        <v>74</v>
      </c>
      <c r="E3" s="25"/>
      <c r="F3" s="125" t="s">
        <v>75</v>
      </c>
      <c r="G3" s="125"/>
      <c r="H3" s="125"/>
      <c r="I3" s="25"/>
      <c r="J3" s="23" t="s">
        <v>76</v>
      </c>
      <c r="K3" s="25"/>
      <c r="L3" s="25"/>
      <c r="M3" s="25"/>
      <c r="N3" s="25"/>
      <c r="O3" s="25"/>
      <c r="P3" s="25"/>
      <c r="Q3" s="25"/>
      <c r="R3" s="25"/>
      <c r="S3" s="25"/>
      <c r="T3" s="23"/>
      <c r="U3" s="23"/>
    </row>
    <row r="4" spans="1:21">
      <c r="A4" s="25"/>
      <c r="B4" s="25"/>
      <c r="C4" s="16">
        <v>2010</v>
      </c>
      <c r="D4" s="16" t="s">
        <v>77</v>
      </c>
      <c r="E4" s="25"/>
      <c r="F4" s="9"/>
      <c r="G4" s="9" t="s">
        <v>78</v>
      </c>
      <c r="H4" s="9"/>
      <c r="I4" s="25"/>
      <c r="J4" s="16" t="s">
        <v>79</v>
      </c>
      <c r="K4" s="25"/>
      <c r="L4" s="25"/>
      <c r="M4" s="25"/>
      <c r="N4" s="25"/>
      <c r="O4" s="16" t="s">
        <v>80</v>
      </c>
      <c r="P4" s="16" t="s">
        <v>80</v>
      </c>
      <c r="Q4" s="25"/>
      <c r="R4" s="25"/>
      <c r="S4" s="25"/>
      <c r="T4" s="25"/>
      <c r="U4" s="25"/>
    </row>
    <row r="5" spans="1:21">
      <c r="A5" s="25"/>
      <c r="B5" s="25"/>
      <c r="C5" s="123" t="s">
        <v>81</v>
      </c>
      <c r="D5" s="10">
        <v>13</v>
      </c>
      <c r="E5" s="25"/>
      <c r="F5" s="123" t="s">
        <v>82</v>
      </c>
      <c r="G5" s="123" t="s">
        <v>83</v>
      </c>
      <c r="H5" s="123" t="s">
        <v>84</v>
      </c>
      <c r="I5" s="25"/>
      <c r="J5" s="123" t="s">
        <v>85</v>
      </c>
      <c r="K5" s="25"/>
      <c r="L5" s="25"/>
      <c r="M5" s="25"/>
      <c r="N5" s="25"/>
      <c r="O5" s="123" t="s">
        <v>65</v>
      </c>
      <c r="P5" s="123" t="s">
        <v>86</v>
      </c>
      <c r="Q5" s="25"/>
      <c r="R5" s="25"/>
      <c r="S5" s="25"/>
      <c r="T5" s="25"/>
      <c r="U5" s="25"/>
    </row>
    <row r="6" spans="1:21">
      <c r="A6" s="25">
        <v>1</v>
      </c>
      <c r="B6" s="25" t="s">
        <v>87</v>
      </c>
      <c r="C6" s="100">
        <f>329963+486787</f>
        <v>816750</v>
      </c>
      <c r="D6" s="2">
        <v>3.1E-2</v>
      </c>
      <c r="E6" s="25"/>
      <c r="F6" s="100">
        <v>-291169</v>
      </c>
      <c r="G6" s="18">
        <f>ROUND(IF(D$5=1,-0.5*D6*C6,-D6*C6),0)</f>
        <v>-25319</v>
      </c>
      <c r="H6" s="18">
        <f>SUM(F6:G6)</f>
        <v>-316488</v>
      </c>
      <c r="I6" s="25"/>
      <c r="J6" s="5">
        <f t="shared" ref="J6:J11" si="0">C6+H6</f>
        <v>500262</v>
      </c>
      <c r="K6" s="25"/>
      <c r="L6" s="25"/>
      <c r="M6" s="25"/>
      <c r="N6" s="25"/>
      <c r="O6" s="11">
        <v>1E-4</v>
      </c>
      <c r="P6" s="17">
        <f>ROUND(IF(D$5=1,-0.5*O6*C6,-O6*C6),0)</f>
        <v>-82</v>
      </c>
      <c r="Q6" s="25"/>
      <c r="R6" s="25"/>
      <c r="S6" s="25"/>
      <c r="T6" s="25"/>
      <c r="U6" s="25"/>
    </row>
    <row r="7" spans="1:21">
      <c r="A7" s="25">
        <v>2</v>
      </c>
      <c r="B7" s="25" t="s">
        <v>88</v>
      </c>
      <c r="C7" s="100">
        <f>23974</f>
        <v>23974</v>
      </c>
      <c r="D7" s="2">
        <v>2.3300000000000001E-2</v>
      </c>
      <c r="E7" s="25"/>
      <c r="F7" s="100">
        <v>-6428</v>
      </c>
      <c r="G7" s="18">
        <f>ROUND(IF(D$5=1,-0.5*D7*C7,-D7*C7),0)</f>
        <v>-559</v>
      </c>
      <c r="H7" s="18">
        <f t="shared" ref="H7:H11" si="1">SUM(F7:G7)</f>
        <v>-6987</v>
      </c>
      <c r="I7" s="25"/>
      <c r="J7" s="5">
        <f t="shared" si="0"/>
        <v>16987</v>
      </c>
      <c r="K7" s="25"/>
      <c r="L7" s="25"/>
      <c r="M7" s="25"/>
      <c r="N7" s="25"/>
      <c r="O7" s="11">
        <v>2.0000000000000001E-4</v>
      </c>
      <c r="P7" s="5">
        <f>ROUND(IF(D$5=1,-0.5*O7*C7,-O7*C7),0)</f>
        <v>-5</v>
      </c>
      <c r="Q7" s="25"/>
      <c r="R7" s="25"/>
      <c r="S7" s="25"/>
      <c r="T7" s="25"/>
      <c r="U7" s="25"/>
    </row>
    <row r="8" spans="1:21">
      <c r="A8" s="25">
        <v>3</v>
      </c>
      <c r="B8" s="25" t="s">
        <v>89</v>
      </c>
      <c r="C8" s="100">
        <f>118268</f>
        <v>118268</v>
      </c>
      <c r="D8" s="2">
        <v>2.69E-2</v>
      </c>
      <c r="E8" s="25"/>
      <c r="F8" s="100">
        <v>-36582</v>
      </c>
      <c r="G8" s="18">
        <f>ROUND(IF(D$5=1,-0.5*D8*C8,-D8*C8),0)</f>
        <v>-3181</v>
      </c>
      <c r="H8" s="18">
        <f t="shared" si="1"/>
        <v>-39763</v>
      </c>
      <c r="I8" s="25"/>
      <c r="J8" s="5">
        <f t="shared" si="0"/>
        <v>78505</v>
      </c>
      <c r="K8" s="25"/>
      <c r="L8" s="25"/>
      <c r="M8" s="25"/>
      <c r="N8" s="25"/>
      <c r="O8" s="11">
        <v>4.1999999999999997E-3</v>
      </c>
      <c r="P8" s="5">
        <f>ROUND(IF(D$5=1,-0.5*O8*C8,-O8*C8),0)</f>
        <v>-497</v>
      </c>
      <c r="Q8" s="25"/>
      <c r="R8" s="25"/>
      <c r="S8" s="25"/>
      <c r="T8" s="25"/>
      <c r="U8" s="25"/>
    </row>
    <row r="9" spans="1:21">
      <c r="A9" s="25">
        <v>4</v>
      </c>
      <c r="B9" s="25" t="s">
        <v>90</v>
      </c>
      <c r="C9" s="100">
        <v>0</v>
      </c>
      <c r="D9" s="2">
        <v>2.2499999999999999E-2</v>
      </c>
      <c r="E9" s="25"/>
      <c r="F9" s="100">
        <v>0</v>
      </c>
      <c r="G9" s="18">
        <f>ROUND(IF(D$5=1,-0.5*D9*C9,-D9*C9),0)</f>
        <v>0</v>
      </c>
      <c r="H9" s="18">
        <f t="shared" si="1"/>
        <v>0</v>
      </c>
      <c r="I9" s="25"/>
      <c r="J9" s="5">
        <f t="shared" si="0"/>
        <v>0</v>
      </c>
      <c r="K9" s="25"/>
      <c r="L9" s="25"/>
      <c r="M9" s="25"/>
      <c r="N9" s="25"/>
      <c r="O9" s="11">
        <v>0</v>
      </c>
      <c r="P9" s="5">
        <f>IF(D$5=1,-0.5*O9*C9,-O9*C9)</f>
        <v>0</v>
      </c>
      <c r="Q9" s="25"/>
      <c r="R9" s="25"/>
      <c r="S9" s="25"/>
      <c r="T9" s="25"/>
      <c r="U9" s="25"/>
    </row>
    <row r="10" spans="1:21">
      <c r="A10" s="25">
        <v>5</v>
      </c>
      <c r="B10" s="25" t="s">
        <v>91</v>
      </c>
      <c r="C10" s="100">
        <v>0</v>
      </c>
      <c r="D10" s="2">
        <v>2.0500000000000001E-2</v>
      </c>
      <c r="E10" s="25"/>
      <c r="F10" s="100">
        <v>0</v>
      </c>
      <c r="G10" s="18">
        <f>ROUND(IF(D$5=1,-0.5*D10*C10,-D10*C10),0)</f>
        <v>0</v>
      </c>
      <c r="H10" s="18">
        <f t="shared" si="1"/>
        <v>0</v>
      </c>
      <c r="I10" s="25"/>
      <c r="J10" s="5">
        <f t="shared" si="0"/>
        <v>0</v>
      </c>
      <c r="K10" s="25"/>
      <c r="L10" s="25"/>
      <c r="M10" s="25"/>
      <c r="N10" s="25"/>
      <c r="O10" s="11">
        <v>0</v>
      </c>
      <c r="P10" s="5">
        <f>IF(D$5=1,-0.5*O10*C10,-O10*C10)</f>
        <v>0</v>
      </c>
      <c r="Q10" s="25"/>
      <c r="R10" s="25"/>
      <c r="S10" s="25"/>
      <c r="T10" s="25"/>
      <c r="U10" s="25"/>
    </row>
    <row r="11" spans="1:21">
      <c r="A11" s="25">
        <v>6</v>
      </c>
      <c r="B11" s="25" t="s">
        <v>92</v>
      </c>
      <c r="C11" s="101">
        <v>615796</v>
      </c>
      <c r="D11" s="3" t="s">
        <v>93</v>
      </c>
      <c r="E11" s="12"/>
      <c r="F11" s="101">
        <v>-6715</v>
      </c>
      <c r="G11" s="21">
        <f>P12</f>
        <v>-584</v>
      </c>
      <c r="H11" s="21">
        <f t="shared" si="1"/>
        <v>-7299</v>
      </c>
      <c r="I11" s="25"/>
      <c r="J11" s="6">
        <f t="shared" si="0"/>
        <v>608497</v>
      </c>
      <c r="K11" s="25"/>
      <c r="L11" s="25"/>
      <c r="M11" s="25"/>
      <c r="N11" s="25"/>
      <c r="O11" s="24">
        <v>0</v>
      </c>
      <c r="P11" s="6">
        <f>IF(D$5=1,-0.5*O11*C11,-O11*C11)</f>
        <v>0</v>
      </c>
      <c r="Q11" s="25"/>
      <c r="R11" s="25"/>
      <c r="S11" s="25"/>
      <c r="T11" s="25"/>
      <c r="U11" s="25"/>
    </row>
    <row r="12" spans="1:21">
      <c r="A12" s="25"/>
      <c r="B12" s="25"/>
      <c r="C12" s="18">
        <f>SUM(C5:C11)</f>
        <v>1574788</v>
      </c>
      <c r="D12" s="18"/>
      <c r="E12" s="25"/>
      <c r="F12" s="100">
        <f>SUM(F5:F11)</f>
        <v>-340894</v>
      </c>
      <c r="G12" s="18">
        <f>SUM(G5:G11)</f>
        <v>-29643</v>
      </c>
      <c r="H12" s="18">
        <f>SUM(H5:H11)</f>
        <v>-370537</v>
      </c>
      <c r="I12" s="25"/>
      <c r="J12" s="5">
        <f>SUM(J6:J11)</f>
        <v>1204251</v>
      </c>
      <c r="K12" s="25"/>
      <c r="L12" s="25"/>
      <c r="M12" s="25"/>
      <c r="N12" s="25"/>
      <c r="O12" s="5"/>
      <c r="P12" s="17">
        <f>SUM(P5:P11)</f>
        <v>-584</v>
      </c>
      <c r="Q12" s="25"/>
      <c r="R12" s="25"/>
      <c r="S12" s="25"/>
      <c r="T12" s="25"/>
      <c r="U12" s="25"/>
    </row>
    <row r="13" spans="1:21" ht="14.25" customHeight="1">
      <c r="A13" s="25"/>
      <c r="B13" s="25"/>
      <c r="C13" s="18"/>
      <c r="D13" s="18"/>
      <c r="E13" s="18"/>
      <c r="F13" s="18"/>
      <c r="G13" s="25"/>
      <c r="H13" s="25"/>
      <c r="I13" s="25"/>
      <c r="J13" s="25"/>
      <c r="K13" s="25"/>
      <c r="L13" s="25"/>
      <c r="M13" s="16"/>
      <c r="N13" s="20"/>
      <c r="O13" s="25"/>
      <c r="P13" s="25"/>
      <c r="Q13" s="25"/>
      <c r="R13" s="25"/>
      <c r="S13" s="25"/>
      <c r="T13" s="25"/>
      <c r="U13" s="25"/>
    </row>
    <row r="14" spans="1:21">
      <c r="A14" s="25"/>
      <c r="B14" s="25"/>
      <c r="C14" s="25"/>
      <c r="D14" s="25"/>
      <c r="E14" s="25"/>
      <c r="F14" s="25"/>
      <c r="G14" s="25"/>
      <c r="H14" s="25"/>
      <c r="I14" s="25"/>
      <c r="J14" s="25" t="s">
        <v>71</v>
      </c>
      <c r="K14" s="25"/>
      <c r="L14" s="25"/>
      <c r="M14" s="16"/>
      <c r="N14" s="20"/>
      <c r="O14" s="25"/>
      <c r="P14" s="25"/>
      <c r="Q14" s="25"/>
      <c r="R14" s="25"/>
      <c r="S14" s="25"/>
      <c r="T14" s="25"/>
      <c r="U14" s="25"/>
    </row>
    <row r="15" spans="1:21">
      <c r="A15" s="25"/>
      <c r="B15" s="25"/>
      <c r="C15" s="25"/>
      <c r="D15" s="1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27" customFormat="1">
      <c r="A16" s="84"/>
      <c r="B16" s="84"/>
      <c r="C16" s="93"/>
      <c r="D16" s="95" t="s">
        <v>94</v>
      </c>
      <c r="E16" s="93"/>
      <c r="F16" s="93"/>
      <c r="G16" s="48">
        <v>0.5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  <c r="S16" s="84"/>
      <c r="T16" s="84"/>
      <c r="U16" s="84"/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13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>'2010'!C6</f>
        <v>816750</v>
      </c>
      <c r="D19" s="51">
        <v>0.94499999999999995</v>
      </c>
      <c r="E19" s="87">
        <f>C19*-D19</f>
        <v>-771828.75</v>
      </c>
      <c r="F19" s="52">
        <f>C19+E19</f>
        <v>44921.25</v>
      </c>
      <c r="G19" s="52">
        <f>F19*-$G$16</f>
        <v>-22460.625</v>
      </c>
      <c r="H19" s="53">
        <f t="shared" ref="H19:H24" si="2">F19+G19</f>
        <v>22460.625</v>
      </c>
      <c r="I19" s="84"/>
      <c r="J19" s="84">
        <v>15</v>
      </c>
      <c r="K19" s="54">
        <f>IFERROR(VLOOKUP(J19,'Tax Rates'!$A$1:$AA$12,'2010'!$K$18+1,FALSE),0)</f>
        <v>5.9049999999999998E-2</v>
      </c>
      <c r="L19" s="102">
        <v>-813116</v>
      </c>
      <c r="M19" s="52">
        <v>0</v>
      </c>
      <c r="N19" s="52">
        <v>0</v>
      </c>
      <c r="O19" s="87">
        <f>ROUND(K19*-H19,0)</f>
        <v>-1326</v>
      </c>
      <c r="P19" s="55">
        <f>SUM(L19:O19)</f>
        <v>-814442</v>
      </c>
      <c r="Q19" s="84"/>
      <c r="R19" s="52">
        <f>C19+P19</f>
        <v>2308</v>
      </c>
    </row>
    <row r="20" spans="1:18" s="27" customFormat="1">
      <c r="A20" s="84">
        <v>8</v>
      </c>
      <c r="B20" s="84" t="s">
        <v>88</v>
      </c>
      <c r="C20" s="87">
        <f>'2010'!C7</f>
        <v>23974</v>
      </c>
      <c r="D20" s="51">
        <v>1</v>
      </c>
      <c r="E20" s="87">
        <f>C20*-D20</f>
        <v>-23974</v>
      </c>
      <c r="F20" s="52">
        <f>C20+E20</f>
        <v>0</v>
      </c>
      <c r="G20" s="52">
        <f>F20*-$G$16</f>
        <v>0</v>
      </c>
      <c r="H20" s="53">
        <f t="shared" si="2"/>
        <v>0</v>
      </c>
      <c r="I20" s="84"/>
      <c r="J20" s="84">
        <v>15</v>
      </c>
      <c r="K20" s="54">
        <f>IFERROR(VLOOKUP(J20,'Tax Rates'!$A$1:$AA$12,'2010'!$K$18+1,FALSE),0)</f>
        <v>5.9049999999999998E-2</v>
      </c>
      <c r="L20" s="102">
        <v>-23974</v>
      </c>
      <c r="M20" s="52">
        <v>0</v>
      </c>
      <c r="N20" s="52">
        <v>0</v>
      </c>
      <c r="O20" s="87">
        <f>ROUND(K20*-H20,0)</f>
        <v>0</v>
      </c>
      <c r="P20" s="55">
        <f t="shared" ref="P20:P24" si="3">SUM(L20:O20)</f>
        <v>-23974</v>
      </c>
      <c r="Q20" s="84"/>
      <c r="R20" s="52">
        <f>C20+P20</f>
        <v>0</v>
      </c>
    </row>
    <row r="21" spans="1:18" s="27" customFormat="1">
      <c r="A21" s="84">
        <v>9</v>
      </c>
      <c r="B21" s="84" t="s">
        <v>89</v>
      </c>
      <c r="C21" s="87">
        <f>'2010'!C8</f>
        <v>118268</v>
      </c>
      <c r="D21" s="51">
        <v>0</v>
      </c>
      <c r="E21" s="87">
        <f>C21*-D21</f>
        <v>0</v>
      </c>
      <c r="F21" s="52">
        <f>C21+E21</f>
        <v>118268</v>
      </c>
      <c r="G21" s="52">
        <f>F21*-$G$16</f>
        <v>-59134</v>
      </c>
      <c r="H21" s="53">
        <f t="shared" si="2"/>
        <v>59134</v>
      </c>
      <c r="I21" s="84"/>
      <c r="J21" s="84">
        <v>20</v>
      </c>
      <c r="K21" s="54">
        <f>IFERROR(VLOOKUP(J21,'Tax Rates'!$A$1:$AA$12,'2010'!$K$18+1,FALSE),0)</f>
        <v>4.462E-2</v>
      </c>
      <c r="L21" s="102">
        <v>-97895</v>
      </c>
      <c r="M21" s="52">
        <v>0</v>
      </c>
      <c r="N21" s="52">
        <v>0</v>
      </c>
      <c r="O21" s="87">
        <f>ROUND(K21*-H21,0)</f>
        <v>-2639</v>
      </c>
      <c r="P21" s="55">
        <f t="shared" si="3"/>
        <v>-100534</v>
      </c>
      <c r="Q21" s="84"/>
      <c r="R21" s="52">
        <f>C21+P21</f>
        <v>17734</v>
      </c>
    </row>
    <row r="22" spans="1:18" s="27" customFormat="1">
      <c r="A22" s="84">
        <v>10</v>
      </c>
      <c r="B22" s="84" t="s">
        <v>90</v>
      </c>
      <c r="C22" s="87">
        <f>'2010'!C9</f>
        <v>0</v>
      </c>
      <c r="D22" s="51">
        <v>0</v>
      </c>
      <c r="E22" s="87">
        <f>C22*-D22</f>
        <v>0</v>
      </c>
      <c r="F22" s="52">
        <f>C22+E22</f>
        <v>0</v>
      </c>
      <c r="G22" s="52">
        <f>F22*-$G$16</f>
        <v>0</v>
      </c>
      <c r="H22" s="53">
        <f t="shared" si="2"/>
        <v>0</v>
      </c>
      <c r="I22" s="84"/>
      <c r="J22" s="84">
        <v>7</v>
      </c>
      <c r="K22" s="54">
        <f>IFERROR(VLOOKUP(J22,'Tax Rates'!$A$1:$AA$12,'2010'!$K$18+1,FALSE),0)</f>
        <v>0</v>
      </c>
      <c r="L22" s="102">
        <v>0</v>
      </c>
      <c r="M22" s="52">
        <v>0</v>
      </c>
      <c r="N22" s="52">
        <v>0</v>
      </c>
      <c r="O22" s="87">
        <f>ROUND(K22*-H22,0)</f>
        <v>0</v>
      </c>
      <c r="P22" s="55">
        <f t="shared" si="3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87">
        <f>'2010'!C10</f>
        <v>0</v>
      </c>
      <c r="D23" s="51">
        <v>0</v>
      </c>
      <c r="E23" s="87">
        <f>C23*-D23</f>
        <v>0</v>
      </c>
      <c r="F23" s="52">
        <f>C23+E23</f>
        <v>0</v>
      </c>
      <c r="G23" s="52">
        <f>F23*-$G$16</f>
        <v>0</v>
      </c>
      <c r="H23" s="53">
        <f t="shared" si="2"/>
        <v>0</v>
      </c>
      <c r="I23" s="84"/>
      <c r="J23" s="84">
        <v>15</v>
      </c>
      <c r="K23" s="54">
        <f>IFERROR(VLOOKUP(J23,'Tax Rates'!$A$1:$AA$12,'2010'!$K$18+1,FALSE),0)</f>
        <v>5.9049999999999998E-2</v>
      </c>
      <c r="L23" s="102">
        <v>0</v>
      </c>
      <c r="M23" s="52">
        <v>0</v>
      </c>
      <c r="N23" s="52">
        <v>0</v>
      </c>
      <c r="O23" s="87">
        <f>ROUND(K23*-H23,0)</f>
        <v>0</v>
      </c>
      <c r="P23" s="55">
        <f t="shared" si="3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8">
        <f>'2010'!C11</f>
        <v>615796</v>
      </c>
      <c r="D24" s="58" t="s">
        <v>105</v>
      </c>
      <c r="E24" s="88">
        <v>0</v>
      </c>
      <c r="F24" s="59">
        <v>0</v>
      </c>
      <c r="G24" s="59">
        <v>0</v>
      </c>
      <c r="H24" s="60">
        <f t="shared" si="2"/>
        <v>0</v>
      </c>
      <c r="I24" s="84"/>
      <c r="J24" s="61" t="s">
        <v>105</v>
      </c>
      <c r="K24" s="62" t="s">
        <v>105</v>
      </c>
      <c r="L24" s="103">
        <v>0</v>
      </c>
      <c r="M24" s="59">
        <v>0</v>
      </c>
      <c r="N24" s="63">
        <v>0</v>
      </c>
      <c r="O24" s="88">
        <v>0</v>
      </c>
      <c r="P24" s="64">
        <f t="shared" si="3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1574788</v>
      </c>
      <c r="D25" s="84"/>
      <c r="E25" s="87">
        <f>SUM(E19:E24)</f>
        <v>-795802.75</v>
      </c>
      <c r="F25" s="87">
        <f>SUM(F19:F24)</f>
        <v>163189.25</v>
      </c>
      <c r="G25" s="87">
        <f>SUM(G19:G24)</f>
        <v>-81594.625</v>
      </c>
      <c r="H25" s="55">
        <f>SUM(H19:H24)</f>
        <v>81594.625</v>
      </c>
      <c r="I25" s="84"/>
      <c r="J25" s="84"/>
      <c r="K25" s="84"/>
      <c r="L25" s="55">
        <f>SUM(L19:L24)</f>
        <v>-934985</v>
      </c>
      <c r="M25" s="87">
        <f>SUM(M19:M24)</f>
        <v>0</v>
      </c>
      <c r="N25" s="87">
        <f>SUM(N19:N24)</f>
        <v>0</v>
      </c>
      <c r="O25" s="87">
        <f>SUM(O19:O24)</f>
        <v>-3965</v>
      </c>
      <c r="P25" s="55">
        <f>SUM(P19:P24)</f>
        <v>-938950</v>
      </c>
      <c r="Q25" s="84"/>
      <c r="R25" s="52">
        <f>SUM(R19:R24)</f>
        <v>20042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84"/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>'2010'!J6</f>
        <v>500262</v>
      </c>
      <c r="E31" s="52">
        <f>'2010'!R19</f>
        <v>2308</v>
      </c>
      <c r="F31" s="52">
        <f>E31-D31</f>
        <v>-497954</v>
      </c>
      <c r="G31" s="68">
        <v>0.37959999999999999</v>
      </c>
      <c r="H31" s="52">
        <f>ROUND(F31*0.3796,0)</f>
        <v>-189023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2">
        <f>'2010'!J7</f>
        <v>16987</v>
      </c>
      <c r="E32" s="52">
        <f>'2010'!R20</f>
        <v>0</v>
      </c>
      <c r="F32" s="52">
        <f>E32-D32</f>
        <v>-16987</v>
      </c>
      <c r="G32" s="67">
        <f>G31</f>
        <v>0.37959999999999999</v>
      </c>
      <c r="H32" s="52">
        <f t="shared" ref="H32:H36" si="4">ROUND(F32*0.3796,0)</f>
        <v>-6448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8" s="27" customFormat="1">
      <c r="A33" s="84">
        <v>15</v>
      </c>
      <c r="B33" s="84" t="s">
        <v>89</v>
      </c>
      <c r="C33" s="84"/>
      <c r="D33" s="52">
        <f>'2010'!J8</f>
        <v>78505</v>
      </c>
      <c r="E33" s="52">
        <f>'2010'!R21</f>
        <v>17734</v>
      </c>
      <c r="F33" s="52">
        <f>E33-D33</f>
        <v>-60771</v>
      </c>
      <c r="G33" s="67">
        <f>G31</f>
        <v>0.37959999999999999</v>
      </c>
      <c r="H33" s="52">
        <f t="shared" si="4"/>
        <v>-23069</v>
      </c>
    </row>
    <row r="34" spans="1:8" s="27" customFormat="1">
      <c r="A34" s="84">
        <v>16</v>
      </c>
      <c r="B34" s="84" t="s">
        <v>90</v>
      </c>
      <c r="C34" s="84"/>
      <c r="D34" s="52">
        <f>'2010'!J9</f>
        <v>0</v>
      </c>
      <c r="E34" s="52">
        <f>'2010'!R22</f>
        <v>0</v>
      </c>
      <c r="F34" s="52">
        <f>E34-D34</f>
        <v>0</v>
      </c>
      <c r="G34" s="67">
        <f>G31</f>
        <v>0.37959999999999999</v>
      </c>
      <c r="H34" s="52">
        <f t="shared" si="4"/>
        <v>0</v>
      </c>
    </row>
    <row r="35" spans="1:8" s="27" customFormat="1">
      <c r="A35" s="84">
        <v>17</v>
      </c>
      <c r="B35" s="84" t="s">
        <v>91</v>
      </c>
      <c r="C35" s="84"/>
      <c r="D35" s="52">
        <f>'2010'!J10</f>
        <v>0</v>
      </c>
      <c r="E35" s="52">
        <f>'2010'!R23</f>
        <v>0</v>
      </c>
      <c r="F35" s="52">
        <f>E35-D35</f>
        <v>0</v>
      </c>
      <c r="G35" s="67">
        <f>G31</f>
        <v>0.37959999999999999</v>
      </c>
      <c r="H35" s="52">
        <f t="shared" si="4"/>
        <v>0</v>
      </c>
    </row>
    <row r="36" spans="1:8" s="27" customFormat="1">
      <c r="A36" s="84">
        <v>18</v>
      </c>
      <c r="B36" s="84" t="s">
        <v>92</v>
      </c>
      <c r="C36" s="84"/>
      <c r="D36" s="59">
        <f>'2010'!J11</f>
        <v>608497</v>
      </c>
      <c r="E36" s="65" t="s">
        <v>105</v>
      </c>
      <c r="F36" s="59">
        <f>-D36</f>
        <v>-608497</v>
      </c>
      <c r="G36" s="69">
        <f>G31</f>
        <v>0.37959999999999999</v>
      </c>
      <c r="H36" s="59">
        <f t="shared" si="4"/>
        <v>-230985</v>
      </c>
    </row>
    <row r="37" spans="1:8" s="27" customFormat="1">
      <c r="A37" s="84"/>
      <c r="B37" s="84"/>
      <c r="C37" s="84"/>
      <c r="D37" s="52">
        <f>SUM(D31:D36)</f>
        <v>1204251</v>
      </c>
      <c r="E37" s="52">
        <f>SUM(E31:E36)</f>
        <v>20042</v>
      </c>
      <c r="F37" s="52">
        <f>SUM(F31:F36)</f>
        <v>-1184209</v>
      </c>
      <c r="G37" s="84"/>
      <c r="H37" s="52">
        <f>SUM(H31:H36)</f>
        <v>-449525</v>
      </c>
    </row>
    <row r="38" spans="1:8" s="27" customFormat="1">
      <c r="A38" s="84"/>
      <c r="B38" s="84"/>
      <c r="C38" s="84"/>
      <c r="D38" s="84"/>
      <c r="E38" s="84"/>
      <c r="F38" s="84"/>
      <c r="G38" s="84"/>
      <c r="H38" s="84"/>
    </row>
    <row r="39" spans="1:8">
      <c r="A39" s="12" t="s">
        <v>73</v>
      </c>
      <c r="B39" s="25" t="s">
        <v>112</v>
      </c>
      <c r="C39" s="25"/>
      <c r="D39" s="25"/>
      <c r="E39" s="25"/>
      <c r="F39" s="25"/>
      <c r="G39" s="25"/>
      <c r="H39" s="25"/>
    </row>
    <row r="40" spans="1:8">
      <c r="A40" s="12"/>
      <c r="B40" s="25"/>
      <c r="C40" s="25"/>
      <c r="D40" s="25"/>
      <c r="E40" s="25"/>
      <c r="F40" s="25"/>
      <c r="G40" s="25"/>
      <c r="H40" s="25"/>
    </row>
  </sheetData>
  <mergeCells count="3">
    <mergeCell ref="D29:E29"/>
    <mergeCell ref="F3:H3"/>
    <mergeCell ref="L16:P16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0"/>
  <sheetViews>
    <sheetView topLeftCell="A16" zoomScaleNormal="100" workbookViewId="0">
      <selection activeCell="E44" sqref="E44"/>
    </sheetView>
  </sheetViews>
  <sheetFormatPr defaultColWidth="9.140625" defaultRowHeight="15"/>
  <cols>
    <col min="1" max="1" width="14.42578125" style="4" customWidth="1"/>
    <col min="2" max="2" width="18.5703125" style="4" bestFit="1" customWidth="1"/>
    <col min="3" max="4" width="12.7109375" style="4" customWidth="1"/>
    <col min="5" max="5" width="11.28515625" style="4" bestFit="1" customWidth="1"/>
    <col min="6" max="6" width="12.7109375" style="4" customWidth="1"/>
    <col min="7" max="7" width="12.42578125" style="4" bestFit="1" customWidth="1"/>
    <col min="8" max="8" width="13.140625" style="4" bestFit="1" customWidth="1"/>
    <col min="9" max="9" width="2.7109375" style="4" customWidth="1"/>
    <col min="10" max="10" width="10.7109375" style="4" customWidth="1"/>
    <col min="11" max="11" width="8.140625" style="4" bestFit="1" customWidth="1"/>
    <col min="12" max="12" width="12.7109375" style="4" customWidth="1"/>
    <col min="13" max="14" width="11.28515625" style="4" bestFit="1" customWidth="1"/>
    <col min="15" max="15" width="8.42578125" style="4" bestFit="1" customWidth="1"/>
    <col min="16" max="16" width="11.28515625" style="4" bestFit="1" customWidth="1"/>
    <col min="17" max="17" width="2.7109375" style="4" customWidth="1"/>
    <col min="18" max="18" width="13.7109375" style="4" bestFit="1" customWidth="1"/>
    <col min="19" max="19" width="7.7109375" style="4" bestFit="1" customWidth="1"/>
    <col min="20" max="20" width="7.42578125" style="4" bestFit="1" customWidth="1"/>
    <col min="21" max="16384" width="9.140625" style="4"/>
  </cols>
  <sheetData>
    <row r="1" spans="1:18">
      <c r="A1" s="22" t="s">
        <v>70</v>
      </c>
      <c r="B1" s="7">
        <v>2011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2" t="s">
        <v>72</v>
      </c>
      <c r="B2" s="25"/>
      <c r="C2" s="25"/>
      <c r="D2" s="14" t="s">
        <v>73</v>
      </c>
      <c r="E2" s="25"/>
      <c r="F2" s="125" t="s">
        <v>75</v>
      </c>
      <c r="G2" s="125"/>
      <c r="H2" s="1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A3" s="25"/>
      <c r="B3" s="25"/>
      <c r="C3" s="25"/>
      <c r="D3" s="16" t="s">
        <v>74</v>
      </c>
      <c r="E3" s="25"/>
      <c r="F3" s="20"/>
      <c r="G3" s="14" t="s">
        <v>73</v>
      </c>
      <c r="H3" s="20"/>
      <c r="I3" s="25"/>
      <c r="J3" s="23" t="s">
        <v>76</v>
      </c>
      <c r="K3" s="25"/>
      <c r="L3" s="25"/>
      <c r="M3" s="25"/>
      <c r="N3" s="25"/>
      <c r="O3" s="25"/>
      <c r="P3" s="25"/>
      <c r="Q3" s="25"/>
      <c r="R3" s="25"/>
    </row>
    <row r="4" spans="1:18">
      <c r="A4" s="25"/>
      <c r="B4" s="25"/>
      <c r="C4" s="16">
        <v>2011</v>
      </c>
      <c r="D4" s="16" t="s">
        <v>77</v>
      </c>
      <c r="E4" s="25"/>
      <c r="F4" s="16"/>
      <c r="G4" s="16" t="s">
        <v>78</v>
      </c>
      <c r="H4" s="16"/>
      <c r="I4" s="25"/>
      <c r="J4" s="16" t="s">
        <v>79</v>
      </c>
      <c r="K4" s="25"/>
      <c r="L4" s="25"/>
      <c r="M4" s="25"/>
      <c r="N4" s="25"/>
      <c r="O4" s="16" t="s">
        <v>80</v>
      </c>
      <c r="P4" s="16" t="s">
        <v>80</v>
      </c>
      <c r="Q4" s="25"/>
      <c r="R4" s="25"/>
    </row>
    <row r="5" spans="1:18">
      <c r="A5" s="25"/>
      <c r="B5" s="25"/>
      <c r="C5" s="123" t="s">
        <v>81</v>
      </c>
      <c r="D5" s="10">
        <v>12</v>
      </c>
      <c r="E5" s="25"/>
      <c r="F5" s="123" t="s">
        <v>82</v>
      </c>
      <c r="G5" s="123" t="s">
        <v>83</v>
      </c>
      <c r="H5" s="123" t="s">
        <v>84</v>
      </c>
      <c r="I5" s="25"/>
      <c r="J5" s="123" t="s">
        <v>85</v>
      </c>
      <c r="K5" s="25"/>
      <c r="L5" s="25"/>
      <c r="M5" s="25"/>
      <c r="N5" s="25"/>
      <c r="O5" s="123" t="s">
        <v>65</v>
      </c>
      <c r="P5" s="123" t="s">
        <v>86</v>
      </c>
      <c r="Q5" s="25"/>
      <c r="R5" s="25"/>
    </row>
    <row r="6" spans="1:18">
      <c r="A6" s="25">
        <v>1</v>
      </c>
      <c r="B6" s="25" t="s">
        <v>87</v>
      </c>
      <c r="C6" s="100">
        <f>467774+361177</f>
        <v>828951</v>
      </c>
      <c r="D6" s="2">
        <v>3.1E-2</v>
      </c>
      <c r="E6" s="25"/>
      <c r="F6" s="100">
        <v>-269819</v>
      </c>
      <c r="G6" s="18">
        <f>ROUND(IF(D$5=1,-0.5*D6*C6,-D6*C6),0)</f>
        <v>-25697</v>
      </c>
      <c r="H6" s="18">
        <f t="shared" ref="H6:H11" si="0">SUM(F6:G6)</f>
        <v>-295516</v>
      </c>
      <c r="I6" s="25"/>
      <c r="J6" s="5">
        <f t="shared" ref="J6:J11" si="1">C6+H6</f>
        <v>533435</v>
      </c>
      <c r="K6" s="25"/>
      <c r="L6" s="25"/>
      <c r="M6" s="25"/>
      <c r="N6" s="25"/>
      <c r="O6" s="11">
        <v>1E-4</v>
      </c>
      <c r="P6" s="17">
        <f>ROUND(IF(D$5=1,-0.5*O6*C6,-O6*C6),0)</f>
        <v>-83</v>
      </c>
      <c r="Q6" s="25"/>
      <c r="R6" s="25"/>
    </row>
    <row r="7" spans="1:18">
      <c r="A7" s="25">
        <v>2</v>
      </c>
      <c r="B7" s="25" t="s">
        <v>88</v>
      </c>
      <c r="C7" s="100">
        <v>88312</v>
      </c>
      <c r="D7" s="2">
        <v>2.3300000000000001E-2</v>
      </c>
      <c r="E7" s="25"/>
      <c r="F7" s="100">
        <v>-21609</v>
      </c>
      <c r="G7" s="18">
        <f>ROUND(IF(D$5=1,-0.5*D7*C7,-D7*C7),0)</f>
        <v>-2058</v>
      </c>
      <c r="H7" s="18">
        <f t="shared" si="0"/>
        <v>-23667</v>
      </c>
      <c r="I7" s="25"/>
      <c r="J7" s="5">
        <f t="shared" si="1"/>
        <v>64645</v>
      </c>
      <c r="K7" s="25"/>
      <c r="L7" s="25"/>
      <c r="M7" s="25"/>
      <c r="N7" s="25"/>
      <c r="O7" s="11">
        <v>2.0000000000000001E-4</v>
      </c>
      <c r="P7" s="5">
        <f>ROUND(IF(D$5=1,-0.5*O7*C7,-O7*C7),0)</f>
        <v>-18</v>
      </c>
      <c r="Q7" s="25"/>
      <c r="R7" s="25"/>
    </row>
    <row r="8" spans="1:18">
      <c r="A8" s="25">
        <v>3</v>
      </c>
      <c r="B8" s="25" t="s">
        <v>89</v>
      </c>
      <c r="C8" s="100">
        <f>120134+262941</f>
        <v>383075</v>
      </c>
      <c r="D8" s="2">
        <v>2.69E-2</v>
      </c>
      <c r="E8" s="25"/>
      <c r="F8" s="100">
        <v>-108202</v>
      </c>
      <c r="G8" s="18">
        <f>ROUND(IF(D$5=1,-0.5*D8*C8,-D8*C8),0)</f>
        <v>-10305</v>
      </c>
      <c r="H8" s="18">
        <f t="shared" si="0"/>
        <v>-118507</v>
      </c>
      <c r="I8" s="25"/>
      <c r="J8" s="5">
        <f t="shared" si="1"/>
        <v>264568</v>
      </c>
      <c r="K8" s="25"/>
      <c r="L8" s="25"/>
      <c r="M8" s="25"/>
      <c r="N8" s="25"/>
      <c r="O8" s="11">
        <v>4.1999999999999997E-3</v>
      </c>
      <c r="P8" s="5">
        <f>ROUND(IF(D$5=1,-0.5*O8*C8,-O8*C8),0)</f>
        <v>-1609</v>
      </c>
      <c r="Q8" s="25"/>
      <c r="R8" s="25"/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E9" s="25"/>
      <c r="F9" s="100">
        <v>0</v>
      </c>
      <c r="G9" s="18">
        <f>ROUND(IF(D$5=1,-0.5*D9*C9,-D9*C9),0)</f>
        <v>0</v>
      </c>
      <c r="H9" s="18">
        <f t="shared" si="0"/>
        <v>0</v>
      </c>
      <c r="I9" s="25"/>
      <c r="J9" s="5">
        <f t="shared" si="1"/>
        <v>0</v>
      </c>
      <c r="K9" s="25"/>
      <c r="L9" s="25"/>
      <c r="M9" s="25"/>
      <c r="N9" s="25"/>
      <c r="O9" s="11">
        <v>0</v>
      </c>
      <c r="P9" s="5">
        <f>IF(D$5=1,-0.5*O9*C9,-O9*C9)</f>
        <v>0</v>
      </c>
      <c r="Q9" s="25"/>
      <c r="R9" s="25"/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E10" s="25"/>
      <c r="F10" s="100">
        <v>0</v>
      </c>
      <c r="G10" s="18">
        <f>ROUND(IF(D$5=1,-0.5*D10*C10,-D10*C10),0)</f>
        <v>0</v>
      </c>
      <c r="H10" s="18">
        <f t="shared" si="0"/>
        <v>0</v>
      </c>
      <c r="I10" s="25"/>
      <c r="J10" s="5">
        <f t="shared" si="1"/>
        <v>0</v>
      </c>
      <c r="K10" s="25"/>
      <c r="L10" s="25"/>
      <c r="M10" s="25"/>
      <c r="N10" s="25"/>
      <c r="O10" s="11">
        <v>0</v>
      </c>
      <c r="P10" s="5">
        <f>IF(D$5=1,-0.5*O10*C10,-O10*C10)</f>
        <v>0</v>
      </c>
      <c r="Q10" s="25"/>
      <c r="R10" s="25"/>
    </row>
    <row r="11" spans="1:18">
      <c r="A11" s="25">
        <v>6</v>
      </c>
      <c r="B11" s="25" t="s">
        <v>92</v>
      </c>
      <c r="C11" s="101">
        <f>3849+425917</f>
        <v>429766</v>
      </c>
      <c r="D11" s="3" t="s">
        <v>93</v>
      </c>
      <c r="E11" s="25"/>
      <c r="F11" s="101">
        <v>-17955</v>
      </c>
      <c r="G11" s="21">
        <f>P12</f>
        <v>-1710</v>
      </c>
      <c r="H11" s="21">
        <f t="shared" si="0"/>
        <v>-19665</v>
      </c>
      <c r="I11" s="25"/>
      <c r="J11" s="6">
        <f t="shared" si="1"/>
        <v>410101</v>
      </c>
      <c r="K11" s="25"/>
      <c r="L11" s="25"/>
      <c r="M11" s="25"/>
      <c r="N11" s="25"/>
      <c r="O11" s="24">
        <v>0</v>
      </c>
      <c r="P11" s="6">
        <f>IF(D$5=1,-0.5*O11*C11,-O11*C11)</f>
        <v>0</v>
      </c>
      <c r="Q11" s="25"/>
      <c r="R11" s="25"/>
    </row>
    <row r="12" spans="1:18">
      <c r="A12" s="25"/>
      <c r="B12" s="25"/>
      <c r="C12" s="18">
        <f>SUM(C6:C11)</f>
        <v>1730104</v>
      </c>
      <c r="D12" s="18"/>
      <c r="E12" s="25"/>
      <c r="F12" s="100">
        <f>SUM(F5:F11)</f>
        <v>-417585</v>
      </c>
      <c r="G12" s="18">
        <f>SUM(G5:G11)</f>
        <v>-39770</v>
      </c>
      <c r="H12" s="18">
        <f>SUM(H5:H11)</f>
        <v>-457355</v>
      </c>
      <c r="I12" s="25"/>
      <c r="J12" s="5">
        <f>SUM(J6:J11)</f>
        <v>1272749</v>
      </c>
      <c r="K12" s="25"/>
      <c r="L12" s="25"/>
      <c r="M12" s="25"/>
      <c r="N12" s="25"/>
      <c r="O12" s="5"/>
      <c r="P12" s="17">
        <f>SUM(P5:P11)</f>
        <v>-1710</v>
      </c>
      <c r="Q12" s="25"/>
      <c r="R12" s="25"/>
    </row>
    <row r="13" spans="1:18" ht="14.25" customHeight="1">
      <c r="A13" s="25"/>
      <c r="B13" s="25"/>
      <c r="C13" s="18"/>
      <c r="D13" s="18"/>
      <c r="E13" s="18"/>
      <c r="F13" s="18"/>
      <c r="G13" s="25"/>
      <c r="H13" s="25"/>
      <c r="I13" s="25"/>
      <c r="J13" s="25"/>
      <c r="K13" s="25"/>
      <c r="L13" s="25"/>
      <c r="M13" s="16"/>
      <c r="N13" s="20"/>
      <c r="O13" s="25"/>
      <c r="P13" s="25"/>
      <c r="Q13" s="25"/>
      <c r="R13" s="25"/>
    </row>
    <row r="14" spans="1:18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6"/>
      <c r="N14" s="20"/>
      <c r="O14" s="25"/>
      <c r="P14" s="25"/>
      <c r="Q14" s="25"/>
      <c r="R14" s="25"/>
    </row>
    <row r="15" spans="1:18" s="27" customFormat="1">
      <c r="A15" s="84"/>
      <c r="B15" s="84"/>
      <c r="C15" s="84"/>
      <c r="D15" s="95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18" s="27" customFormat="1">
      <c r="A16" s="84"/>
      <c r="B16" s="84"/>
      <c r="C16" s="93"/>
      <c r="D16" s="95" t="s">
        <v>94</v>
      </c>
      <c r="E16" s="93"/>
      <c r="F16" s="93"/>
      <c r="G16" s="48">
        <v>1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12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 t="shared" ref="C19:C24" si="2">C6</f>
        <v>828951</v>
      </c>
      <c r="D19" s="51">
        <v>0.71</v>
      </c>
      <c r="E19" s="87">
        <f>C19*-D19</f>
        <v>-588555.21</v>
      </c>
      <c r="F19" s="52">
        <f>C19+E19</f>
        <v>240395.79000000004</v>
      </c>
      <c r="G19" s="52">
        <f>F19*-$G$16</f>
        <v>-240395.79000000004</v>
      </c>
      <c r="H19" s="53">
        <f t="shared" ref="H19:H24" si="3">F19+G19</f>
        <v>0</v>
      </c>
      <c r="I19" s="84"/>
      <c r="J19" s="84">
        <v>15</v>
      </c>
      <c r="K19" s="54">
        <f>IFERROR(VLOOKUP(J19,'Tax Rates'!$A$1:$AA$12,$K$18+1,FALSE),0)</f>
        <v>5.9049999999999998E-2</v>
      </c>
      <c r="L19" s="102">
        <v>-828951</v>
      </c>
      <c r="M19" s="52">
        <v>0</v>
      </c>
      <c r="N19" s="52">
        <v>0</v>
      </c>
      <c r="O19" s="87">
        <f>ROUND(K19*-H19,0)</f>
        <v>0</v>
      </c>
      <c r="P19" s="55">
        <f t="shared" ref="P19:P24" si="4">SUM(L19:O19)</f>
        <v>-828951</v>
      </c>
      <c r="Q19" s="84"/>
      <c r="R19" s="52">
        <f>C19+P19</f>
        <v>0</v>
      </c>
    </row>
    <row r="20" spans="1:18" s="27" customFormat="1">
      <c r="A20" s="84">
        <v>8</v>
      </c>
      <c r="B20" s="84" t="s">
        <v>88</v>
      </c>
      <c r="C20" s="33">
        <f t="shared" si="2"/>
        <v>88312</v>
      </c>
      <c r="D20" s="56">
        <f>-E20/C20</f>
        <v>0.93963447776066678</v>
      </c>
      <c r="E20" s="34">
        <f>-21362-61619</f>
        <v>-82981</v>
      </c>
      <c r="F20" s="52">
        <f>C20+E20</f>
        <v>5331</v>
      </c>
      <c r="G20" s="52">
        <f>F20*-$G$16</f>
        <v>-5331</v>
      </c>
      <c r="H20" s="53">
        <f t="shared" si="3"/>
        <v>0</v>
      </c>
      <c r="I20" s="84"/>
      <c r="J20" s="84">
        <v>15</v>
      </c>
      <c r="K20" s="54">
        <f>IFERROR(VLOOKUP(J20,'Tax Rates'!$A$1:$AA$12,$K$18+1,FALSE),0)</f>
        <v>5.9049999999999998E-2</v>
      </c>
      <c r="L20" s="102">
        <v>-88312</v>
      </c>
      <c r="M20" s="52">
        <v>0</v>
      </c>
      <c r="N20" s="52">
        <v>0</v>
      </c>
      <c r="O20" s="87">
        <f>ROUND(K20*-H20,0)</f>
        <v>0</v>
      </c>
      <c r="P20" s="55">
        <f t="shared" si="4"/>
        <v>-88312</v>
      </c>
      <c r="Q20" s="84"/>
      <c r="R20" s="52">
        <f>C20+P20</f>
        <v>0</v>
      </c>
    </row>
    <row r="21" spans="1:18" s="27" customFormat="1">
      <c r="A21" s="84">
        <v>9</v>
      </c>
      <c r="B21" s="84" t="s">
        <v>89</v>
      </c>
      <c r="C21" s="33">
        <f t="shared" si="2"/>
        <v>383075</v>
      </c>
      <c r="D21" s="51">
        <v>1</v>
      </c>
      <c r="E21" s="87">
        <f>C21*-D21</f>
        <v>-383075</v>
      </c>
      <c r="F21" s="52">
        <f>C21+E21</f>
        <v>0</v>
      </c>
      <c r="G21" s="52">
        <f>F21*-$G$16</f>
        <v>0</v>
      </c>
      <c r="H21" s="53">
        <f t="shared" si="3"/>
        <v>0</v>
      </c>
      <c r="I21" s="84"/>
      <c r="J21" s="84">
        <v>20</v>
      </c>
      <c r="K21" s="54">
        <f>IFERROR(VLOOKUP(J21,'Tax Rates'!$A$1:$AA$12,$K$18+1,FALSE),0)</f>
        <v>4.4610000000000004E-2</v>
      </c>
      <c r="L21" s="102">
        <v>-383075</v>
      </c>
      <c r="M21" s="52">
        <v>0</v>
      </c>
      <c r="N21" s="52">
        <v>0</v>
      </c>
      <c r="O21" s="87">
        <f>ROUND(K21*-H21,0)</f>
        <v>0</v>
      </c>
      <c r="P21" s="55">
        <f t="shared" si="4"/>
        <v>-383075</v>
      </c>
      <c r="Q21" s="84"/>
      <c r="R21" s="52">
        <f>C21+P21</f>
        <v>0</v>
      </c>
    </row>
    <row r="22" spans="1:18" s="27" customFormat="1">
      <c r="A22" s="84">
        <v>10</v>
      </c>
      <c r="B22" s="84" t="s">
        <v>90</v>
      </c>
      <c r="C22" s="33">
        <f t="shared" si="2"/>
        <v>0</v>
      </c>
      <c r="D22" s="51">
        <v>0</v>
      </c>
      <c r="E22" s="87">
        <f>C22*-D22</f>
        <v>0</v>
      </c>
      <c r="F22" s="52">
        <f>C22+E22</f>
        <v>0</v>
      </c>
      <c r="G22" s="52">
        <f>F22*-$G$16</f>
        <v>0</v>
      </c>
      <c r="H22" s="53">
        <f t="shared" si="3"/>
        <v>0</v>
      </c>
      <c r="I22" s="84"/>
      <c r="J22" s="84">
        <v>7</v>
      </c>
      <c r="K22" s="54">
        <f>IFERROR(VLOOKUP(J22,'Tax Rates'!$A$1:$AA$12,$K$18+1,FALSE),0)</f>
        <v>0</v>
      </c>
      <c r="L22" s="102">
        <v>0</v>
      </c>
      <c r="M22" s="52">
        <f>E22</f>
        <v>0</v>
      </c>
      <c r="N22" s="52">
        <v>0</v>
      </c>
      <c r="O22" s="87">
        <f>ROUND(K22*-H22,0)</f>
        <v>0</v>
      </c>
      <c r="P22" s="55">
        <f t="shared" si="4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33">
        <f t="shared" si="2"/>
        <v>0</v>
      </c>
      <c r="D23" s="51">
        <v>0</v>
      </c>
      <c r="E23" s="87">
        <f>C23*-D23</f>
        <v>0</v>
      </c>
      <c r="F23" s="52">
        <f>C23+E23</f>
        <v>0</v>
      </c>
      <c r="G23" s="52">
        <f>F23*-$G$16</f>
        <v>0</v>
      </c>
      <c r="H23" s="53">
        <f t="shared" si="3"/>
        <v>0</v>
      </c>
      <c r="I23" s="84"/>
      <c r="J23" s="84">
        <v>15</v>
      </c>
      <c r="K23" s="54">
        <f>IFERROR(VLOOKUP(J23,'Tax Rates'!$A$1:$AA$12,$K$18+1,FALSE),0)</f>
        <v>5.9049999999999998E-2</v>
      </c>
      <c r="L23" s="102">
        <v>0</v>
      </c>
      <c r="M23" s="52">
        <f>E23</f>
        <v>0</v>
      </c>
      <c r="N23" s="52">
        <v>0</v>
      </c>
      <c r="O23" s="87">
        <f>ROUND(K23*-H23,0)</f>
        <v>0</v>
      </c>
      <c r="P23" s="55">
        <f t="shared" si="4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8">
        <f t="shared" si="2"/>
        <v>429766</v>
      </c>
      <c r="D24" s="58" t="s">
        <v>105</v>
      </c>
      <c r="E24" s="88">
        <v>0</v>
      </c>
      <c r="F24" s="59">
        <v>0</v>
      </c>
      <c r="G24" s="59">
        <v>0</v>
      </c>
      <c r="H24" s="60">
        <f t="shared" si="3"/>
        <v>0</v>
      </c>
      <c r="I24" s="84"/>
      <c r="J24" s="61" t="s">
        <v>105</v>
      </c>
      <c r="K24" s="62" t="s">
        <v>105</v>
      </c>
      <c r="L24" s="103">
        <v>0</v>
      </c>
      <c r="M24" s="59">
        <f>E24</f>
        <v>0</v>
      </c>
      <c r="N24" s="63">
        <f>G24</f>
        <v>0</v>
      </c>
      <c r="O24" s="88">
        <v>0</v>
      </c>
      <c r="P24" s="64">
        <f t="shared" si="4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1730104</v>
      </c>
      <c r="D25" s="84"/>
      <c r="E25" s="87">
        <f>SUM(E19:E24)</f>
        <v>-1054611.21</v>
      </c>
      <c r="F25" s="87">
        <f>SUM(F19:F24)</f>
        <v>245726.79000000004</v>
      </c>
      <c r="G25" s="87">
        <f>SUM(G19:G24)</f>
        <v>-245726.79000000004</v>
      </c>
      <c r="H25" s="55">
        <f>SUM(H19:H24)</f>
        <v>0</v>
      </c>
      <c r="I25" s="84"/>
      <c r="J25" s="84"/>
      <c r="K25" s="84"/>
      <c r="L25" s="55">
        <f>SUM(L19:L24)</f>
        <v>-1300338</v>
      </c>
      <c r="M25" s="87">
        <f>SUM(M19:M24)</f>
        <v>0</v>
      </c>
      <c r="N25" s="87">
        <f>SUM(N19:N24)</f>
        <v>0</v>
      </c>
      <c r="O25" s="87">
        <f>SUM(O19:O24)</f>
        <v>0</v>
      </c>
      <c r="P25" s="55">
        <f>SUM(P19:P24)</f>
        <v>-1300338</v>
      </c>
      <c r="Q25" s="84"/>
      <c r="R25" s="52">
        <f>SUM(R19:R24)</f>
        <v>0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84"/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 t="shared" ref="D31:D36" si="5">J6</f>
        <v>533435</v>
      </c>
      <c r="E31" s="52">
        <f t="shared" ref="E31:E36" si="6">R19</f>
        <v>0</v>
      </c>
      <c r="F31" s="52">
        <f>E31-D31</f>
        <v>-533435</v>
      </c>
      <c r="G31" s="68">
        <v>0.37959999999999999</v>
      </c>
      <c r="H31" s="52">
        <f t="shared" ref="H31:H36" si="7">F31*0.3796</f>
        <v>-202491.92600000001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7">
        <f t="shared" si="5"/>
        <v>64645</v>
      </c>
      <c r="E32" s="52">
        <f t="shared" si="6"/>
        <v>0</v>
      </c>
      <c r="F32" s="52">
        <f>E32-D32</f>
        <v>-64645</v>
      </c>
      <c r="G32" s="67">
        <f>G31</f>
        <v>0.37959999999999999</v>
      </c>
      <c r="H32" s="52">
        <f t="shared" si="7"/>
        <v>-24539.241999999998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8" s="27" customFormat="1">
      <c r="A33" s="84">
        <v>15</v>
      </c>
      <c r="B33" s="84" t="s">
        <v>89</v>
      </c>
      <c r="C33" s="84"/>
      <c r="D33" s="57">
        <f t="shared" si="5"/>
        <v>264568</v>
      </c>
      <c r="E33" s="52">
        <f t="shared" si="6"/>
        <v>0</v>
      </c>
      <c r="F33" s="52">
        <f>E33-D33</f>
        <v>-264568</v>
      </c>
      <c r="G33" s="67">
        <f>G31</f>
        <v>0.37959999999999999</v>
      </c>
      <c r="H33" s="52">
        <f t="shared" si="7"/>
        <v>-100430.0128</v>
      </c>
    </row>
    <row r="34" spans="1:8" s="27" customFormat="1">
      <c r="A34" s="84">
        <v>16</v>
      </c>
      <c r="B34" s="84" t="s">
        <v>90</v>
      </c>
      <c r="C34" s="84"/>
      <c r="D34" s="57">
        <f t="shared" si="5"/>
        <v>0</v>
      </c>
      <c r="E34" s="52">
        <f t="shared" si="6"/>
        <v>0</v>
      </c>
      <c r="F34" s="52">
        <f>E34-D34</f>
        <v>0</v>
      </c>
      <c r="G34" s="67">
        <f>G31</f>
        <v>0.37959999999999999</v>
      </c>
      <c r="H34" s="52">
        <f t="shared" si="7"/>
        <v>0</v>
      </c>
    </row>
    <row r="35" spans="1:8" s="27" customFormat="1">
      <c r="A35" s="84">
        <v>17</v>
      </c>
      <c r="B35" s="84" t="s">
        <v>91</v>
      </c>
      <c r="C35" s="84"/>
      <c r="D35" s="57">
        <f t="shared" si="5"/>
        <v>0</v>
      </c>
      <c r="E35" s="52">
        <f t="shared" si="6"/>
        <v>0</v>
      </c>
      <c r="F35" s="52">
        <f>E35-D35</f>
        <v>0</v>
      </c>
      <c r="G35" s="67">
        <f>G31</f>
        <v>0.37959999999999999</v>
      </c>
      <c r="H35" s="52">
        <f t="shared" si="7"/>
        <v>0</v>
      </c>
    </row>
    <row r="36" spans="1:8" s="27" customFormat="1">
      <c r="A36" s="84">
        <v>18</v>
      </c>
      <c r="B36" s="84" t="s">
        <v>92</v>
      </c>
      <c r="C36" s="84"/>
      <c r="D36" s="59">
        <f t="shared" si="5"/>
        <v>410101</v>
      </c>
      <c r="E36" s="65" t="str">
        <f t="shared" si="6"/>
        <v>NA</v>
      </c>
      <c r="F36" s="59">
        <f>-D36</f>
        <v>-410101</v>
      </c>
      <c r="G36" s="69">
        <f>G31</f>
        <v>0.37959999999999999</v>
      </c>
      <c r="H36" s="59">
        <f t="shared" si="7"/>
        <v>-155674.33960000001</v>
      </c>
    </row>
    <row r="37" spans="1:8" s="27" customFormat="1">
      <c r="A37" s="84"/>
      <c r="B37" s="84"/>
      <c r="C37" s="84"/>
      <c r="D37" s="52">
        <f>SUM(D31:D36)</f>
        <v>1272749</v>
      </c>
      <c r="E37" s="52">
        <f>SUM(E31:E36)</f>
        <v>0</v>
      </c>
      <c r="F37" s="52">
        <f>SUM(F31:F36)</f>
        <v>-1272749</v>
      </c>
      <c r="G37" s="84"/>
      <c r="H37" s="52">
        <f>SUM(H31:H36)</f>
        <v>-483135.52039999998</v>
      </c>
    </row>
    <row r="39" spans="1:8">
      <c r="A39" s="15" t="s">
        <v>73</v>
      </c>
      <c r="B39" s="25" t="s">
        <v>112</v>
      </c>
      <c r="C39" s="25"/>
      <c r="D39" s="25"/>
      <c r="E39" s="25"/>
      <c r="F39" s="25"/>
      <c r="G39" s="25"/>
      <c r="H39" s="25"/>
    </row>
    <row r="40" spans="1:8">
      <c r="A40" s="15"/>
      <c r="B40" s="25"/>
      <c r="C40" s="25"/>
      <c r="D40" s="25"/>
      <c r="E40" s="25"/>
      <c r="F40" s="25"/>
      <c r="G40" s="25"/>
      <c r="H40" s="25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40"/>
  <sheetViews>
    <sheetView view="pageBreakPreview" topLeftCell="A13" zoomScaleNormal="100" zoomScaleSheetLayoutView="100" workbookViewId="0">
      <selection activeCell="E44" sqref="E44"/>
    </sheetView>
  </sheetViews>
  <sheetFormatPr defaultColWidth="9.140625" defaultRowHeight="15"/>
  <cols>
    <col min="1" max="1" width="14.42578125" style="4" customWidth="1"/>
    <col min="2" max="2" width="18.5703125" style="4" bestFit="1" customWidth="1"/>
    <col min="3" max="4" width="12.7109375" style="4" customWidth="1"/>
    <col min="5" max="5" width="11.28515625" style="4" bestFit="1" customWidth="1"/>
    <col min="6" max="6" width="12.7109375" style="4" customWidth="1"/>
    <col min="7" max="7" width="12.42578125" style="4" bestFit="1" customWidth="1"/>
    <col min="8" max="8" width="13.140625" style="4" bestFit="1" customWidth="1"/>
    <col min="9" max="9" width="2.7109375" style="4" customWidth="1"/>
    <col min="10" max="10" width="10.7109375" style="4" customWidth="1"/>
    <col min="11" max="11" width="8.140625" style="4" bestFit="1" customWidth="1"/>
    <col min="12" max="12" width="12.7109375" style="4" customWidth="1"/>
    <col min="13" max="14" width="11.28515625" style="4" bestFit="1" customWidth="1"/>
    <col min="15" max="15" width="8.42578125" style="4" bestFit="1" customWidth="1"/>
    <col min="16" max="16" width="11.28515625" style="4" bestFit="1" customWidth="1"/>
    <col min="17" max="17" width="2.7109375" style="4" customWidth="1"/>
    <col min="18" max="18" width="13.7109375" style="4" bestFit="1" customWidth="1"/>
    <col min="19" max="19" width="7.7109375" style="4" bestFit="1" customWidth="1"/>
    <col min="20" max="20" width="7.42578125" style="4" bestFit="1" customWidth="1"/>
    <col min="21" max="16384" width="9.140625" style="4"/>
  </cols>
  <sheetData>
    <row r="1" spans="1:18">
      <c r="A1" s="22" t="s">
        <v>70</v>
      </c>
      <c r="B1" s="7">
        <v>2012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2" t="s">
        <v>72</v>
      </c>
      <c r="B2" s="25"/>
      <c r="C2" s="25"/>
      <c r="D2" s="14" t="s">
        <v>73</v>
      </c>
      <c r="E2" s="25"/>
      <c r="F2" s="125" t="s">
        <v>75</v>
      </c>
      <c r="G2" s="125"/>
      <c r="H2" s="1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A3" s="25"/>
      <c r="B3" s="25"/>
      <c r="C3" s="25"/>
      <c r="D3" s="16" t="s">
        <v>74</v>
      </c>
      <c r="E3" s="25"/>
      <c r="F3" s="20"/>
      <c r="G3" s="14" t="s">
        <v>73</v>
      </c>
      <c r="H3" s="20"/>
      <c r="I3" s="25"/>
      <c r="J3" s="23" t="s">
        <v>76</v>
      </c>
      <c r="K3" s="25"/>
      <c r="L3" s="25"/>
      <c r="M3" s="25"/>
      <c r="N3" s="25"/>
      <c r="O3" s="25"/>
      <c r="P3" s="25"/>
      <c r="Q3" s="25"/>
      <c r="R3" s="25"/>
    </row>
    <row r="4" spans="1:18">
      <c r="A4" s="25"/>
      <c r="B4" s="25"/>
      <c r="C4" s="16">
        <v>2012</v>
      </c>
      <c r="D4" s="16" t="s">
        <v>77</v>
      </c>
      <c r="E4" s="25"/>
      <c r="F4" s="16"/>
      <c r="G4" s="16" t="s">
        <v>78</v>
      </c>
      <c r="H4" s="16"/>
      <c r="I4" s="25"/>
      <c r="J4" s="16" t="s">
        <v>79</v>
      </c>
      <c r="K4" s="25"/>
      <c r="L4" s="25"/>
      <c r="M4" s="25"/>
      <c r="N4" s="25"/>
      <c r="O4" s="16" t="s">
        <v>80</v>
      </c>
      <c r="P4" s="16" t="s">
        <v>80</v>
      </c>
      <c r="Q4" s="25"/>
      <c r="R4" s="25"/>
    </row>
    <row r="5" spans="1:18">
      <c r="A5" s="25"/>
      <c r="B5" s="25"/>
      <c r="C5" s="123" t="s">
        <v>81</v>
      </c>
      <c r="D5" s="10">
        <v>11</v>
      </c>
      <c r="E5" s="25"/>
      <c r="F5" s="123" t="s">
        <v>82</v>
      </c>
      <c r="G5" s="123" t="s">
        <v>83</v>
      </c>
      <c r="H5" s="123" t="s">
        <v>84</v>
      </c>
      <c r="I5" s="25"/>
      <c r="J5" s="123" t="s">
        <v>85</v>
      </c>
      <c r="K5" s="25"/>
      <c r="L5" s="25"/>
      <c r="M5" s="25"/>
      <c r="N5" s="25"/>
      <c r="O5" s="123" t="s">
        <v>65</v>
      </c>
      <c r="P5" s="123" t="s">
        <v>86</v>
      </c>
      <c r="Q5" s="25"/>
      <c r="R5" s="25"/>
    </row>
    <row r="6" spans="1:18">
      <c r="A6" s="25">
        <v>1</v>
      </c>
      <c r="B6" s="25" t="s">
        <v>87</v>
      </c>
      <c r="C6" s="100">
        <f>1546783+617748</f>
        <v>2164531</v>
      </c>
      <c r="D6" s="2">
        <v>3.1E-2</v>
      </c>
      <c r="E6" s="25"/>
      <c r="F6" s="100">
        <v>-637450</v>
      </c>
      <c r="G6" s="18">
        <f>ROUND(IF(D$5=1,-0.5*D6*C6,-D6*C6),0)</f>
        <v>-67100</v>
      </c>
      <c r="H6" s="18">
        <f t="shared" ref="H6:H11" si="0">SUM(F6:G6)</f>
        <v>-704550</v>
      </c>
      <c r="I6" s="25"/>
      <c r="J6" s="5">
        <f t="shared" ref="J6:J11" si="1">C6+H6</f>
        <v>1459981</v>
      </c>
      <c r="K6" s="25"/>
      <c r="L6" s="25"/>
      <c r="M6" s="25"/>
      <c r="N6" s="25"/>
      <c r="O6" s="11">
        <v>1E-4</v>
      </c>
      <c r="P6" s="17">
        <f>ROUND(IF(D$5=1,-0.5*O6*C6,-O6*C6),0)</f>
        <v>-216</v>
      </c>
      <c r="Q6" s="25"/>
      <c r="R6" s="25"/>
    </row>
    <row r="7" spans="1:18">
      <c r="A7" s="25">
        <v>2</v>
      </c>
      <c r="B7" s="25" t="s">
        <v>88</v>
      </c>
      <c r="C7" s="100">
        <v>31604</v>
      </c>
      <c r="D7" s="2">
        <v>2.3300000000000001E-2</v>
      </c>
      <c r="E7" s="25"/>
      <c r="F7" s="100">
        <v>-6992</v>
      </c>
      <c r="G7" s="18">
        <f>ROUND(IF(D$5=1,-0.5*D7*C7,-D7*C7),0)</f>
        <v>-736</v>
      </c>
      <c r="H7" s="18">
        <f t="shared" si="0"/>
        <v>-7728</v>
      </c>
      <c r="I7" s="25"/>
      <c r="J7" s="5">
        <f t="shared" si="1"/>
        <v>23876</v>
      </c>
      <c r="K7" s="25"/>
      <c r="L7" s="25"/>
      <c r="M7" s="25"/>
      <c r="N7" s="25"/>
      <c r="O7" s="11">
        <v>2.0000000000000001E-4</v>
      </c>
      <c r="P7" s="5">
        <f>ROUND(IF(D$5=1,-0.5*O7*C7,-O7*C7),0)</f>
        <v>-6</v>
      </c>
      <c r="Q7" s="25"/>
      <c r="R7" s="25"/>
    </row>
    <row r="8" spans="1:18">
      <c r="A8" s="25">
        <v>3</v>
      </c>
      <c r="B8" s="25" t="s">
        <v>89</v>
      </c>
      <c r="C8" s="100">
        <f>306201+425927</f>
        <v>732128</v>
      </c>
      <c r="D8" s="2">
        <v>2.69E-2</v>
      </c>
      <c r="E8" s="25"/>
      <c r="F8" s="100">
        <v>-187093</v>
      </c>
      <c r="G8" s="18">
        <f>ROUND(IF(D$5=1,-0.5*D8*C8,-D8*C8),0)</f>
        <v>-19694</v>
      </c>
      <c r="H8" s="18">
        <f t="shared" si="0"/>
        <v>-206787</v>
      </c>
      <c r="I8" s="25"/>
      <c r="J8" s="5">
        <f t="shared" si="1"/>
        <v>525341</v>
      </c>
      <c r="K8" s="25"/>
      <c r="L8" s="25"/>
      <c r="M8" s="25"/>
      <c r="N8" s="25"/>
      <c r="O8" s="11">
        <v>4.1999999999999997E-3</v>
      </c>
      <c r="P8" s="5">
        <f>ROUND(IF(D$5=1,-0.5*O8*C8,-O8*C8),0)</f>
        <v>-3075</v>
      </c>
      <c r="Q8" s="25"/>
      <c r="R8" s="25"/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E9" s="25"/>
      <c r="F9" s="100">
        <v>0</v>
      </c>
      <c r="G9" s="18">
        <f>ROUND(IF(D$5=1,-0.5*D9*C9,-D9*C9),0)</f>
        <v>0</v>
      </c>
      <c r="H9" s="18">
        <f t="shared" si="0"/>
        <v>0</v>
      </c>
      <c r="I9" s="25"/>
      <c r="J9" s="5">
        <f t="shared" si="1"/>
        <v>0</v>
      </c>
      <c r="K9" s="25"/>
      <c r="L9" s="25"/>
      <c r="M9" s="25"/>
      <c r="N9" s="25"/>
      <c r="O9" s="11">
        <v>0</v>
      </c>
      <c r="P9" s="5">
        <f>IF(D$5=1,-0.5*O9*C9,-O9*C9)</f>
        <v>0</v>
      </c>
      <c r="Q9" s="25"/>
      <c r="R9" s="25"/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E10" s="25"/>
      <c r="F10" s="100">
        <v>0</v>
      </c>
      <c r="G10" s="18">
        <f>ROUND(IF(D$5=1,-0.5*D10*C10,-D10*C10),0)</f>
        <v>0</v>
      </c>
      <c r="H10" s="18">
        <f t="shared" si="0"/>
        <v>0</v>
      </c>
      <c r="I10" s="25"/>
      <c r="J10" s="5">
        <f t="shared" si="1"/>
        <v>0</v>
      </c>
      <c r="K10" s="25"/>
      <c r="L10" s="25"/>
      <c r="M10" s="25"/>
      <c r="N10" s="25"/>
      <c r="O10" s="11">
        <v>0</v>
      </c>
      <c r="P10" s="5">
        <f>IF(D$5=1,-0.5*O10*C10,-O10*C10)</f>
        <v>0</v>
      </c>
      <c r="Q10" s="25"/>
      <c r="R10" s="25"/>
    </row>
    <row r="11" spans="1:18">
      <c r="A11" s="25">
        <v>6</v>
      </c>
      <c r="B11" s="25" t="s">
        <v>92</v>
      </c>
      <c r="C11" s="101">
        <v>868008</v>
      </c>
      <c r="D11" s="3" t="s">
        <v>93</v>
      </c>
      <c r="E11" s="25"/>
      <c r="F11" s="101">
        <v>-31321</v>
      </c>
      <c r="G11" s="21">
        <f>P12</f>
        <v>-3297</v>
      </c>
      <c r="H11" s="21">
        <f t="shared" si="0"/>
        <v>-34618</v>
      </c>
      <c r="I11" s="25"/>
      <c r="J11" s="6">
        <f t="shared" si="1"/>
        <v>833390</v>
      </c>
      <c r="K11" s="25"/>
      <c r="L11" s="25"/>
      <c r="M11" s="25"/>
      <c r="N11" s="25"/>
      <c r="O11" s="24">
        <v>0</v>
      </c>
      <c r="P11" s="6">
        <f>IF(D$5=1,-0.5*O11*C11,-O11*C11)</f>
        <v>0</v>
      </c>
      <c r="Q11" s="25"/>
      <c r="R11" s="25"/>
    </row>
    <row r="12" spans="1:18">
      <c r="A12" s="25"/>
      <c r="B12" s="25"/>
      <c r="C12" s="18">
        <f>SUM(C6:C11)</f>
        <v>3796271</v>
      </c>
      <c r="D12" s="18"/>
      <c r="E12" s="25"/>
      <c r="F12" s="100">
        <f>SUM(F5:F11)</f>
        <v>-862856</v>
      </c>
      <c r="G12" s="18">
        <f>SUM(G5:G11)</f>
        <v>-90827</v>
      </c>
      <c r="H12" s="18">
        <f>SUM(H5:H11)</f>
        <v>-953683</v>
      </c>
      <c r="I12" s="25"/>
      <c r="J12" s="5">
        <f>SUM(J6:J11)</f>
        <v>2842588</v>
      </c>
      <c r="K12" s="25"/>
      <c r="L12" s="25"/>
      <c r="M12" s="25"/>
      <c r="N12" s="25"/>
      <c r="O12" s="5"/>
      <c r="P12" s="17">
        <f>SUM(P5:P11)</f>
        <v>-3297</v>
      </c>
      <c r="Q12" s="25"/>
      <c r="R12" s="25"/>
    </row>
    <row r="13" spans="1:18" ht="14.25" customHeight="1">
      <c r="A13" s="25"/>
      <c r="B13" s="25"/>
      <c r="C13" s="18"/>
      <c r="D13" s="18"/>
      <c r="E13" s="18"/>
      <c r="F13" s="18"/>
      <c r="G13" s="25"/>
      <c r="H13" s="25"/>
      <c r="I13" s="25"/>
      <c r="J13" s="25"/>
      <c r="K13" s="25"/>
      <c r="L13" s="25"/>
      <c r="M13" s="16"/>
      <c r="N13" s="20"/>
      <c r="O13" s="25"/>
      <c r="P13" s="25"/>
      <c r="Q13" s="25"/>
      <c r="R13" s="25"/>
    </row>
    <row r="14" spans="1:18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6"/>
      <c r="N14" s="20"/>
      <c r="O14" s="25"/>
      <c r="P14" s="25"/>
      <c r="Q14" s="25"/>
      <c r="R14" s="25"/>
    </row>
    <row r="15" spans="1:18">
      <c r="A15" s="25"/>
      <c r="B15" s="25"/>
      <c r="C15" s="25"/>
      <c r="D15" s="1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s="27" customFormat="1">
      <c r="A16" s="84"/>
      <c r="B16" s="84"/>
      <c r="C16" s="93"/>
      <c r="D16" s="95" t="s">
        <v>94</v>
      </c>
      <c r="E16" s="93"/>
      <c r="F16" s="93"/>
      <c r="G16" s="48">
        <v>0.5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11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 t="shared" ref="C19:C24" si="2">C6</f>
        <v>2164531</v>
      </c>
      <c r="D19" s="51">
        <v>0.93</v>
      </c>
      <c r="E19" s="87">
        <f>ROUND(C19*-D19,0)</f>
        <v>-2013014</v>
      </c>
      <c r="F19" s="52">
        <f>C19+E19</f>
        <v>151517</v>
      </c>
      <c r="G19" s="52">
        <f t="shared" ref="G19:G24" si="3">ROUND(F19*-$G$16,0)</f>
        <v>-75759</v>
      </c>
      <c r="H19" s="53">
        <f t="shared" ref="H19:H24" si="4">F19+G19</f>
        <v>75758</v>
      </c>
      <c r="I19" s="84"/>
      <c r="J19" s="84">
        <v>15</v>
      </c>
      <c r="K19" s="54">
        <f>IFERROR(VLOOKUP(J19,'Tax Rates'!$A$1:$AA$12,$K$18+1,FALSE),0)</f>
        <v>5.9049999999999998E-2</v>
      </c>
      <c r="L19" s="102">
        <v>-2139929</v>
      </c>
      <c r="M19" s="52">
        <v>0</v>
      </c>
      <c r="N19" s="52">
        <v>0</v>
      </c>
      <c r="O19" s="87">
        <f>ROUND(K19*-H19,0)</f>
        <v>-4474</v>
      </c>
      <c r="P19" s="55">
        <f t="shared" ref="P19:P24" si="5">SUM(L19:O19)</f>
        <v>-2144403</v>
      </c>
      <c r="Q19" s="84"/>
      <c r="R19" s="52">
        <f>C19+P19</f>
        <v>20128</v>
      </c>
    </row>
    <row r="20" spans="1:18" s="27" customFormat="1">
      <c r="A20" s="84">
        <v>8</v>
      </c>
      <c r="B20" s="84" t="s">
        <v>88</v>
      </c>
      <c r="C20" s="33">
        <f t="shared" si="2"/>
        <v>31604</v>
      </c>
      <c r="D20" s="56">
        <v>1.3162890773319801E-2</v>
      </c>
      <c r="E20" s="87">
        <f>ROUND(C20*-D20,0)</f>
        <v>-416</v>
      </c>
      <c r="F20" s="52">
        <f>C20+E20</f>
        <v>31188</v>
      </c>
      <c r="G20" s="52">
        <f t="shared" si="3"/>
        <v>-15594</v>
      </c>
      <c r="H20" s="53">
        <f t="shared" si="4"/>
        <v>15594</v>
      </c>
      <c r="I20" s="84"/>
      <c r="J20" s="84">
        <v>15</v>
      </c>
      <c r="K20" s="54">
        <f>IFERROR(VLOOKUP(J20,'Tax Rates'!$A$1:$AA$12,$K$18+1,FALSE),0)</f>
        <v>5.9049999999999998E-2</v>
      </c>
      <c r="L20" s="102">
        <v>-26540</v>
      </c>
      <c r="M20" s="52">
        <v>0</v>
      </c>
      <c r="N20" s="52">
        <v>0</v>
      </c>
      <c r="O20" s="87">
        <f>ROUND(K20*-H20,0)</f>
        <v>-921</v>
      </c>
      <c r="P20" s="55">
        <f t="shared" si="5"/>
        <v>-27461</v>
      </c>
      <c r="Q20" s="84"/>
      <c r="R20" s="52">
        <f>C20+P20</f>
        <v>4143</v>
      </c>
    </row>
    <row r="21" spans="1:18" s="27" customFormat="1">
      <c r="A21" s="84">
        <v>9</v>
      </c>
      <c r="B21" s="84" t="s">
        <v>89</v>
      </c>
      <c r="C21" s="33">
        <f t="shared" si="2"/>
        <v>732128</v>
      </c>
      <c r="D21" s="51">
        <v>1</v>
      </c>
      <c r="E21" s="87">
        <f>ROUND(C21*-D21,0)</f>
        <v>-732128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4.462E-2</v>
      </c>
      <c r="L21" s="102">
        <v>-732128</v>
      </c>
      <c r="M21" s="52">
        <v>0</v>
      </c>
      <c r="N21" s="52">
        <f>G21</f>
        <v>0</v>
      </c>
      <c r="O21" s="87">
        <f>ROUND(K21*-H21,0)</f>
        <v>0</v>
      </c>
      <c r="P21" s="55">
        <f t="shared" si="5"/>
        <v>-732128</v>
      </c>
      <c r="Q21" s="84"/>
      <c r="R21" s="52">
        <f>C21+P21</f>
        <v>0</v>
      </c>
    </row>
    <row r="22" spans="1:18" s="27" customFormat="1">
      <c r="A22" s="84">
        <v>10</v>
      </c>
      <c r="B22" s="84" t="s">
        <v>90</v>
      </c>
      <c r="C22" s="33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0</v>
      </c>
      <c r="L22" s="102">
        <v>0</v>
      </c>
      <c r="M22" s="52">
        <f>E22</f>
        <v>0</v>
      </c>
      <c r="N22" s="52">
        <f>G22</f>
        <v>0</v>
      </c>
      <c r="O22" s="87">
        <f>ROUND(K22*-H22,0)</f>
        <v>0</v>
      </c>
      <c r="P22" s="55">
        <f t="shared" si="5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33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5.9049999999999998E-2</v>
      </c>
      <c r="L23" s="102">
        <v>0</v>
      </c>
      <c r="M23" s="52">
        <f>E23</f>
        <v>0</v>
      </c>
      <c r="N23" s="52">
        <f>G23</f>
        <v>0</v>
      </c>
      <c r="O23" s="87">
        <f>ROUND(K23*-H23,0)</f>
        <v>0</v>
      </c>
      <c r="P23" s="55">
        <f t="shared" si="5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8">
        <f t="shared" si="2"/>
        <v>868008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f>E24</f>
        <v>0</v>
      </c>
      <c r="N24" s="63">
        <f>G24</f>
        <v>0</v>
      </c>
      <c r="O24" s="88">
        <v>0</v>
      </c>
      <c r="P24" s="64">
        <f t="shared" si="5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3796271</v>
      </c>
      <c r="D25" s="84"/>
      <c r="E25" s="87">
        <f>SUM(E19:E24)</f>
        <v>-2745558</v>
      </c>
      <c r="F25" s="87">
        <f>SUM(F19:F24)</f>
        <v>182705</v>
      </c>
      <c r="G25" s="87">
        <f>SUM(G19:G24)</f>
        <v>-91353</v>
      </c>
      <c r="H25" s="55">
        <f>SUM(H19:H24)</f>
        <v>91352</v>
      </c>
      <c r="I25" s="84"/>
      <c r="J25" s="84"/>
      <c r="K25" s="84"/>
      <c r="L25" s="55">
        <f>SUM(L19:L24)</f>
        <v>-2898597</v>
      </c>
      <c r="M25" s="87">
        <f>SUM(M19:M24)</f>
        <v>0</v>
      </c>
      <c r="N25" s="87">
        <f>SUM(N19:N24)</f>
        <v>0</v>
      </c>
      <c r="O25" s="87">
        <f>SUM(O19:O24)</f>
        <v>-5395</v>
      </c>
      <c r="P25" s="55">
        <f>SUM(P19:P24)</f>
        <v>-2903992</v>
      </c>
      <c r="Q25" s="84"/>
      <c r="R25" s="52">
        <f>SUM(R19:R24)</f>
        <v>24271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84"/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 t="shared" ref="D31:D36" si="6">J6</f>
        <v>1459981</v>
      </c>
      <c r="E31" s="52">
        <f t="shared" ref="E31:E36" si="7">R19</f>
        <v>20128</v>
      </c>
      <c r="F31" s="52">
        <f>E31-D31</f>
        <v>-1439853</v>
      </c>
      <c r="G31" s="68">
        <v>0.37959999999999999</v>
      </c>
      <c r="H31" s="52">
        <f>ROUND(F31*0.3796,0)</f>
        <v>-546568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7">
        <f t="shared" si="6"/>
        <v>23876</v>
      </c>
      <c r="E32" s="52">
        <f t="shared" si="7"/>
        <v>4143</v>
      </c>
      <c r="F32" s="52">
        <f>E32-D32</f>
        <v>-19733</v>
      </c>
      <c r="G32" s="67">
        <f>G31</f>
        <v>0.37959999999999999</v>
      </c>
      <c r="H32" s="52">
        <f t="shared" ref="H32:H36" si="8">ROUND(F32*0.3796,0)</f>
        <v>-7491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8" s="27" customFormat="1">
      <c r="A33" s="84">
        <v>15</v>
      </c>
      <c r="B33" s="84" t="s">
        <v>89</v>
      </c>
      <c r="C33" s="84"/>
      <c r="D33" s="57">
        <f t="shared" si="6"/>
        <v>525341</v>
      </c>
      <c r="E33" s="52">
        <f t="shared" si="7"/>
        <v>0</v>
      </c>
      <c r="F33" s="52">
        <f>E33-D33</f>
        <v>-525341</v>
      </c>
      <c r="G33" s="67">
        <f>G31</f>
        <v>0.37959999999999999</v>
      </c>
      <c r="H33" s="52">
        <f t="shared" si="8"/>
        <v>-199419</v>
      </c>
    </row>
    <row r="34" spans="1:8" s="27" customFormat="1">
      <c r="A34" s="84">
        <v>16</v>
      </c>
      <c r="B34" s="84" t="s">
        <v>90</v>
      </c>
      <c r="C34" s="84"/>
      <c r="D34" s="57">
        <f t="shared" si="6"/>
        <v>0</v>
      </c>
      <c r="E34" s="52">
        <f t="shared" si="7"/>
        <v>0</v>
      </c>
      <c r="F34" s="52">
        <f>E34-D34</f>
        <v>0</v>
      </c>
      <c r="G34" s="67">
        <f>G31</f>
        <v>0.37959999999999999</v>
      </c>
      <c r="H34" s="52">
        <f t="shared" si="8"/>
        <v>0</v>
      </c>
    </row>
    <row r="35" spans="1:8" s="27" customFormat="1">
      <c r="A35" s="84">
        <v>17</v>
      </c>
      <c r="B35" s="84" t="s">
        <v>91</v>
      </c>
      <c r="C35" s="84"/>
      <c r="D35" s="57">
        <f t="shared" si="6"/>
        <v>0</v>
      </c>
      <c r="E35" s="52">
        <f t="shared" si="7"/>
        <v>0</v>
      </c>
      <c r="F35" s="52">
        <f>E35-D35</f>
        <v>0</v>
      </c>
      <c r="G35" s="67">
        <f>G31</f>
        <v>0.37959999999999999</v>
      </c>
      <c r="H35" s="52">
        <f t="shared" si="8"/>
        <v>0</v>
      </c>
    </row>
    <row r="36" spans="1:8" s="27" customFormat="1">
      <c r="A36" s="84">
        <v>18</v>
      </c>
      <c r="B36" s="84" t="s">
        <v>92</v>
      </c>
      <c r="C36" s="84"/>
      <c r="D36" s="59">
        <f t="shared" si="6"/>
        <v>833390</v>
      </c>
      <c r="E36" s="65" t="str">
        <f t="shared" si="7"/>
        <v>NA</v>
      </c>
      <c r="F36" s="59">
        <f>-D36</f>
        <v>-833390</v>
      </c>
      <c r="G36" s="69">
        <f>G31</f>
        <v>0.37959999999999999</v>
      </c>
      <c r="H36" s="59">
        <f t="shared" si="8"/>
        <v>-316355</v>
      </c>
    </row>
    <row r="37" spans="1:8" s="27" customFormat="1">
      <c r="A37" s="84"/>
      <c r="B37" s="84"/>
      <c r="C37" s="84"/>
      <c r="D37" s="52">
        <f>SUM(D31:D36)</f>
        <v>2842588</v>
      </c>
      <c r="E37" s="52">
        <f>SUM(E31:E36)</f>
        <v>24271</v>
      </c>
      <c r="F37" s="52">
        <f>SUM(F31:F36)</f>
        <v>-2818317</v>
      </c>
      <c r="G37" s="84"/>
      <c r="H37" s="52">
        <f>SUM(H31:H36)</f>
        <v>-1069833</v>
      </c>
    </row>
    <row r="39" spans="1:8">
      <c r="A39" s="15" t="s">
        <v>73</v>
      </c>
      <c r="B39" s="25" t="s">
        <v>112</v>
      </c>
      <c r="C39" s="25"/>
      <c r="D39" s="25"/>
      <c r="E39" s="25"/>
      <c r="F39" s="25"/>
      <c r="G39" s="25"/>
      <c r="H39" s="25"/>
    </row>
    <row r="40" spans="1:8">
      <c r="A40" s="15"/>
      <c r="B40" s="25"/>
      <c r="C40" s="25"/>
      <c r="D40" s="25"/>
      <c r="E40" s="25"/>
      <c r="F40" s="25"/>
      <c r="G40" s="25"/>
      <c r="H40" s="25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0"/>
  <sheetViews>
    <sheetView view="pageBreakPreview" topLeftCell="A19" zoomScaleNormal="100" zoomScaleSheetLayoutView="100" workbookViewId="0">
      <selection activeCell="E44" sqref="E44"/>
    </sheetView>
  </sheetViews>
  <sheetFormatPr defaultColWidth="9.140625" defaultRowHeight="15"/>
  <cols>
    <col min="1" max="1" width="14.42578125" style="4" customWidth="1"/>
    <col min="2" max="2" width="18.5703125" style="4" bestFit="1" customWidth="1"/>
    <col min="3" max="4" width="12.7109375" style="4" customWidth="1"/>
    <col min="5" max="5" width="11.28515625" style="4" bestFit="1" customWidth="1"/>
    <col min="6" max="6" width="12.7109375" style="4" customWidth="1"/>
    <col min="7" max="7" width="12.42578125" style="4" bestFit="1" customWidth="1"/>
    <col min="8" max="8" width="13.140625" style="4" bestFit="1" customWidth="1"/>
    <col min="9" max="9" width="2.7109375" style="4" customWidth="1"/>
    <col min="10" max="10" width="10.7109375" style="4" customWidth="1"/>
    <col min="11" max="11" width="8.140625" style="4" bestFit="1" customWidth="1"/>
    <col min="12" max="12" width="12.7109375" style="4" customWidth="1"/>
    <col min="13" max="14" width="11.28515625" style="4" bestFit="1" customWidth="1"/>
    <col min="15" max="15" width="8.42578125" style="4" bestFit="1" customWidth="1"/>
    <col min="16" max="16" width="11.28515625" style="4" bestFit="1" customWidth="1"/>
    <col min="17" max="17" width="2.7109375" style="4" customWidth="1"/>
    <col min="18" max="18" width="13.7109375" style="4" bestFit="1" customWidth="1"/>
    <col min="19" max="19" width="7.7109375" style="4" bestFit="1" customWidth="1"/>
    <col min="20" max="20" width="7.42578125" style="4" bestFit="1" customWidth="1"/>
    <col min="21" max="16384" width="9.140625" style="4"/>
  </cols>
  <sheetData>
    <row r="1" spans="1:18">
      <c r="A1" s="22" t="s">
        <v>70</v>
      </c>
      <c r="B1" s="7">
        <v>2013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2" t="s">
        <v>72</v>
      </c>
      <c r="B2" s="25"/>
      <c r="C2" s="25"/>
      <c r="D2" s="14" t="s">
        <v>73</v>
      </c>
      <c r="E2" s="25"/>
      <c r="F2" s="125" t="s">
        <v>75</v>
      </c>
      <c r="G2" s="125"/>
      <c r="H2" s="1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A3" s="25"/>
      <c r="B3" s="25"/>
      <c r="C3" s="25"/>
      <c r="D3" s="16" t="s">
        <v>74</v>
      </c>
      <c r="E3" s="25"/>
      <c r="F3" s="20"/>
      <c r="G3" s="14" t="s">
        <v>73</v>
      </c>
      <c r="H3" s="20"/>
      <c r="I3" s="25"/>
      <c r="J3" s="23" t="s">
        <v>76</v>
      </c>
      <c r="K3" s="25"/>
      <c r="L3" s="25"/>
      <c r="M3" s="25"/>
      <c r="N3" s="25"/>
      <c r="O3" s="25"/>
      <c r="P3" s="25"/>
      <c r="Q3" s="25"/>
      <c r="R3" s="25"/>
    </row>
    <row r="4" spans="1:18">
      <c r="A4" s="25"/>
      <c r="B4" s="25"/>
      <c r="C4" s="16">
        <v>2013</v>
      </c>
      <c r="D4" s="16" t="s">
        <v>77</v>
      </c>
      <c r="E4" s="25"/>
      <c r="F4" s="16"/>
      <c r="G4" s="16" t="s">
        <v>78</v>
      </c>
      <c r="H4" s="16"/>
      <c r="I4" s="25"/>
      <c r="J4" s="16" t="s">
        <v>79</v>
      </c>
      <c r="K4" s="25"/>
      <c r="L4" s="25"/>
      <c r="M4" s="25"/>
      <c r="N4" s="25"/>
      <c r="O4" s="16" t="s">
        <v>80</v>
      </c>
      <c r="P4" s="16" t="s">
        <v>80</v>
      </c>
      <c r="Q4" s="25"/>
      <c r="R4" s="25"/>
    </row>
    <row r="5" spans="1:18">
      <c r="A5" s="25"/>
      <c r="B5" s="25"/>
      <c r="C5" s="123" t="s">
        <v>81</v>
      </c>
      <c r="D5" s="10">
        <v>10</v>
      </c>
      <c r="E5" s="25"/>
      <c r="F5" s="123" t="s">
        <v>82</v>
      </c>
      <c r="G5" s="123" t="s">
        <v>83</v>
      </c>
      <c r="H5" s="123" t="s">
        <v>84</v>
      </c>
      <c r="I5" s="25"/>
      <c r="J5" s="123" t="s">
        <v>85</v>
      </c>
      <c r="K5" s="25"/>
      <c r="L5" s="25"/>
      <c r="M5" s="25"/>
      <c r="N5" s="25"/>
      <c r="O5" s="123" t="s">
        <v>65</v>
      </c>
      <c r="P5" s="123" t="s">
        <v>86</v>
      </c>
      <c r="Q5" s="25"/>
      <c r="R5" s="25"/>
    </row>
    <row r="6" spans="1:18">
      <c r="A6" s="25">
        <v>1</v>
      </c>
      <c r="B6" s="25" t="s">
        <v>87</v>
      </c>
      <c r="C6" s="100">
        <v>1672265</v>
      </c>
      <c r="D6" s="2">
        <v>3.1E-2</v>
      </c>
      <c r="E6" s="25"/>
      <c r="F6" s="100">
        <v>-440640</v>
      </c>
      <c r="G6" s="18">
        <f>ROUND(IF(D$5=1,-0.5*D6*C6,-D6*C6),0)</f>
        <v>-51840</v>
      </c>
      <c r="H6" s="18">
        <f t="shared" ref="H6:H11" si="0">SUM(F6:G6)</f>
        <v>-492480</v>
      </c>
      <c r="I6" s="25"/>
      <c r="J6" s="5">
        <f t="shared" ref="J6:J11" si="1">C6+H6</f>
        <v>1179785</v>
      </c>
      <c r="K6" s="25"/>
      <c r="L6" s="25"/>
      <c r="M6" s="25"/>
      <c r="N6" s="25"/>
      <c r="O6" s="11">
        <v>1E-4</v>
      </c>
      <c r="P6" s="17">
        <f>ROUND(IF(D$5=1,-0.5*O6*C6,-O6*C6),0)</f>
        <v>-167</v>
      </c>
      <c r="Q6" s="25"/>
      <c r="R6" s="25"/>
    </row>
    <row r="7" spans="1:18">
      <c r="A7" s="25">
        <v>2</v>
      </c>
      <c r="B7" s="25" t="s">
        <v>88</v>
      </c>
      <c r="C7" s="100">
        <v>0</v>
      </c>
      <c r="D7" s="2">
        <v>2.3300000000000001E-2</v>
      </c>
      <c r="E7" s="25"/>
      <c r="F7" s="100">
        <v>0</v>
      </c>
      <c r="G7" s="18">
        <f>ROUND(IF(D$5=1,-0.5*D7*C7,-D7*C7),0)</f>
        <v>0</v>
      </c>
      <c r="H7" s="18">
        <f t="shared" si="0"/>
        <v>0</v>
      </c>
      <c r="I7" s="25"/>
      <c r="J7" s="5">
        <f t="shared" si="1"/>
        <v>0</v>
      </c>
      <c r="K7" s="25"/>
      <c r="L7" s="25"/>
      <c r="M7" s="25"/>
      <c r="N7" s="25"/>
      <c r="O7" s="11">
        <v>2.0000000000000001E-4</v>
      </c>
      <c r="P7" s="5">
        <f>ROUND(IF(D$5=1,-0.5*O7*C7,-O7*C7),0)</f>
        <v>0</v>
      </c>
      <c r="Q7" s="25"/>
      <c r="R7" s="25"/>
    </row>
    <row r="8" spans="1:18">
      <c r="A8" s="25">
        <v>3</v>
      </c>
      <c r="B8" s="25" t="s">
        <v>89</v>
      </c>
      <c r="C8" s="100">
        <v>520370</v>
      </c>
      <c r="D8" s="2">
        <v>2.69E-2</v>
      </c>
      <c r="E8" s="25"/>
      <c r="F8" s="100">
        <v>-118983</v>
      </c>
      <c r="G8" s="18">
        <f>ROUND(IF(D$5=1,-0.5*D8*C8,-D8*C8),0)</f>
        <v>-13998</v>
      </c>
      <c r="H8" s="18">
        <f t="shared" si="0"/>
        <v>-132981</v>
      </c>
      <c r="I8" s="25"/>
      <c r="J8" s="5">
        <f t="shared" si="1"/>
        <v>387389</v>
      </c>
      <c r="K8" s="25"/>
      <c r="L8" s="25"/>
      <c r="M8" s="25"/>
      <c r="N8" s="25"/>
      <c r="O8" s="11">
        <v>4.1999999999999997E-3</v>
      </c>
      <c r="P8" s="5">
        <f>ROUND(IF(D$5=1,-0.5*O8*C8,-O8*C8),0)</f>
        <v>-2186</v>
      </c>
      <c r="Q8" s="25"/>
      <c r="R8" s="25"/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E9" s="25"/>
      <c r="F9" s="100">
        <v>0</v>
      </c>
      <c r="G9" s="18">
        <f>ROUND(IF(D$5=1,-0.5*D9*C9,-D9*C9),0)</f>
        <v>0</v>
      </c>
      <c r="H9" s="18">
        <f t="shared" si="0"/>
        <v>0</v>
      </c>
      <c r="I9" s="25"/>
      <c r="J9" s="5">
        <f t="shared" si="1"/>
        <v>0</v>
      </c>
      <c r="K9" s="25"/>
      <c r="L9" s="25"/>
      <c r="M9" s="25"/>
      <c r="N9" s="25"/>
      <c r="O9" s="11">
        <v>0</v>
      </c>
      <c r="P9" s="5">
        <f>IF(D$5=1,-0.5*O9*C9,-O9*C9)</f>
        <v>0</v>
      </c>
      <c r="Q9" s="25"/>
      <c r="R9" s="25"/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E10" s="25"/>
      <c r="F10" s="100">
        <v>0</v>
      </c>
      <c r="G10" s="18">
        <f>ROUND(IF(D$5=1,-0.5*D10*C10,-D10*C10),0)</f>
        <v>0</v>
      </c>
      <c r="H10" s="18">
        <f t="shared" si="0"/>
        <v>0</v>
      </c>
      <c r="I10" s="25"/>
      <c r="J10" s="5">
        <f t="shared" si="1"/>
        <v>0</v>
      </c>
      <c r="K10" s="25"/>
      <c r="L10" s="25"/>
      <c r="M10" s="25"/>
      <c r="N10" s="25"/>
      <c r="O10" s="11">
        <v>0</v>
      </c>
      <c r="P10" s="5">
        <f>IF(D$5=1,-0.5*O10*C10,-O10*C10)</f>
        <v>0</v>
      </c>
      <c r="Q10" s="25"/>
      <c r="R10" s="25"/>
    </row>
    <row r="11" spans="1:18">
      <c r="A11" s="25">
        <v>6</v>
      </c>
      <c r="B11" s="25" t="s">
        <v>92</v>
      </c>
      <c r="C11" s="101">
        <v>768907</v>
      </c>
      <c r="D11" s="3" t="s">
        <v>93</v>
      </c>
      <c r="E11" s="25"/>
      <c r="F11" s="101">
        <v>-20001</v>
      </c>
      <c r="G11" s="21">
        <f>P12</f>
        <v>-2353</v>
      </c>
      <c r="H11" s="21">
        <f t="shared" si="0"/>
        <v>-22354</v>
      </c>
      <c r="I11" s="25"/>
      <c r="J11" s="6">
        <f t="shared" si="1"/>
        <v>746553</v>
      </c>
      <c r="K11" s="25"/>
      <c r="L11" s="25"/>
      <c r="M11" s="25"/>
      <c r="N11" s="25"/>
      <c r="O11" s="24">
        <v>0</v>
      </c>
      <c r="P11" s="6">
        <f>IF(D$5=1,-0.5*O11*C11,-O11*C11)</f>
        <v>0</v>
      </c>
      <c r="Q11" s="25"/>
      <c r="R11" s="25"/>
    </row>
    <row r="12" spans="1:18">
      <c r="A12" s="25"/>
      <c r="B12" s="25"/>
      <c r="C12" s="18">
        <f>SUM(C6:C11)</f>
        <v>2961542</v>
      </c>
      <c r="D12" s="18"/>
      <c r="E12" s="25"/>
      <c r="F12" s="100">
        <f>SUM(F5:F11)</f>
        <v>-579624</v>
      </c>
      <c r="G12" s="18">
        <f>SUM(G5:G11)</f>
        <v>-68191</v>
      </c>
      <c r="H12" s="18">
        <f>SUM(H5:H11)</f>
        <v>-647815</v>
      </c>
      <c r="I12" s="25"/>
      <c r="J12" s="5">
        <f>SUM(J6:J11)</f>
        <v>2313727</v>
      </c>
      <c r="K12" s="25"/>
      <c r="L12" s="25"/>
      <c r="M12" s="25"/>
      <c r="N12" s="25"/>
      <c r="O12" s="5"/>
      <c r="P12" s="17">
        <f>SUM(P5:P11)</f>
        <v>-2353</v>
      </c>
      <c r="Q12" s="25"/>
      <c r="R12" s="25"/>
    </row>
    <row r="13" spans="1:18" ht="14.25" customHeight="1">
      <c r="A13" s="25"/>
      <c r="B13" s="25"/>
      <c r="C13" s="18"/>
      <c r="D13" s="18"/>
      <c r="E13" s="18"/>
      <c r="F13" s="18"/>
      <c r="G13" s="25"/>
      <c r="H13" s="25"/>
      <c r="I13" s="25"/>
      <c r="J13" s="25"/>
      <c r="K13" s="25"/>
      <c r="L13" s="25"/>
      <c r="M13" s="16"/>
      <c r="N13" s="20"/>
      <c r="O13" s="25"/>
      <c r="P13" s="25"/>
      <c r="Q13" s="25"/>
      <c r="R13" s="25"/>
    </row>
    <row r="14" spans="1:18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6"/>
      <c r="N14" s="20"/>
      <c r="O14" s="25"/>
      <c r="P14" s="25"/>
      <c r="Q14" s="25"/>
      <c r="R14" s="25"/>
    </row>
    <row r="15" spans="1:18">
      <c r="A15" s="25"/>
      <c r="B15" s="25"/>
      <c r="C15" s="25"/>
      <c r="D15" s="1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s="27" customFormat="1">
      <c r="A16" s="84"/>
      <c r="B16" s="84"/>
      <c r="C16" s="93"/>
      <c r="D16" s="95" t="s">
        <v>94</v>
      </c>
      <c r="E16" s="93"/>
      <c r="F16" s="93"/>
      <c r="G16" s="48">
        <v>0.5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10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 t="shared" ref="C19:C24" si="2">C6</f>
        <v>1672265</v>
      </c>
      <c r="D19" s="51">
        <v>1</v>
      </c>
      <c r="E19" s="87">
        <f>ROUND(C19*-D19,0)</f>
        <v>-1672265</v>
      </c>
      <c r="F19" s="52">
        <f>C19+E19</f>
        <v>0</v>
      </c>
      <c r="G19" s="52">
        <f t="shared" ref="G19:G24" si="3">ROUND(F19*-$G$16,0)</f>
        <v>0</v>
      </c>
      <c r="H19" s="53">
        <f t="shared" ref="H19:H24" si="4">F19+G19</f>
        <v>0</v>
      </c>
      <c r="I19" s="84"/>
      <c r="J19" s="84">
        <v>15</v>
      </c>
      <c r="K19" s="54">
        <f>IFERROR(VLOOKUP(J19,'Tax Rates'!$A$1:$AA$12,$K$18+1,FALSE),0)</f>
        <v>5.9049999999999998E-2</v>
      </c>
      <c r="L19" s="102">
        <v>-1672265</v>
      </c>
      <c r="M19" s="52"/>
      <c r="N19" s="52">
        <f t="shared" ref="N19:N24" si="5">G19</f>
        <v>0</v>
      </c>
      <c r="O19" s="87">
        <f>ROUND(K19*-H19,0)</f>
        <v>0</v>
      </c>
      <c r="P19" s="55">
        <f t="shared" ref="P19:P24" si="6">SUM(L19:O19)</f>
        <v>-1672265</v>
      </c>
      <c r="Q19" s="84"/>
      <c r="R19" s="52">
        <f>C19+P19</f>
        <v>0</v>
      </c>
    </row>
    <row r="20" spans="1:18" s="27" customFormat="1">
      <c r="A20" s="84">
        <v>8</v>
      </c>
      <c r="B20" s="84" t="s">
        <v>88</v>
      </c>
      <c r="C20" s="33">
        <f t="shared" si="2"/>
        <v>0</v>
      </c>
      <c r="D20" s="56">
        <v>0</v>
      </c>
      <c r="E20" s="87">
        <f>ROUND(C20*-D20,0)</f>
        <v>0</v>
      </c>
      <c r="F20" s="52">
        <f>C20+E20</f>
        <v>0</v>
      </c>
      <c r="G20" s="52">
        <f t="shared" si="3"/>
        <v>0</v>
      </c>
      <c r="H20" s="53">
        <f t="shared" si="4"/>
        <v>0</v>
      </c>
      <c r="I20" s="84"/>
      <c r="J20" s="84">
        <v>15</v>
      </c>
      <c r="K20" s="54">
        <f>IFERROR(VLOOKUP(J20,'Tax Rates'!$A$1:$AA$12,$K$18+1,FALSE),0)</f>
        <v>5.9049999999999998E-2</v>
      </c>
      <c r="L20" s="102" t="s">
        <v>113</v>
      </c>
      <c r="M20" s="52">
        <f>E20</f>
        <v>0</v>
      </c>
      <c r="N20" s="52">
        <f t="shared" si="5"/>
        <v>0</v>
      </c>
      <c r="O20" s="87">
        <f>ROUND(K20*-H20,0)</f>
        <v>0</v>
      </c>
      <c r="P20" s="55">
        <f t="shared" si="6"/>
        <v>0</v>
      </c>
      <c r="Q20" s="84"/>
      <c r="R20" s="52">
        <f>C20+P20</f>
        <v>0</v>
      </c>
    </row>
    <row r="21" spans="1:18" s="27" customFormat="1">
      <c r="A21" s="84">
        <v>9</v>
      </c>
      <c r="B21" s="84" t="s">
        <v>89</v>
      </c>
      <c r="C21" s="33">
        <f t="shared" si="2"/>
        <v>520370</v>
      </c>
      <c r="D21" s="51">
        <v>1</v>
      </c>
      <c r="E21" s="87">
        <f>ROUND(C21*-D21,0)</f>
        <v>-520370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4.4609999999999997E-2</v>
      </c>
      <c r="L21" s="102">
        <v>-520370</v>
      </c>
      <c r="M21" s="52"/>
      <c r="N21" s="52">
        <f t="shared" si="5"/>
        <v>0</v>
      </c>
      <c r="O21" s="87">
        <f>ROUND(K21*-H21,0)</f>
        <v>0</v>
      </c>
      <c r="P21" s="55">
        <f t="shared" si="6"/>
        <v>-520370</v>
      </c>
      <c r="Q21" s="84"/>
      <c r="R21" s="52">
        <f>C21+P21</f>
        <v>0</v>
      </c>
    </row>
    <row r="22" spans="1:18" s="27" customFormat="1">
      <c r="A22" s="84">
        <v>10</v>
      </c>
      <c r="B22" s="84" t="s">
        <v>90</v>
      </c>
      <c r="C22" s="33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0</v>
      </c>
      <c r="L22" s="102">
        <v>0</v>
      </c>
      <c r="M22" s="52">
        <f>E22</f>
        <v>0</v>
      </c>
      <c r="N22" s="52">
        <f t="shared" si="5"/>
        <v>0</v>
      </c>
      <c r="O22" s="87">
        <f>ROUND(K22*-H22,0)</f>
        <v>0</v>
      </c>
      <c r="P22" s="55">
        <f t="shared" si="6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33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5.9049999999999998E-2</v>
      </c>
      <c r="L23" s="102">
        <v>0</v>
      </c>
      <c r="M23" s="52">
        <f>E23</f>
        <v>0</v>
      </c>
      <c r="N23" s="52">
        <f t="shared" si="5"/>
        <v>0</v>
      </c>
      <c r="O23" s="87">
        <f>ROUND(K23*-H23,0)</f>
        <v>0</v>
      </c>
      <c r="P23" s="55">
        <f t="shared" si="6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8">
        <f t="shared" si="2"/>
        <v>768907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f>E24</f>
        <v>0</v>
      </c>
      <c r="N24" s="63">
        <f t="shared" si="5"/>
        <v>0</v>
      </c>
      <c r="O24" s="88">
        <v>0</v>
      </c>
      <c r="P24" s="64">
        <f t="shared" si="6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2961542</v>
      </c>
      <c r="D25" s="84"/>
      <c r="E25" s="87">
        <f>SUM(E19:E24)</f>
        <v>-2192635</v>
      </c>
      <c r="F25" s="87">
        <f>SUM(F19:F24)</f>
        <v>0</v>
      </c>
      <c r="G25" s="87">
        <f>SUM(G19:G24)</f>
        <v>0</v>
      </c>
      <c r="H25" s="55">
        <f>SUM(H19:H24)</f>
        <v>0</v>
      </c>
      <c r="I25" s="84"/>
      <c r="J25" s="84"/>
      <c r="K25" s="84"/>
      <c r="L25" s="55">
        <f>SUM(L19:L24)</f>
        <v>-2192635</v>
      </c>
      <c r="M25" s="87">
        <f>SUM(M19:M24)</f>
        <v>0</v>
      </c>
      <c r="N25" s="87">
        <f>SUM(N19:N24)</f>
        <v>0</v>
      </c>
      <c r="O25" s="87">
        <f>SUM(O19:O24)</f>
        <v>0</v>
      </c>
      <c r="P25" s="55">
        <f>SUM(P19:P24)</f>
        <v>-2192635</v>
      </c>
      <c r="Q25" s="84"/>
      <c r="R25" s="52">
        <f>SUM(R19:R24)</f>
        <v>0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84"/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 t="shared" ref="D31:D36" si="7">J6</f>
        <v>1179785</v>
      </c>
      <c r="E31" s="52">
        <f t="shared" ref="E31:E36" si="8">R19</f>
        <v>0</v>
      </c>
      <c r="F31" s="52">
        <f>E31-D31</f>
        <v>-1179785</v>
      </c>
      <c r="G31" s="68">
        <v>0.37959999999999999</v>
      </c>
      <c r="H31" s="52">
        <f>ROUND(F31*0.3796,0)</f>
        <v>-447846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7">
        <f t="shared" si="7"/>
        <v>0</v>
      </c>
      <c r="E32" s="52">
        <f t="shared" si="8"/>
        <v>0</v>
      </c>
      <c r="F32" s="52">
        <f>E32-D32</f>
        <v>0</v>
      </c>
      <c r="G32" s="67">
        <f>G31</f>
        <v>0.37959999999999999</v>
      </c>
      <c r="H32" s="52">
        <f t="shared" ref="H32:H36" si="9">ROUND(F32*0.3796,0)</f>
        <v>0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8" s="27" customFormat="1">
      <c r="A33" s="84">
        <v>15</v>
      </c>
      <c r="B33" s="84" t="s">
        <v>89</v>
      </c>
      <c r="C33" s="84"/>
      <c r="D33" s="57">
        <f t="shared" si="7"/>
        <v>387389</v>
      </c>
      <c r="E33" s="52">
        <f t="shared" si="8"/>
        <v>0</v>
      </c>
      <c r="F33" s="52">
        <f>E33-D33</f>
        <v>-387389</v>
      </c>
      <c r="G33" s="67">
        <f>G31</f>
        <v>0.37959999999999999</v>
      </c>
      <c r="H33" s="52">
        <f t="shared" si="9"/>
        <v>-147053</v>
      </c>
    </row>
    <row r="34" spans="1:8" s="27" customFormat="1">
      <c r="A34" s="84">
        <v>16</v>
      </c>
      <c r="B34" s="84" t="s">
        <v>90</v>
      </c>
      <c r="C34" s="84"/>
      <c r="D34" s="57">
        <f t="shared" si="7"/>
        <v>0</v>
      </c>
      <c r="E34" s="52">
        <f t="shared" si="8"/>
        <v>0</v>
      </c>
      <c r="F34" s="52">
        <f>E34-D34</f>
        <v>0</v>
      </c>
      <c r="G34" s="67">
        <f>G31</f>
        <v>0.37959999999999999</v>
      </c>
      <c r="H34" s="52">
        <f t="shared" si="9"/>
        <v>0</v>
      </c>
    </row>
    <row r="35" spans="1:8" s="27" customFormat="1">
      <c r="A35" s="84">
        <v>17</v>
      </c>
      <c r="B35" s="84" t="s">
        <v>91</v>
      </c>
      <c r="C35" s="84"/>
      <c r="D35" s="57">
        <f t="shared" si="7"/>
        <v>0</v>
      </c>
      <c r="E35" s="52">
        <f t="shared" si="8"/>
        <v>0</v>
      </c>
      <c r="F35" s="52">
        <f>E35-D35</f>
        <v>0</v>
      </c>
      <c r="G35" s="67">
        <f>G31</f>
        <v>0.37959999999999999</v>
      </c>
      <c r="H35" s="52">
        <f t="shared" si="9"/>
        <v>0</v>
      </c>
    </row>
    <row r="36" spans="1:8" s="27" customFormat="1">
      <c r="A36" s="84">
        <v>18</v>
      </c>
      <c r="B36" s="84" t="s">
        <v>92</v>
      </c>
      <c r="C36" s="84"/>
      <c r="D36" s="59">
        <f t="shared" si="7"/>
        <v>746553</v>
      </c>
      <c r="E36" s="65" t="str">
        <f t="shared" si="8"/>
        <v>NA</v>
      </c>
      <c r="F36" s="59">
        <f>-D36</f>
        <v>-746553</v>
      </c>
      <c r="G36" s="69">
        <f>G31</f>
        <v>0.37959999999999999</v>
      </c>
      <c r="H36" s="59">
        <f t="shared" si="9"/>
        <v>-283392</v>
      </c>
    </row>
    <row r="37" spans="1:8" s="27" customFormat="1">
      <c r="A37" s="84"/>
      <c r="B37" s="84"/>
      <c r="C37" s="84"/>
      <c r="D37" s="52">
        <f>SUM(D31:D36)</f>
        <v>2313727</v>
      </c>
      <c r="E37" s="52">
        <f>SUM(E31:E36)</f>
        <v>0</v>
      </c>
      <c r="F37" s="52">
        <f>SUM(F31:F36)</f>
        <v>-2313727</v>
      </c>
      <c r="G37" s="84"/>
      <c r="H37" s="52">
        <f>SUM(H31:H36)</f>
        <v>-878291</v>
      </c>
    </row>
    <row r="38" spans="1:8" s="27" customFormat="1">
      <c r="A38" s="84"/>
      <c r="B38" s="84"/>
      <c r="C38" s="84"/>
      <c r="D38" s="84"/>
      <c r="E38" s="84"/>
      <c r="F38" s="84"/>
      <c r="G38" s="84"/>
      <c r="H38" s="84"/>
    </row>
    <row r="39" spans="1:8">
      <c r="A39" s="15" t="s">
        <v>73</v>
      </c>
      <c r="B39" s="25" t="s">
        <v>112</v>
      </c>
      <c r="C39" s="25"/>
      <c r="D39" s="25"/>
      <c r="E39" s="25"/>
      <c r="F39" s="25"/>
      <c r="G39" s="25"/>
      <c r="H39" s="25"/>
    </row>
    <row r="40" spans="1:8">
      <c r="A40" s="15"/>
      <c r="B40" s="25"/>
      <c r="C40" s="25"/>
      <c r="D40" s="25"/>
      <c r="E40" s="25"/>
      <c r="F40" s="25"/>
      <c r="G40" s="25"/>
      <c r="H40" s="25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view="pageBreakPreview" topLeftCell="A13" zoomScaleNormal="100" zoomScaleSheetLayoutView="100" workbookViewId="0">
      <selection activeCell="E44" sqref="E44"/>
    </sheetView>
  </sheetViews>
  <sheetFormatPr defaultColWidth="9.140625" defaultRowHeight="15"/>
  <cols>
    <col min="1" max="1" width="14.42578125" style="4" customWidth="1"/>
    <col min="2" max="2" width="18.5703125" style="4" bestFit="1" customWidth="1"/>
    <col min="3" max="4" width="12.7109375" style="4" customWidth="1"/>
    <col min="5" max="5" width="11.28515625" style="4" bestFit="1" customWidth="1"/>
    <col min="6" max="6" width="12.7109375" style="4" customWidth="1"/>
    <col min="7" max="7" width="12.42578125" style="4" bestFit="1" customWidth="1"/>
    <col min="8" max="8" width="13.140625" style="4" bestFit="1" customWidth="1"/>
    <col min="9" max="9" width="2.7109375" style="4" customWidth="1"/>
    <col min="10" max="10" width="10.7109375" style="4" customWidth="1"/>
    <col min="11" max="11" width="8.140625" style="4" bestFit="1" customWidth="1"/>
    <col min="12" max="12" width="12.7109375" style="4" customWidth="1"/>
    <col min="13" max="14" width="11.28515625" style="4" bestFit="1" customWidth="1"/>
    <col min="15" max="15" width="8.42578125" style="4" bestFit="1" customWidth="1"/>
    <col min="16" max="16" width="11.28515625" style="4" bestFit="1" customWidth="1"/>
    <col min="17" max="17" width="2.7109375" style="4" customWidth="1"/>
    <col min="18" max="18" width="13.7109375" style="4" bestFit="1" customWidth="1"/>
    <col min="19" max="19" width="7.7109375" style="4" bestFit="1" customWidth="1"/>
    <col min="20" max="20" width="7.42578125" style="4" bestFit="1" customWidth="1"/>
    <col min="21" max="16384" width="9.140625" style="4"/>
  </cols>
  <sheetData>
    <row r="1" spans="1:18">
      <c r="A1" s="22" t="s">
        <v>70</v>
      </c>
      <c r="B1" s="7">
        <v>2014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2" t="s">
        <v>72</v>
      </c>
      <c r="B2" s="25"/>
      <c r="C2" s="25"/>
      <c r="D2" s="14" t="s">
        <v>73</v>
      </c>
      <c r="E2" s="25"/>
      <c r="F2" s="125" t="s">
        <v>75</v>
      </c>
      <c r="G2" s="125"/>
      <c r="H2" s="1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A3" s="25"/>
      <c r="B3" s="25"/>
      <c r="C3" s="25"/>
      <c r="D3" s="16" t="s">
        <v>74</v>
      </c>
      <c r="E3" s="25"/>
      <c r="F3" s="20"/>
      <c r="G3" s="14" t="s">
        <v>73</v>
      </c>
      <c r="H3" s="20"/>
      <c r="I3" s="25"/>
      <c r="J3" s="23" t="s">
        <v>76</v>
      </c>
      <c r="K3" s="25"/>
      <c r="L3" s="25"/>
      <c r="M3" s="25"/>
      <c r="N3" s="25"/>
      <c r="O3" s="25"/>
      <c r="P3" s="25"/>
      <c r="Q3" s="25"/>
      <c r="R3" s="25"/>
    </row>
    <row r="4" spans="1:18">
      <c r="A4" s="25"/>
      <c r="B4" s="25"/>
      <c r="C4" s="16">
        <v>2014</v>
      </c>
      <c r="D4" s="16" t="s">
        <v>77</v>
      </c>
      <c r="E4" s="25"/>
      <c r="F4" s="16"/>
      <c r="G4" s="16" t="s">
        <v>78</v>
      </c>
      <c r="H4" s="16"/>
      <c r="I4" s="25"/>
      <c r="J4" s="16" t="s">
        <v>79</v>
      </c>
      <c r="K4" s="25"/>
      <c r="L4" s="25"/>
      <c r="M4" s="25"/>
      <c r="N4" s="25"/>
      <c r="O4" s="16" t="s">
        <v>80</v>
      </c>
      <c r="P4" s="16" t="s">
        <v>80</v>
      </c>
      <c r="Q4" s="25"/>
      <c r="R4" s="25"/>
    </row>
    <row r="5" spans="1:18">
      <c r="A5" s="25"/>
      <c r="B5" s="25"/>
      <c r="C5" s="123" t="s">
        <v>81</v>
      </c>
      <c r="D5" s="10">
        <v>9</v>
      </c>
      <c r="E5" s="25"/>
      <c r="F5" s="123" t="s">
        <v>82</v>
      </c>
      <c r="G5" s="123" t="s">
        <v>83</v>
      </c>
      <c r="H5" s="123" t="s">
        <v>84</v>
      </c>
      <c r="I5" s="25"/>
      <c r="J5" s="123" t="s">
        <v>85</v>
      </c>
      <c r="K5" s="25"/>
      <c r="L5" s="25"/>
      <c r="M5" s="25"/>
      <c r="N5" s="25"/>
      <c r="O5" s="123" t="s">
        <v>65</v>
      </c>
      <c r="P5" s="123" t="s">
        <v>86</v>
      </c>
      <c r="Q5" s="25"/>
      <c r="R5" s="25"/>
    </row>
    <row r="6" spans="1:18">
      <c r="A6" s="25">
        <v>1</v>
      </c>
      <c r="B6" s="25" t="s">
        <v>87</v>
      </c>
      <c r="C6" s="100">
        <v>1281613</v>
      </c>
      <c r="D6" s="2">
        <v>3.1E-2</v>
      </c>
      <c r="E6" s="25"/>
      <c r="F6" s="100">
        <v>-297975</v>
      </c>
      <c r="G6" s="18">
        <f>ROUND(IF(D$5=1,-0.5*D6*C6,-D6*C6),0)</f>
        <v>-39730</v>
      </c>
      <c r="H6" s="18">
        <f t="shared" ref="H6:H11" si="0">SUM(F6:G6)</f>
        <v>-337705</v>
      </c>
      <c r="I6" s="25"/>
      <c r="J6" s="5">
        <f t="shared" ref="J6:J11" si="1">C6+H6</f>
        <v>943908</v>
      </c>
      <c r="K6" s="25"/>
      <c r="L6" s="25"/>
      <c r="M6" s="25"/>
      <c r="N6" s="25"/>
      <c r="O6" s="11">
        <v>1E-4</v>
      </c>
      <c r="P6" s="17">
        <f>ROUND(IF(D$5=1,-0.5*O6*C6,-O6*C6),0)</f>
        <v>-128</v>
      </c>
      <c r="Q6" s="25"/>
      <c r="R6" s="25"/>
    </row>
    <row r="7" spans="1:18">
      <c r="A7" s="25">
        <v>2</v>
      </c>
      <c r="B7" s="25" t="s">
        <v>88</v>
      </c>
      <c r="C7" s="100">
        <v>500</v>
      </c>
      <c r="D7" s="2">
        <v>2.3300000000000001E-2</v>
      </c>
      <c r="E7" s="25"/>
      <c r="F7" s="100">
        <v>-90</v>
      </c>
      <c r="G7" s="18">
        <f>ROUND(IF(D$5=1,-0.5*D7*C7,-D7*C7),0)</f>
        <v>-12</v>
      </c>
      <c r="H7" s="18">
        <f t="shared" si="0"/>
        <v>-102</v>
      </c>
      <c r="I7" s="25"/>
      <c r="J7" s="5">
        <f t="shared" si="1"/>
        <v>398</v>
      </c>
      <c r="K7" s="25"/>
      <c r="L7" s="25"/>
      <c r="M7" s="25"/>
      <c r="N7" s="25"/>
      <c r="O7" s="11">
        <v>2.0000000000000001E-4</v>
      </c>
      <c r="P7" s="5">
        <f>ROUND(IF(D$5=1,-0.5*O7*C7,-O7*C7),0)</f>
        <v>0</v>
      </c>
      <c r="Q7" s="25"/>
      <c r="R7" s="25"/>
    </row>
    <row r="8" spans="1:18">
      <c r="A8" s="25">
        <v>3</v>
      </c>
      <c r="B8" s="25" t="s">
        <v>89</v>
      </c>
      <c r="C8" s="100">
        <v>396014</v>
      </c>
      <c r="D8" s="2">
        <v>2.69E-2</v>
      </c>
      <c r="E8" s="25"/>
      <c r="F8" s="100">
        <v>-79897</v>
      </c>
      <c r="G8" s="18">
        <f>ROUND(IF(D$5=1,-0.5*D8*C8,-D8*C8),0)</f>
        <v>-10653</v>
      </c>
      <c r="H8" s="18">
        <f t="shared" si="0"/>
        <v>-90550</v>
      </c>
      <c r="I8" s="25"/>
      <c r="J8" s="5">
        <f t="shared" si="1"/>
        <v>305464</v>
      </c>
      <c r="K8" s="25"/>
      <c r="L8" s="25"/>
      <c r="M8" s="25"/>
      <c r="N8" s="25"/>
      <c r="O8" s="11">
        <v>4.1999999999999997E-3</v>
      </c>
      <c r="P8" s="5">
        <f>ROUND(IF(D$5=1,-0.5*O8*C8,-O8*C8),0)</f>
        <v>-1663</v>
      </c>
      <c r="Q8" s="25"/>
      <c r="R8" s="25"/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E9" s="25"/>
      <c r="F9" s="100">
        <v>0</v>
      </c>
      <c r="G9" s="18">
        <f>ROUND(IF(D$5=1,-0.5*D9*C9,-D9*C9),0)</f>
        <v>0</v>
      </c>
      <c r="H9" s="18">
        <f t="shared" si="0"/>
        <v>0</v>
      </c>
      <c r="I9" s="25"/>
      <c r="J9" s="5">
        <f t="shared" si="1"/>
        <v>0</v>
      </c>
      <c r="K9" s="25"/>
      <c r="L9" s="25"/>
      <c r="M9" s="25"/>
      <c r="N9" s="25"/>
      <c r="O9" s="11">
        <v>0</v>
      </c>
      <c r="P9" s="5">
        <f>IF(D$5=1,-0.5*O9*C9,-O9*C9)</f>
        <v>0</v>
      </c>
      <c r="Q9" s="25"/>
      <c r="R9" s="25"/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E10" s="25"/>
      <c r="F10" s="100">
        <v>0</v>
      </c>
      <c r="G10" s="18">
        <f>ROUND(IF(D$5=1,-0.5*D10*C10,-D10*C10),0)</f>
        <v>0</v>
      </c>
      <c r="H10" s="18">
        <f t="shared" si="0"/>
        <v>0</v>
      </c>
      <c r="I10" s="25"/>
      <c r="J10" s="5">
        <f t="shared" si="1"/>
        <v>0</v>
      </c>
      <c r="K10" s="25"/>
      <c r="L10" s="25"/>
      <c r="M10" s="25"/>
      <c r="N10" s="25"/>
      <c r="O10" s="11">
        <v>0</v>
      </c>
      <c r="P10" s="5">
        <f>IF(D$5=1,-0.5*O10*C10,-O10*C10)</f>
        <v>0</v>
      </c>
      <c r="Q10" s="25"/>
      <c r="R10" s="25"/>
    </row>
    <row r="11" spans="1:18">
      <c r="A11" s="25">
        <v>6</v>
      </c>
      <c r="B11" s="25" t="s">
        <v>92</v>
      </c>
      <c r="C11" s="101">
        <v>165239</v>
      </c>
      <c r="D11" s="3" t="s">
        <v>93</v>
      </c>
      <c r="E11" s="25"/>
      <c r="F11" s="101">
        <v>-13433</v>
      </c>
      <c r="G11" s="21">
        <f>P12</f>
        <v>-1791</v>
      </c>
      <c r="H11" s="21">
        <f t="shared" si="0"/>
        <v>-15224</v>
      </c>
      <c r="I11" s="25"/>
      <c r="J11" s="6">
        <f t="shared" si="1"/>
        <v>150015</v>
      </c>
      <c r="K11" s="25"/>
      <c r="L11" s="25"/>
      <c r="M11" s="25"/>
      <c r="N11" s="25"/>
      <c r="O11" s="24">
        <v>0</v>
      </c>
      <c r="P11" s="6">
        <f>IF(D$5=1,-0.5*O11*C11,-O11*C11)</f>
        <v>0</v>
      </c>
      <c r="Q11" s="25"/>
      <c r="R11" s="25"/>
    </row>
    <row r="12" spans="1:18">
      <c r="A12" s="25"/>
      <c r="B12" s="25"/>
      <c r="C12" s="18">
        <f>SUM(C6:C11)</f>
        <v>1843366</v>
      </c>
      <c r="D12" s="18"/>
      <c r="E12" s="25"/>
      <c r="F12" s="100">
        <f>SUM(F5:F11)</f>
        <v>-391395</v>
      </c>
      <c r="G12" s="18">
        <f>SUM(G5:G11)</f>
        <v>-52186</v>
      </c>
      <c r="H12" s="18">
        <f>SUM(H5:H11)</f>
        <v>-443581</v>
      </c>
      <c r="I12" s="25"/>
      <c r="J12" s="5">
        <f>SUM(J6:J11)</f>
        <v>1399785</v>
      </c>
      <c r="K12" s="25"/>
      <c r="L12" s="25"/>
      <c r="M12" s="25"/>
      <c r="N12" s="25"/>
      <c r="O12" s="5"/>
      <c r="P12" s="17">
        <f>SUM(P5:P11)</f>
        <v>-1791</v>
      </c>
      <c r="Q12" s="25"/>
      <c r="R12" s="25"/>
    </row>
    <row r="13" spans="1:18" ht="14.25" customHeight="1">
      <c r="A13" s="25"/>
      <c r="B13" s="25"/>
      <c r="C13" s="18"/>
      <c r="D13" s="18"/>
      <c r="E13" s="18"/>
      <c r="F13" s="18"/>
      <c r="G13" s="25"/>
      <c r="H13" s="25"/>
      <c r="I13" s="25"/>
      <c r="J13" s="25"/>
      <c r="K13" s="25"/>
      <c r="L13" s="25"/>
      <c r="M13" s="16"/>
      <c r="N13" s="20"/>
      <c r="O13" s="25"/>
      <c r="P13" s="25"/>
      <c r="Q13" s="25"/>
      <c r="R13" s="25"/>
    </row>
    <row r="14" spans="1:18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6"/>
      <c r="N14" s="20"/>
      <c r="O14" s="25"/>
      <c r="P14" s="25"/>
      <c r="Q14" s="25"/>
      <c r="R14" s="25"/>
    </row>
    <row r="15" spans="1:18" s="27" customFormat="1">
      <c r="A15" s="84"/>
      <c r="B15" s="84"/>
      <c r="C15" s="84"/>
      <c r="D15" s="95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18" s="27" customFormat="1">
      <c r="A16" s="84"/>
      <c r="B16" s="84"/>
      <c r="C16" s="93"/>
      <c r="D16" s="95" t="s">
        <v>94</v>
      </c>
      <c r="E16" s="93"/>
      <c r="F16" s="93"/>
      <c r="G16" s="48">
        <v>0.5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9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 t="shared" ref="C19:C24" si="2">C6</f>
        <v>1281613</v>
      </c>
      <c r="D19" s="51">
        <v>1</v>
      </c>
      <c r="E19" s="87">
        <f>ROUND(C19*-D19,0)</f>
        <v>-1281613</v>
      </c>
      <c r="F19" s="52">
        <f>C19+E19</f>
        <v>0</v>
      </c>
      <c r="G19" s="52">
        <f t="shared" ref="G19:G24" si="3">ROUND(F19*-$G$16,0)</f>
        <v>0</v>
      </c>
      <c r="H19" s="53">
        <f t="shared" ref="H19:H24" si="4">F19+G19</f>
        <v>0</v>
      </c>
      <c r="I19" s="84"/>
      <c r="J19" s="84">
        <v>15</v>
      </c>
      <c r="K19" s="54">
        <f>IFERROR(VLOOKUP(J19,'Tax Rates'!$A$1:$AA$12,$K$18+1,FALSE),0)</f>
        <v>5.9049999999999998E-2</v>
      </c>
      <c r="L19" s="102">
        <v>-1281613</v>
      </c>
      <c r="M19" s="52">
        <v>0</v>
      </c>
      <c r="N19" s="52">
        <f t="shared" ref="N19:N24" si="5">G19</f>
        <v>0</v>
      </c>
      <c r="O19" s="87">
        <f>ROUND(K19*-H19,0)</f>
        <v>0</v>
      </c>
      <c r="P19" s="55">
        <f t="shared" ref="P19:P24" si="6">SUM(L19:O19)</f>
        <v>-1281613</v>
      </c>
      <c r="Q19" s="84"/>
      <c r="R19" s="52">
        <f>C19+P19</f>
        <v>0</v>
      </c>
    </row>
    <row r="20" spans="1:18" s="27" customFormat="1">
      <c r="A20" s="84">
        <v>8</v>
      </c>
      <c r="B20" s="84" t="s">
        <v>88</v>
      </c>
      <c r="C20" s="33">
        <f t="shared" si="2"/>
        <v>500</v>
      </c>
      <c r="D20" s="56">
        <v>0</v>
      </c>
      <c r="E20" s="87">
        <f>ROUND(C20*-D20,0)</f>
        <v>0</v>
      </c>
      <c r="F20" s="52">
        <f>C20+E20</f>
        <v>500</v>
      </c>
      <c r="G20" s="52">
        <f t="shared" si="3"/>
        <v>-250</v>
      </c>
      <c r="H20" s="53">
        <f t="shared" si="4"/>
        <v>250</v>
      </c>
      <c r="I20" s="84"/>
      <c r="J20" s="84">
        <v>15</v>
      </c>
      <c r="K20" s="54">
        <f>IFERROR(VLOOKUP(J20,'Tax Rates'!$A$1:$AA$12,$K$18+1,FALSE),0)</f>
        <v>5.9049999999999998E-2</v>
      </c>
      <c r="L20" s="102">
        <v>-390</v>
      </c>
      <c r="M20" s="52">
        <f>E20</f>
        <v>0</v>
      </c>
      <c r="N20" s="52">
        <v>0</v>
      </c>
      <c r="O20" s="87">
        <f>ROUND(K20*-H20,0)</f>
        <v>-15</v>
      </c>
      <c r="P20" s="55">
        <f t="shared" si="6"/>
        <v>-405</v>
      </c>
      <c r="Q20" s="84"/>
      <c r="R20" s="52">
        <f>C20+P20</f>
        <v>95</v>
      </c>
    </row>
    <row r="21" spans="1:18" s="27" customFormat="1">
      <c r="A21" s="84">
        <v>9</v>
      </c>
      <c r="B21" s="84" t="s">
        <v>89</v>
      </c>
      <c r="C21" s="33">
        <f t="shared" si="2"/>
        <v>396014</v>
      </c>
      <c r="D21" s="51">
        <v>1</v>
      </c>
      <c r="E21" s="87">
        <f>ROUND(C21*-D21,0)</f>
        <v>-396014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4.462E-2</v>
      </c>
      <c r="L21" s="102">
        <v>-396014</v>
      </c>
      <c r="M21" s="52">
        <v>0</v>
      </c>
      <c r="N21" s="52">
        <f t="shared" si="5"/>
        <v>0</v>
      </c>
      <c r="O21" s="87">
        <f>ROUND(K21*-H21,0)</f>
        <v>0</v>
      </c>
      <c r="P21" s="55">
        <f t="shared" si="6"/>
        <v>-396014</v>
      </c>
      <c r="Q21" s="84"/>
      <c r="R21" s="52">
        <f>C21+P21</f>
        <v>0</v>
      </c>
    </row>
    <row r="22" spans="1:18" s="27" customFormat="1">
      <c r="A22" s="84">
        <v>10</v>
      </c>
      <c r="B22" s="84" t="s">
        <v>90</v>
      </c>
      <c r="C22" s="33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0</v>
      </c>
      <c r="L22" s="102">
        <v>0</v>
      </c>
      <c r="M22" s="52">
        <f>E22</f>
        <v>0</v>
      </c>
      <c r="N22" s="52">
        <f t="shared" si="5"/>
        <v>0</v>
      </c>
      <c r="O22" s="87">
        <f>ROUND(K22*-H22,0)</f>
        <v>0</v>
      </c>
      <c r="P22" s="55">
        <f t="shared" si="6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33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5.9049999999999998E-2</v>
      </c>
      <c r="L23" s="102">
        <v>0</v>
      </c>
      <c r="M23" s="52">
        <f>E23</f>
        <v>0</v>
      </c>
      <c r="N23" s="52">
        <f t="shared" si="5"/>
        <v>0</v>
      </c>
      <c r="O23" s="87">
        <f>ROUND(K23*-H23,0)</f>
        <v>0</v>
      </c>
      <c r="P23" s="55">
        <f t="shared" si="6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8">
        <f t="shared" si="2"/>
        <v>165239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f>E24</f>
        <v>0</v>
      </c>
      <c r="N24" s="63">
        <f t="shared" si="5"/>
        <v>0</v>
      </c>
      <c r="O24" s="88">
        <v>0</v>
      </c>
      <c r="P24" s="64">
        <f t="shared" si="6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1843366</v>
      </c>
      <c r="D25" s="84"/>
      <c r="E25" s="87">
        <f>SUM(E19:E24)</f>
        <v>-1677627</v>
      </c>
      <c r="F25" s="87">
        <f>SUM(F19:F24)</f>
        <v>500</v>
      </c>
      <c r="G25" s="87">
        <f>SUM(G19:G24)</f>
        <v>-250</v>
      </c>
      <c r="H25" s="55">
        <f>SUM(H19:H24)</f>
        <v>250</v>
      </c>
      <c r="I25" s="84"/>
      <c r="J25" s="84"/>
      <c r="K25" s="84"/>
      <c r="L25" s="55">
        <f>SUM(L19:L24)</f>
        <v>-1678017</v>
      </c>
      <c r="M25" s="87">
        <f>SUM(M19:M24)</f>
        <v>0</v>
      </c>
      <c r="N25" s="87">
        <f>SUM(N19:N24)</f>
        <v>0</v>
      </c>
      <c r="O25" s="87">
        <f>SUM(O19:O24)</f>
        <v>-15</v>
      </c>
      <c r="P25" s="55">
        <f>SUM(P19:P24)</f>
        <v>-1678032</v>
      </c>
      <c r="Q25" s="84"/>
      <c r="R25" s="52">
        <f>SUM(R19:R24)</f>
        <v>95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84"/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 t="shared" ref="D31:D36" si="7">J6</f>
        <v>943908</v>
      </c>
      <c r="E31" s="52">
        <f t="shared" ref="E31:E36" si="8">R19</f>
        <v>0</v>
      </c>
      <c r="F31" s="52">
        <f>E31-D31</f>
        <v>-943908</v>
      </c>
      <c r="G31" s="68">
        <v>0.37959999999999999</v>
      </c>
      <c r="H31" s="52">
        <f>ROUND(F31*0.3796,0)</f>
        <v>-358307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7">
        <f t="shared" si="7"/>
        <v>398</v>
      </c>
      <c r="E32" s="52">
        <f t="shared" si="8"/>
        <v>95</v>
      </c>
      <c r="F32" s="52">
        <f>E32-D32</f>
        <v>-303</v>
      </c>
      <c r="G32" s="67">
        <f>G31</f>
        <v>0.37959999999999999</v>
      </c>
      <c r="H32" s="52">
        <f t="shared" ref="H32:H36" si="9">ROUND(F32*0.3796,0)</f>
        <v>-115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8" s="27" customFormat="1">
      <c r="A33" s="84">
        <v>15</v>
      </c>
      <c r="B33" s="84" t="s">
        <v>89</v>
      </c>
      <c r="C33" s="84"/>
      <c r="D33" s="57">
        <f t="shared" si="7"/>
        <v>305464</v>
      </c>
      <c r="E33" s="52">
        <f t="shared" si="8"/>
        <v>0</v>
      </c>
      <c r="F33" s="52">
        <f>E33-D33</f>
        <v>-305464</v>
      </c>
      <c r="G33" s="67">
        <f>G31</f>
        <v>0.37959999999999999</v>
      </c>
      <c r="H33" s="52">
        <f t="shared" si="9"/>
        <v>-115954</v>
      </c>
    </row>
    <row r="34" spans="1:8" s="27" customFormat="1">
      <c r="A34" s="84">
        <v>16</v>
      </c>
      <c r="B34" s="84" t="s">
        <v>90</v>
      </c>
      <c r="C34" s="84"/>
      <c r="D34" s="57">
        <f t="shared" si="7"/>
        <v>0</v>
      </c>
      <c r="E34" s="52">
        <f t="shared" si="8"/>
        <v>0</v>
      </c>
      <c r="F34" s="52">
        <f>E34-D34</f>
        <v>0</v>
      </c>
      <c r="G34" s="67">
        <f>G31</f>
        <v>0.37959999999999999</v>
      </c>
      <c r="H34" s="52">
        <f t="shared" si="9"/>
        <v>0</v>
      </c>
    </row>
    <row r="35" spans="1:8" s="27" customFormat="1">
      <c r="A35" s="84">
        <v>17</v>
      </c>
      <c r="B35" s="84" t="s">
        <v>91</v>
      </c>
      <c r="C35" s="84"/>
      <c r="D35" s="57">
        <f t="shared" si="7"/>
        <v>0</v>
      </c>
      <c r="E35" s="52">
        <f t="shared" si="8"/>
        <v>0</v>
      </c>
      <c r="F35" s="52">
        <f>E35-D35</f>
        <v>0</v>
      </c>
      <c r="G35" s="67">
        <f>G31</f>
        <v>0.37959999999999999</v>
      </c>
      <c r="H35" s="52">
        <f t="shared" si="9"/>
        <v>0</v>
      </c>
    </row>
    <row r="36" spans="1:8" s="27" customFormat="1">
      <c r="A36" s="84">
        <v>18</v>
      </c>
      <c r="B36" s="84" t="s">
        <v>92</v>
      </c>
      <c r="C36" s="84"/>
      <c r="D36" s="59">
        <f t="shared" si="7"/>
        <v>150015</v>
      </c>
      <c r="E36" s="65" t="str">
        <f t="shared" si="8"/>
        <v>NA</v>
      </c>
      <c r="F36" s="59">
        <f>-D36</f>
        <v>-150015</v>
      </c>
      <c r="G36" s="69">
        <f>G31</f>
        <v>0.37959999999999999</v>
      </c>
      <c r="H36" s="59">
        <f t="shared" si="9"/>
        <v>-56946</v>
      </c>
    </row>
    <row r="37" spans="1:8" s="27" customFormat="1">
      <c r="A37" s="84"/>
      <c r="B37" s="84"/>
      <c r="C37" s="84"/>
      <c r="D37" s="52">
        <f>SUM(D31:D36)</f>
        <v>1399785</v>
      </c>
      <c r="E37" s="52">
        <f>SUM(E31:E36)</f>
        <v>95</v>
      </c>
      <c r="F37" s="52">
        <f>SUM(F31:F36)</f>
        <v>-1399690</v>
      </c>
      <c r="G37" s="84"/>
      <c r="H37" s="52">
        <f>SUM(H31:H36)</f>
        <v>-531322</v>
      </c>
    </row>
    <row r="39" spans="1:8">
      <c r="A39" s="15" t="s">
        <v>73</v>
      </c>
      <c r="B39" s="25" t="s">
        <v>112</v>
      </c>
      <c r="C39" s="25"/>
      <c r="D39" s="25"/>
      <c r="E39" s="25"/>
      <c r="F39" s="25"/>
      <c r="G39" s="25"/>
      <c r="H39" s="25"/>
    </row>
    <row r="40" spans="1:8">
      <c r="A40" s="15"/>
      <c r="B40" s="25"/>
      <c r="C40" s="25"/>
      <c r="D40" s="25"/>
      <c r="E40" s="25"/>
      <c r="F40" s="25"/>
      <c r="G40" s="25"/>
      <c r="H40" s="25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0"/>
  <sheetViews>
    <sheetView view="pageBreakPreview" topLeftCell="A16" zoomScaleNormal="100" zoomScaleSheetLayoutView="100" workbookViewId="0">
      <selection activeCell="E44" sqref="E44"/>
    </sheetView>
  </sheetViews>
  <sheetFormatPr defaultColWidth="9.140625" defaultRowHeight="15"/>
  <cols>
    <col min="1" max="1" width="14.42578125" style="19" customWidth="1"/>
    <col min="2" max="2" width="18.5703125" style="19" bestFit="1" customWidth="1"/>
    <col min="3" max="4" width="12.7109375" style="19" customWidth="1"/>
    <col min="5" max="5" width="11.28515625" style="19" bestFit="1" customWidth="1"/>
    <col min="6" max="6" width="12.7109375" style="19" customWidth="1"/>
    <col min="7" max="7" width="12.42578125" style="19" bestFit="1" customWidth="1"/>
    <col min="8" max="8" width="13.140625" style="19" bestFit="1" customWidth="1"/>
    <col min="9" max="9" width="2.7109375" style="19" customWidth="1"/>
    <col min="10" max="10" width="10.7109375" style="19" customWidth="1"/>
    <col min="11" max="11" width="8.140625" style="19" bestFit="1" customWidth="1"/>
    <col min="12" max="12" width="12.7109375" style="19" customWidth="1"/>
    <col min="13" max="14" width="11.28515625" style="19" bestFit="1" customWidth="1"/>
    <col min="15" max="15" width="8.42578125" style="19" bestFit="1" customWidth="1"/>
    <col min="16" max="16" width="11.28515625" style="19" bestFit="1" customWidth="1"/>
    <col min="17" max="17" width="2.7109375" style="19" customWidth="1"/>
    <col min="18" max="18" width="13.7109375" style="19" bestFit="1" customWidth="1"/>
    <col min="19" max="19" width="7.7109375" style="19" bestFit="1" customWidth="1"/>
    <col min="20" max="20" width="7.42578125" style="19" bestFit="1" customWidth="1"/>
    <col min="21" max="16384" width="9.140625" style="19"/>
  </cols>
  <sheetData>
    <row r="1" spans="1:18">
      <c r="A1" s="22" t="s">
        <v>70</v>
      </c>
      <c r="B1" s="7">
        <v>2015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2" t="s">
        <v>72</v>
      </c>
      <c r="B2" s="25"/>
      <c r="C2" s="25"/>
      <c r="D2" s="14" t="s">
        <v>73</v>
      </c>
      <c r="E2" s="25"/>
      <c r="F2" s="125" t="s">
        <v>75</v>
      </c>
      <c r="G2" s="125"/>
      <c r="H2" s="1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A3" s="25"/>
      <c r="B3" s="25"/>
      <c r="C3" s="25"/>
      <c r="D3" s="16" t="s">
        <v>74</v>
      </c>
      <c r="E3" s="25"/>
      <c r="F3" s="20"/>
      <c r="G3" s="14"/>
      <c r="H3" s="20"/>
      <c r="I3" s="25"/>
      <c r="J3" s="23" t="s">
        <v>76</v>
      </c>
      <c r="K3" s="25"/>
      <c r="L3" s="25"/>
      <c r="M3" s="25"/>
      <c r="N3" s="25"/>
      <c r="O3" s="25"/>
      <c r="P3" s="25"/>
      <c r="Q3" s="25"/>
      <c r="R3" s="25"/>
    </row>
    <row r="4" spans="1:18">
      <c r="A4" s="25"/>
      <c r="B4" s="25"/>
      <c r="C4" s="16">
        <v>2015</v>
      </c>
      <c r="D4" s="16" t="s">
        <v>77</v>
      </c>
      <c r="E4" s="25"/>
      <c r="F4" s="16"/>
      <c r="G4" s="16" t="s">
        <v>78</v>
      </c>
      <c r="H4" s="16"/>
      <c r="I4" s="25"/>
      <c r="J4" s="16" t="s">
        <v>79</v>
      </c>
      <c r="K4" s="25"/>
      <c r="L4" s="25"/>
      <c r="M4" s="25"/>
      <c r="N4" s="25"/>
      <c r="O4" s="16" t="s">
        <v>80</v>
      </c>
      <c r="P4" s="16" t="s">
        <v>80</v>
      </c>
      <c r="Q4" s="25"/>
      <c r="R4" s="25"/>
    </row>
    <row r="5" spans="1:18">
      <c r="A5" s="25"/>
      <c r="B5" s="25"/>
      <c r="C5" s="123" t="s">
        <v>81</v>
      </c>
      <c r="D5" s="10">
        <v>8</v>
      </c>
      <c r="E5" s="25"/>
      <c r="F5" s="123" t="s">
        <v>82</v>
      </c>
      <c r="G5" s="123" t="s">
        <v>83</v>
      </c>
      <c r="H5" s="123" t="s">
        <v>84</v>
      </c>
      <c r="I5" s="25"/>
      <c r="J5" s="123" t="s">
        <v>85</v>
      </c>
      <c r="K5" s="25"/>
      <c r="L5" s="25"/>
      <c r="M5" s="25"/>
      <c r="N5" s="25"/>
      <c r="O5" s="123" t="s">
        <v>65</v>
      </c>
      <c r="P5" s="123" t="s">
        <v>86</v>
      </c>
      <c r="Q5" s="25"/>
      <c r="R5" s="25"/>
    </row>
    <row r="6" spans="1:18">
      <c r="A6" s="25">
        <v>1</v>
      </c>
      <c r="B6" s="25" t="s">
        <v>87</v>
      </c>
      <c r="C6" s="100">
        <v>1201977</v>
      </c>
      <c r="D6" s="2">
        <v>3.1E-2</v>
      </c>
      <c r="E6" s="25"/>
      <c r="F6" s="100">
        <v>-242197</v>
      </c>
      <c r="G6" s="18">
        <f>ROUND(IF(D$5=1,-0.5*D6*C6,-D6*C6),0)</f>
        <v>-37261</v>
      </c>
      <c r="H6" s="18">
        <f t="shared" ref="H6:H11" si="0">SUM(F6:G6)</f>
        <v>-279458</v>
      </c>
      <c r="I6" s="25"/>
      <c r="J6" s="5">
        <f t="shared" ref="J6:J11" si="1">C6+H6</f>
        <v>922519</v>
      </c>
      <c r="K6" s="25"/>
      <c r="L6" s="25"/>
      <c r="M6" s="25"/>
      <c r="N6" s="25"/>
      <c r="O6" s="11">
        <v>1E-4</v>
      </c>
      <c r="P6" s="17">
        <f>ROUND(IF(D$5=1,-0.5*O6*C6,-O6*C6),0)</f>
        <v>-120</v>
      </c>
      <c r="Q6" s="25"/>
      <c r="R6" s="25"/>
    </row>
    <row r="7" spans="1:18">
      <c r="A7" s="25">
        <v>2</v>
      </c>
      <c r="B7" s="25" t="s">
        <v>88</v>
      </c>
      <c r="C7" s="100">
        <v>87414</v>
      </c>
      <c r="D7" s="2">
        <v>2.3300000000000001E-2</v>
      </c>
      <c r="E7" s="25"/>
      <c r="F7" s="100">
        <v>-13240</v>
      </c>
      <c r="G7" s="18">
        <f>ROUND(IF(D$5=1,-0.5*D7*C7,-D7*C7),0)</f>
        <v>-2037</v>
      </c>
      <c r="H7" s="18">
        <f t="shared" si="0"/>
        <v>-15277</v>
      </c>
      <c r="I7" s="25"/>
      <c r="J7" s="5">
        <f t="shared" si="1"/>
        <v>72137</v>
      </c>
      <c r="K7" s="25"/>
      <c r="L7" s="25"/>
      <c r="M7" s="25"/>
      <c r="N7" s="25"/>
      <c r="O7" s="11">
        <v>2.0000000000000001E-4</v>
      </c>
      <c r="P7" s="5">
        <f>ROUND(IF(D$5=1,-0.5*O7*C7,-O7*C7),0)</f>
        <v>-17</v>
      </c>
      <c r="Q7" s="25"/>
      <c r="R7" s="25"/>
    </row>
    <row r="8" spans="1:18">
      <c r="A8" s="25">
        <v>3</v>
      </c>
      <c r="B8" s="25" t="s">
        <v>89</v>
      </c>
      <c r="C8" s="100">
        <v>137797</v>
      </c>
      <c r="D8" s="2">
        <v>2.69E-2</v>
      </c>
      <c r="E8" s="25"/>
      <c r="F8" s="100">
        <v>-24095</v>
      </c>
      <c r="G8" s="18">
        <f>ROUND(IF(D$5=1,-0.5*D8*C8,-D8*C8),0)</f>
        <v>-3707</v>
      </c>
      <c r="H8" s="18">
        <f t="shared" si="0"/>
        <v>-27802</v>
      </c>
      <c r="I8" s="25"/>
      <c r="J8" s="5">
        <f t="shared" si="1"/>
        <v>109995</v>
      </c>
      <c r="K8" s="25"/>
      <c r="L8" s="25"/>
      <c r="M8" s="25"/>
      <c r="N8" s="25"/>
      <c r="O8" s="11">
        <v>4.1999999999999997E-3</v>
      </c>
      <c r="P8" s="5">
        <f>ROUND(IF(D$5=1,-0.5*O8*C8,-O8*C8),0)</f>
        <v>-579</v>
      </c>
      <c r="Q8" s="25"/>
      <c r="R8" s="25"/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E9" s="25"/>
      <c r="F9" s="100">
        <v>0</v>
      </c>
      <c r="G9" s="18">
        <f>ROUND(IF(D$5=1,-0.5*D9*C9,-D9*C9),0)</f>
        <v>0</v>
      </c>
      <c r="H9" s="18">
        <f t="shared" si="0"/>
        <v>0</v>
      </c>
      <c r="I9" s="25"/>
      <c r="J9" s="5">
        <f t="shared" si="1"/>
        <v>0</v>
      </c>
      <c r="K9" s="25"/>
      <c r="L9" s="25"/>
      <c r="M9" s="25"/>
      <c r="N9" s="25"/>
      <c r="O9" s="11">
        <v>0</v>
      </c>
      <c r="P9" s="5">
        <f>IF(D$5=1,-0.5*O9*C9,-O9*C9)</f>
        <v>0</v>
      </c>
      <c r="Q9" s="25"/>
      <c r="R9" s="25"/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E10" s="25"/>
      <c r="F10" s="100">
        <v>0</v>
      </c>
      <c r="G10" s="18">
        <f>ROUND(IF(D$5=1,-0.5*D10*C10,-D10*C10),0)</f>
        <v>0</v>
      </c>
      <c r="H10" s="18">
        <f t="shared" si="0"/>
        <v>0</v>
      </c>
      <c r="I10" s="25"/>
      <c r="J10" s="5">
        <f t="shared" si="1"/>
        <v>0</v>
      </c>
      <c r="K10" s="25"/>
      <c r="L10" s="25"/>
      <c r="M10" s="25"/>
      <c r="N10" s="25"/>
      <c r="O10" s="11">
        <v>0</v>
      </c>
      <c r="P10" s="5">
        <f>IF(D$5=1,-0.5*O10*C10,-O10*C10)</f>
        <v>0</v>
      </c>
      <c r="Q10" s="25"/>
      <c r="R10" s="25"/>
    </row>
    <row r="11" spans="1:18">
      <c r="A11" s="25">
        <v>6</v>
      </c>
      <c r="B11" s="25" t="s">
        <v>92</v>
      </c>
      <c r="C11" s="101">
        <v>331639</v>
      </c>
      <c r="D11" s="3" t="s">
        <v>93</v>
      </c>
      <c r="E11" s="25"/>
      <c r="F11" s="101">
        <v>-4654</v>
      </c>
      <c r="G11" s="21">
        <f>P12</f>
        <v>-716</v>
      </c>
      <c r="H11" s="21">
        <f t="shared" si="0"/>
        <v>-5370</v>
      </c>
      <c r="I11" s="25"/>
      <c r="J11" s="6">
        <f t="shared" si="1"/>
        <v>326269</v>
      </c>
      <c r="K11" s="25"/>
      <c r="L11" s="25"/>
      <c r="M11" s="25"/>
      <c r="N11" s="25"/>
      <c r="O11" s="24">
        <v>0</v>
      </c>
      <c r="P11" s="6">
        <f>IF(D$5=1,-0.5*O11*C11,-O11*C11)</f>
        <v>0</v>
      </c>
      <c r="Q11" s="25"/>
      <c r="R11" s="25"/>
    </row>
    <row r="12" spans="1:18">
      <c r="A12" s="25"/>
      <c r="B12" s="25"/>
      <c r="C12" s="18">
        <f>SUM(C6:C11)</f>
        <v>1758827</v>
      </c>
      <c r="D12" s="18"/>
      <c r="E12" s="25"/>
      <c r="F12" s="100">
        <f>SUM(F5:F11)</f>
        <v>-284186</v>
      </c>
      <c r="G12" s="18">
        <f>SUM(G5:G11)</f>
        <v>-43721</v>
      </c>
      <c r="H12" s="18">
        <f>SUM(H5:H11)</f>
        <v>-327907</v>
      </c>
      <c r="I12" s="25"/>
      <c r="J12" s="5">
        <f>SUM(J6:J11)</f>
        <v>1430920</v>
      </c>
      <c r="K12" s="25"/>
      <c r="L12" s="25"/>
      <c r="M12" s="25"/>
      <c r="N12" s="25"/>
      <c r="O12" s="5"/>
      <c r="P12" s="17">
        <f>SUM(P5:P11)</f>
        <v>-716</v>
      </c>
      <c r="Q12" s="25"/>
      <c r="R12" s="25"/>
    </row>
    <row r="13" spans="1:18" ht="14.25" customHeight="1">
      <c r="A13" s="25"/>
      <c r="B13" s="25"/>
      <c r="C13" s="18"/>
      <c r="D13" s="18"/>
      <c r="E13" s="18"/>
      <c r="F13" s="18"/>
      <c r="G13" s="25"/>
      <c r="H13" s="25"/>
      <c r="I13" s="25"/>
      <c r="J13" s="25"/>
      <c r="K13" s="25"/>
      <c r="L13" s="25"/>
      <c r="M13" s="16"/>
      <c r="N13" s="20"/>
      <c r="O13" s="25"/>
      <c r="P13" s="25"/>
      <c r="Q13" s="25"/>
      <c r="R13" s="25"/>
    </row>
    <row r="14" spans="1:18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6"/>
      <c r="N14" s="20"/>
      <c r="O14" s="25"/>
      <c r="P14" s="25"/>
      <c r="Q14" s="25"/>
      <c r="R14" s="25"/>
    </row>
    <row r="15" spans="1:18">
      <c r="A15" s="25"/>
      <c r="B15" s="25"/>
      <c r="C15" s="25"/>
      <c r="D15" s="1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s="27" customFormat="1">
      <c r="A16" s="84"/>
      <c r="B16" s="84"/>
      <c r="C16" s="93"/>
      <c r="D16" s="95" t="s">
        <v>94</v>
      </c>
      <c r="E16" s="93"/>
      <c r="F16" s="93"/>
      <c r="G16" s="48">
        <v>0.5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84"/>
      <c r="R16" s="50" t="s">
        <v>97</v>
      </c>
    </row>
    <row r="17" spans="1:18" s="27" customFormat="1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84"/>
      <c r="R17" s="95" t="s">
        <v>79</v>
      </c>
    </row>
    <row r="18" spans="1:18" s="27" customFormat="1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8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84"/>
      <c r="R18" s="122" t="s">
        <v>85</v>
      </c>
    </row>
    <row r="19" spans="1:18" s="27" customFormat="1">
      <c r="A19" s="84">
        <v>7</v>
      </c>
      <c r="B19" s="84" t="s">
        <v>87</v>
      </c>
      <c r="C19" s="87">
        <f t="shared" ref="C19:C24" si="2">C6</f>
        <v>1201977</v>
      </c>
      <c r="D19" s="51">
        <v>0.91900000000000004</v>
      </c>
      <c r="E19" s="87">
        <f>ROUND(C19*-D19,0)</f>
        <v>-1104617</v>
      </c>
      <c r="F19" s="52">
        <f>C19+E19</f>
        <v>97360</v>
      </c>
      <c r="G19" s="52">
        <f t="shared" ref="G19:G24" si="3">ROUND(F19*-$G$16,0)</f>
        <v>-48680</v>
      </c>
      <c r="H19" s="53">
        <f t="shared" ref="H19:H24" si="4">F19+G19</f>
        <v>48680</v>
      </c>
      <c r="I19" s="84"/>
      <c r="J19" s="84">
        <v>15</v>
      </c>
      <c r="K19" s="54">
        <f>IFERROR(VLOOKUP(J19,'Tax Rates'!$A$1:$AA$12,$K$18+1,FALSE),0)</f>
        <v>5.9049999999999998E-2</v>
      </c>
      <c r="L19" s="102">
        <v>-1177544</v>
      </c>
      <c r="M19" s="52">
        <v>0</v>
      </c>
      <c r="N19" s="52">
        <v>0</v>
      </c>
      <c r="O19" s="87">
        <f>ROUND(K19*-H19,0)</f>
        <v>-2875</v>
      </c>
      <c r="P19" s="55">
        <f t="shared" ref="P19:P24" si="5">SUM(L19:O19)</f>
        <v>-1180419</v>
      </c>
      <c r="Q19" s="84"/>
      <c r="R19" s="52">
        <f>C19+P19</f>
        <v>21558</v>
      </c>
    </row>
    <row r="20" spans="1:18" s="27" customFormat="1">
      <c r="A20" s="84">
        <v>8</v>
      </c>
      <c r="B20" s="84" t="s">
        <v>88</v>
      </c>
      <c r="C20" s="33">
        <f t="shared" si="2"/>
        <v>87414</v>
      </c>
      <c r="D20" s="56">
        <f>-E20/C20</f>
        <v>0.25458164596060129</v>
      </c>
      <c r="E20" s="34">
        <v>-22254</v>
      </c>
      <c r="F20" s="52">
        <f>C20+E20</f>
        <v>65160</v>
      </c>
      <c r="G20" s="52">
        <f t="shared" si="3"/>
        <v>-32580</v>
      </c>
      <c r="H20" s="53">
        <f t="shared" si="4"/>
        <v>32580</v>
      </c>
      <c r="I20" s="84"/>
      <c r="J20" s="84">
        <v>15</v>
      </c>
      <c r="K20" s="54">
        <f>IFERROR(VLOOKUP(J20,'Tax Rates'!$A$1:$AA$12,$K$18+1,FALSE),0)</f>
        <v>5.9049999999999998E-2</v>
      </c>
      <c r="L20" s="102">
        <v>-71062</v>
      </c>
      <c r="M20" s="52">
        <v>0</v>
      </c>
      <c r="N20" s="52">
        <v>0</v>
      </c>
      <c r="O20" s="87">
        <f>ROUND(K20*-H20,0)</f>
        <v>-1924</v>
      </c>
      <c r="P20" s="55">
        <f t="shared" si="5"/>
        <v>-72986</v>
      </c>
      <c r="Q20" s="84"/>
      <c r="R20" s="52">
        <f>C20+P20</f>
        <v>14428</v>
      </c>
    </row>
    <row r="21" spans="1:18" s="27" customFormat="1">
      <c r="A21" s="84">
        <v>9</v>
      </c>
      <c r="B21" s="84" t="s">
        <v>89</v>
      </c>
      <c r="C21" s="33">
        <f t="shared" si="2"/>
        <v>137797</v>
      </c>
      <c r="D21" s="51">
        <v>1</v>
      </c>
      <c r="E21" s="87">
        <f>ROUND(C21*-D21,0)</f>
        <v>-137797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4.5220000000000003E-2</v>
      </c>
      <c r="L21" s="102">
        <v>-137797</v>
      </c>
      <c r="M21" s="52">
        <v>0</v>
      </c>
      <c r="N21" s="52">
        <f t="shared" ref="N21:N24" si="6">G21</f>
        <v>0</v>
      </c>
      <c r="O21" s="87">
        <f>ROUND(K21*-H21,0)</f>
        <v>0</v>
      </c>
      <c r="P21" s="55">
        <f t="shared" si="5"/>
        <v>-137797</v>
      </c>
      <c r="Q21" s="84"/>
      <c r="R21" s="52">
        <f>C21+P21</f>
        <v>0</v>
      </c>
    </row>
    <row r="22" spans="1:18" s="27" customFormat="1">
      <c r="A22" s="84">
        <v>10</v>
      </c>
      <c r="B22" s="84" t="s">
        <v>90</v>
      </c>
      <c r="C22" s="33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4.462E-2</v>
      </c>
      <c r="L22" s="102">
        <v>0</v>
      </c>
      <c r="M22" s="52">
        <f t="shared" ref="M22:M24" si="7">E22</f>
        <v>0</v>
      </c>
      <c r="N22" s="52">
        <f t="shared" si="6"/>
        <v>0</v>
      </c>
      <c r="O22" s="87">
        <f>ROUND(K22*-H22,0)</f>
        <v>0</v>
      </c>
      <c r="P22" s="55">
        <f t="shared" si="5"/>
        <v>0</v>
      </c>
      <c r="Q22" s="84"/>
      <c r="R22" s="52">
        <f>C22+P22</f>
        <v>0</v>
      </c>
    </row>
    <row r="23" spans="1:18" s="27" customFormat="1">
      <c r="A23" s="84">
        <v>11</v>
      </c>
      <c r="B23" s="84" t="s">
        <v>91</v>
      </c>
      <c r="C23" s="33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5.9049999999999998E-2</v>
      </c>
      <c r="L23" s="102">
        <v>0</v>
      </c>
      <c r="M23" s="52">
        <f t="shared" si="7"/>
        <v>0</v>
      </c>
      <c r="N23" s="52">
        <f t="shared" si="6"/>
        <v>0</v>
      </c>
      <c r="O23" s="87">
        <f>ROUND(K23*-H23,0)</f>
        <v>0</v>
      </c>
      <c r="P23" s="55">
        <f t="shared" si="5"/>
        <v>0</v>
      </c>
      <c r="Q23" s="84"/>
      <c r="R23" s="52">
        <f>C23+P23</f>
        <v>0</v>
      </c>
    </row>
    <row r="24" spans="1:18" s="27" customFormat="1">
      <c r="A24" s="84">
        <v>12</v>
      </c>
      <c r="B24" s="84" t="s">
        <v>92</v>
      </c>
      <c r="C24" s="88">
        <f t="shared" si="2"/>
        <v>331639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f t="shared" si="7"/>
        <v>0</v>
      </c>
      <c r="N24" s="63">
        <f t="shared" si="6"/>
        <v>0</v>
      </c>
      <c r="O24" s="88">
        <v>0</v>
      </c>
      <c r="P24" s="64">
        <f t="shared" si="5"/>
        <v>0</v>
      </c>
      <c r="Q24" s="84"/>
      <c r="R24" s="65" t="s">
        <v>105</v>
      </c>
    </row>
    <row r="25" spans="1:18" s="27" customFormat="1">
      <c r="A25" s="84"/>
      <c r="B25" s="84"/>
      <c r="C25" s="87">
        <f>SUM(C18:C24)</f>
        <v>1758827</v>
      </c>
      <c r="D25" s="84"/>
      <c r="E25" s="87">
        <f>SUM(E19:E24)</f>
        <v>-1264668</v>
      </c>
      <c r="F25" s="87">
        <f>SUM(F19:F24)</f>
        <v>162520</v>
      </c>
      <c r="G25" s="87">
        <f>SUM(G19:G24)</f>
        <v>-81260</v>
      </c>
      <c r="H25" s="55">
        <f>SUM(H19:H24)</f>
        <v>81260</v>
      </c>
      <c r="I25" s="84"/>
      <c r="J25" s="84"/>
      <c r="K25" s="84"/>
      <c r="L25" s="55">
        <f>SUM(L19:L24)</f>
        <v>-1386403</v>
      </c>
      <c r="M25" s="87">
        <f>SUM(M19:M24)</f>
        <v>0</v>
      </c>
      <c r="N25" s="87">
        <f>SUM(N19:N24)</f>
        <v>0</v>
      </c>
      <c r="O25" s="87">
        <f>SUM(O19:O24)</f>
        <v>-4799</v>
      </c>
      <c r="P25" s="55">
        <f>SUM(P19:P24)</f>
        <v>-1391202</v>
      </c>
      <c r="Q25" s="84"/>
      <c r="R25" s="52">
        <f>SUM(R19:R24)</f>
        <v>35986</v>
      </c>
    </row>
    <row r="26" spans="1:18" s="27" customFormat="1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84"/>
      <c r="R26" s="84"/>
    </row>
    <row r="27" spans="1:18" s="27" customFormat="1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s="27" customFormat="1">
      <c r="A28" s="84"/>
      <c r="B28" s="84"/>
      <c r="C28" s="84"/>
      <c r="D28" s="84"/>
      <c r="E28" s="87"/>
      <c r="F28" s="50" t="s">
        <v>106</v>
      </c>
      <c r="G28" s="84"/>
      <c r="H28" s="67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s="27" customFormat="1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s="27" customFormat="1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s="27" customFormat="1">
      <c r="A31" s="84">
        <v>13</v>
      </c>
      <c r="B31" s="84" t="s">
        <v>87</v>
      </c>
      <c r="C31" s="84"/>
      <c r="D31" s="52">
        <f t="shared" ref="D31:D36" si="8">J6</f>
        <v>922519</v>
      </c>
      <c r="E31" s="52">
        <f t="shared" ref="E31:E36" si="9">R19</f>
        <v>21558</v>
      </c>
      <c r="F31" s="52">
        <f>E31-D31</f>
        <v>-900961</v>
      </c>
      <c r="G31" s="68">
        <v>0.37959999999999999</v>
      </c>
      <c r="H31" s="52">
        <f>ROUND(F31*0.3796,0)</f>
        <v>-342005</v>
      </c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s="27" customFormat="1">
      <c r="A32" s="84">
        <v>14</v>
      </c>
      <c r="B32" s="84" t="s">
        <v>88</v>
      </c>
      <c r="C32" s="84"/>
      <c r="D32" s="57">
        <f t="shared" si="8"/>
        <v>72137</v>
      </c>
      <c r="E32" s="52">
        <f t="shared" si="9"/>
        <v>14428</v>
      </c>
      <c r="F32" s="52">
        <f>E32-D32</f>
        <v>-57709</v>
      </c>
      <c r="G32" s="67">
        <f>G31</f>
        <v>0.37959999999999999</v>
      </c>
      <c r="H32" s="52">
        <f t="shared" ref="H32:H36" si="10">ROUND(F32*0.3796,0)</f>
        <v>-21906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8" s="27" customFormat="1">
      <c r="A33" s="84">
        <v>15</v>
      </c>
      <c r="B33" s="84" t="s">
        <v>89</v>
      </c>
      <c r="C33" s="84"/>
      <c r="D33" s="57">
        <f t="shared" si="8"/>
        <v>109995</v>
      </c>
      <c r="E33" s="52">
        <f t="shared" si="9"/>
        <v>0</v>
      </c>
      <c r="F33" s="52">
        <f>E33-D33</f>
        <v>-109995</v>
      </c>
      <c r="G33" s="67">
        <f>G31</f>
        <v>0.37959999999999999</v>
      </c>
      <c r="H33" s="52">
        <f t="shared" si="10"/>
        <v>-41754</v>
      </c>
    </row>
    <row r="34" spans="1:8" s="27" customFormat="1">
      <c r="A34" s="84">
        <v>16</v>
      </c>
      <c r="B34" s="84" t="s">
        <v>90</v>
      </c>
      <c r="C34" s="84"/>
      <c r="D34" s="57">
        <f t="shared" si="8"/>
        <v>0</v>
      </c>
      <c r="E34" s="52">
        <f t="shared" si="9"/>
        <v>0</v>
      </c>
      <c r="F34" s="52">
        <f>E34-D34</f>
        <v>0</v>
      </c>
      <c r="G34" s="67">
        <f>G31</f>
        <v>0.37959999999999999</v>
      </c>
      <c r="H34" s="52">
        <f t="shared" si="10"/>
        <v>0</v>
      </c>
    </row>
    <row r="35" spans="1:8" s="27" customFormat="1">
      <c r="A35" s="84">
        <v>17</v>
      </c>
      <c r="B35" s="84" t="s">
        <v>91</v>
      </c>
      <c r="C35" s="84"/>
      <c r="D35" s="57">
        <f t="shared" si="8"/>
        <v>0</v>
      </c>
      <c r="E35" s="52">
        <f t="shared" si="9"/>
        <v>0</v>
      </c>
      <c r="F35" s="52">
        <f>E35-D35</f>
        <v>0</v>
      </c>
      <c r="G35" s="67">
        <f>G31</f>
        <v>0.37959999999999999</v>
      </c>
      <c r="H35" s="52">
        <f t="shared" si="10"/>
        <v>0</v>
      </c>
    </row>
    <row r="36" spans="1:8" s="27" customFormat="1">
      <c r="A36" s="84">
        <v>18</v>
      </c>
      <c r="B36" s="84" t="s">
        <v>92</v>
      </c>
      <c r="C36" s="84"/>
      <c r="D36" s="59">
        <f t="shared" si="8"/>
        <v>326269</v>
      </c>
      <c r="E36" s="65" t="str">
        <f t="shared" si="9"/>
        <v>NA</v>
      </c>
      <c r="F36" s="59">
        <f>-D36</f>
        <v>-326269</v>
      </c>
      <c r="G36" s="69">
        <f>G31</f>
        <v>0.37959999999999999</v>
      </c>
      <c r="H36" s="59">
        <f t="shared" si="10"/>
        <v>-123852</v>
      </c>
    </row>
    <row r="37" spans="1:8" s="27" customFormat="1">
      <c r="A37" s="84"/>
      <c r="B37" s="84"/>
      <c r="C37" s="84"/>
      <c r="D37" s="52">
        <f>SUM(D31:D36)</f>
        <v>1430920</v>
      </c>
      <c r="E37" s="52">
        <f>SUM(E31:E36)</f>
        <v>35986</v>
      </c>
      <c r="F37" s="52">
        <f>SUM(F31:F36)</f>
        <v>-1394934</v>
      </c>
      <c r="G37" s="84"/>
      <c r="H37" s="52">
        <f>SUM(H31:H36)</f>
        <v>-529517</v>
      </c>
    </row>
    <row r="39" spans="1:8">
      <c r="A39" s="15" t="s">
        <v>73</v>
      </c>
      <c r="B39" s="25" t="s">
        <v>112</v>
      </c>
      <c r="C39" s="25"/>
      <c r="D39" s="25"/>
      <c r="E39" s="25"/>
      <c r="F39" s="25"/>
      <c r="G39" s="25"/>
      <c r="H39" s="25"/>
    </row>
    <row r="40" spans="1:8">
      <c r="A40" s="15"/>
      <c r="B40" s="25"/>
      <c r="C40" s="25"/>
      <c r="D40" s="25"/>
      <c r="E40" s="25"/>
      <c r="F40" s="25"/>
      <c r="G40" s="25"/>
      <c r="H40" s="25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view="pageBreakPreview" topLeftCell="A16" zoomScaleNormal="100" zoomScaleSheetLayoutView="100" workbookViewId="0">
      <selection activeCell="E44" sqref="E44"/>
    </sheetView>
  </sheetViews>
  <sheetFormatPr defaultColWidth="9.140625" defaultRowHeight="15"/>
  <cols>
    <col min="1" max="1" width="14.42578125" style="19" customWidth="1"/>
    <col min="2" max="2" width="18.5703125" style="19" bestFit="1" customWidth="1"/>
    <col min="3" max="4" width="12.7109375" style="19" customWidth="1"/>
    <col min="5" max="5" width="11.28515625" style="19" bestFit="1" customWidth="1"/>
    <col min="6" max="6" width="12.7109375" style="19" customWidth="1"/>
    <col min="7" max="7" width="12.42578125" style="19" bestFit="1" customWidth="1"/>
    <col min="8" max="8" width="13.140625" style="19" bestFit="1" customWidth="1"/>
    <col min="9" max="9" width="2.7109375" style="19" customWidth="1"/>
    <col min="10" max="10" width="10.7109375" style="19" customWidth="1"/>
    <col min="11" max="11" width="8.140625" style="19" bestFit="1" customWidth="1"/>
    <col min="12" max="12" width="12.7109375" style="19" customWidth="1"/>
    <col min="13" max="14" width="11.28515625" style="19" bestFit="1" customWidth="1"/>
    <col min="15" max="15" width="8.42578125" style="19" bestFit="1" customWidth="1"/>
    <col min="16" max="16" width="11.28515625" style="19" bestFit="1" customWidth="1"/>
    <col min="17" max="17" width="2.7109375" style="19" customWidth="1"/>
    <col min="18" max="18" width="13.7109375" style="19" bestFit="1" customWidth="1"/>
    <col min="19" max="19" width="7.7109375" style="19" bestFit="1" customWidth="1"/>
    <col min="20" max="20" width="7.42578125" style="19" bestFit="1" customWidth="1"/>
    <col min="21" max="16384" width="9.140625" style="19"/>
  </cols>
  <sheetData>
    <row r="1" spans="1:18">
      <c r="A1" s="22" t="s">
        <v>70</v>
      </c>
      <c r="B1" s="7">
        <v>2016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>
      <c r="A2" s="22" t="s">
        <v>72</v>
      </c>
      <c r="B2" s="25"/>
      <c r="C2" s="25"/>
      <c r="D2" s="14" t="s">
        <v>73</v>
      </c>
      <c r="E2" s="25"/>
      <c r="F2" s="125" t="s">
        <v>75</v>
      </c>
      <c r="G2" s="125"/>
      <c r="H2" s="1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A3" s="25"/>
      <c r="B3" s="25"/>
      <c r="C3" s="25"/>
      <c r="D3" s="16" t="s">
        <v>74</v>
      </c>
      <c r="E3" s="25"/>
      <c r="F3" s="20"/>
      <c r="G3" s="14"/>
      <c r="H3" s="20"/>
      <c r="I3" s="25"/>
      <c r="J3" s="23" t="s">
        <v>76</v>
      </c>
      <c r="K3" s="25"/>
      <c r="L3" s="25"/>
      <c r="M3" s="25"/>
      <c r="N3" s="25"/>
      <c r="O3" s="25"/>
      <c r="P3" s="25"/>
      <c r="Q3" s="25"/>
      <c r="R3" s="25"/>
    </row>
    <row r="4" spans="1:18">
      <c r="A4" s="25"/>
      <c r="B4" s="25"/>
      <c r="C4" s="16">
        <v>2016</v>
      </c>
      <c r="D4" s="16" t="s">
        <v>77</v>
      </c>
      <c r="E4" s="25"/>
      <c r="F4" s="16"/>
      <c r="G4" s="16" t="s">
        <v>78</v>
      </c>
      <c r="H4" s="16"/>
      <c r="I4" s="25"/>
      <c r="J4" s="16" t="s">
        <v>79</v>
      </c>
      <c r="K4" s="25"/>
      <c r="L4" s="25"/>
      <c r="M4" s="25"/>
      <c r="N4" s="25"/>
      <c r="O4" s="16" t="s">
        <v>80</v>
      </c>
      <c r="P4" s="16" t="s">
        <v>80</v>
      </c>
      <c r="Q4" s="25"/>
      <c r="R4" s="25"/>
    </row>
    <row r="5" spans="1:18">
      <c r="A5" s="25"/>
      <c r="B5" s="25"/>
      <c r="C5" s="123" t="s">
        <v>81</v>
      </c>
      <c r="D5" s="10">
        <v>7</v>
      </c>
      <c r="E5" s="25"/>
      <c r="F5" s="123" t="s">
        <v>82</v>
      </c>
      <c r="G5" s="123" t="s">
        <v>83</v>
      </c>
      <c r="H5" s="123" t="s">
        <v>84</v>
      </c>
      <c r="I5" s="25"/>
      <c r="J5" s="123" t="s">
        <v>85</v>
      </c>
      <c r="K5" s="25"/>
      <c r="L5" s="25"/>
      <c r="M5" s="25"/>
      <c r="N5" s="25"/>
      <c r="O5" s="123" t="s">
        <v>65</v>
      </c>
      <c r="P5" s="123" t="s">
        <v>86</v>
      </c>
      <c r="Q5" s="25"/>
      <c r="R5" s="25"/>
    </row>
    <row r="6" spans="1:18">
      <c r="A6" s="25">
        <v>1</v>
      </c>
      <c r="B6" s="25" t="s">
        <v>87</v>
      </c>
      <c r="C6" s="100">
        <v>2328216</v>
      </c>
      <c r="D6" s="2">
        <v>3.1E-2</v>
      </c>
      <c r="E6" s="25"/>
      <c r="F6" s="100">
        <v>-396962</v>
      </c>
      <c r="G6" s="18">
        <f>ROUND(IF(D$5=1,-0.5*D6*C6,-D6*C6),0)</f>
        <v>-72175</v>
      </c>
      <c r="H6" s="18">
        <f t="shared" ref="H6:H11" si="0">SUM(F6:G6)</f>
        <v>-469137</v>
      </c>
      <c r="I6" s="25"/>
      <c r="J6" s="5">
        <f t="shared" ref="J6:J11" si="1">C6+H6</f>
        <v>1859079</v>
      </c>
      <c r="K6" s="25"/>
      <c r="L6" s="25"/>
      <c r="M6" s="25"/>
      <c r="N6" s="25"/>
      <c r="O6" s="11">
        <v>1E-4</v>
      </c>
      <c r="P6" s="17">
        <f>ROUND(IF(D$5=1,-0.5*O6*C6,-O6*C6),0)</f>
        <v>-233</v>
      </c>
      <c r="Q6" s="25"/>
      <c r="R6" s="25"/>
    </row>
    <row r="7" spans="1:18">
      <c r="A7" s="25">
        <v>2</v>
      </c>
      <c r="B7" s="25" t="s">
        <v>88</v>
      </c>
      <c r="C7" s="100">
        <v>219764</v>
      </c>
      <c r="D7" s="2">
        <v>2.3300000000000001E-2</v>
      </c>
      <c r="E7" s="25"/>
      <c r="F7" s="100">
        <v>-28165</v>
      </c>
      <c r="G7" s="18">
        <f>ROUND(IF(D$5=1,-0.5*D7*C7,-D7*C7),0)</f>
        <v>-5121</v>
      </c>
      <c r="H7" s="18">
        <f t="shared" si="0"/>
        <v>-33286</v>
      </c>
      <c r="I7" s="25"/>
      <c r="J7" s="5">
        <f t="shared" si="1"/>
        <v>186478</v>
      </c>
      <c r="K7" s="25"/>
      <c r="L7" s="25"/>
      <c r="M7" s="25"/>
      <c r="N7" s="25"/>
      <c r="O7" s="11">
        <v>2.0000000000000001E-4</v>
      </c>
      <c r="P7" s="5">
        <f>ROUND(IF(D$5=1,-0.5*O7*C7,-O7*C7),0)</f>
        <v>-44</v>
      </c>
      <c r="Q7" s="25"/>
      <c r="R7" s="25"/>
    </row>
    <row r="8" spans="1:18">
      <c r="A8" s="25">
        <v>3</v>
      </c>
      <c r="B8" s="25" t="s">
        <v>89</v>
      </c>
      <c r="C8" s="100">
        <v>249152</v>
      </c>
      <c r="D8" s="2">
        <v>2.69E-2</v>
      </c>
      <c r="E8" s="25"/>
      <c r="F8" s="100">
        <v>-36861</v>
      </c>
      <c r="G8" s="18">
        <f>ROUND(IF(D$5=1,-0.5*D8*C8,-D8*C8),0)</f>
        <v>-6702</v>
      </c>
      <c r="H8" s="18">
        <f t="shared" si="0"/>
        <v>-43563</v>
      </c>
      <c r="I8" s="25"/>
      <c r="J8" s="5">
        <f t="shared" si="1"/>
        <v>205589</v>
      </c>
      <c r="K8" s="25"/>
      <c r="L8" s="25"/>
      <c r="M8" s="25"/>
      <c r="N8" s="25"/>
      <c r="O8" s="11">
        <v>4.1999999999999997E-3</v>
      </c>
      <c r="P8" s="5">
        <f>ROUND(IF(D$5=1,-0.5*O8*C8,-O8*C8),0)</f>
        <v>-1046</v>
      </c>
      <c r="Q8" s="25"/>
      <c r="R8" s="25"/>
    </row>
    <row r="9" spans="1:18">
      <c r="A9" s="25">
        <v>4</v>
      </c>
      <c r="B9" s="25" t="s">
        <v>90</v>
      </c>
      <c r="C9" s="100">
        <v>0</v>
      </c>
      <c r="D9" s="2">
        <v>2.2499999999999999E-2</v>
      </c>
      <c r="E9" s="25"/>
      <c r="F9" s="100">
        <v>0</v>
      </c>
      <c r="G9" s="18">
        <f>ROUND(IF(D$5=1,-0.5*D9*C9,-D9*C9),0)</f>
        <v>0</v>
      </c>
      <c r="H9" s="18">
        <f t="shared" si="0"/>
        <v>0</v>
      </c>
      <c r="I9" s="25"/>
      <c r="J9" s="5">
        <f t="shared" si="1"/>
        <v>0</v>
      </c>
      <c r="K9" s="25"/>
      <c r="L9" s="25"/>
      <c r="M9" s="25"/>
      <c r="N9" s="25"/>
      <c r="O9" s="11">
        <v>0</v>
      </c>
      <c r="P9" s="5">
        <f>IF(D$5=1,-0.5*O9*C9,-O9*C9)</f>
        <v>0</v>
      </c>
      <c r="Q9" s="25"/>
      <c r="R9" s="25"/>
    </row>
    <row r="10" spans="1:18">
      <c r="A10" s="25">
        <v>5</v>
      </c>
      <c r="B10" s="25" t="s">
        <v>91</v>
      </c>
      <c r="C10" s="100">
        <v>0</v>
      </c>
      <c r="D10" s="2">
        <v>2.0500000000000001E-2</v>
      </c>
      <c r="E10" s="25"/>
      <c r="F10" s="100">
        <v>0</v>
      </c>
      <c r="G10" s="18">
        <f>ROUND(IF(D$5=1,-0.5*D10*C10,-D10*C10),0)</f>
        <v>0</v>
      </c>
      <c r="H10" s="18">
        <f t="shared" si="0"/>
        <v>0</v>
      </c>
      <c r="I10" s="25"/>
      <c r="J10" s="5">
        <f t="shared" si="1"/>
        <v>0</v>
      </c>
      <c r="K10" s="25"/>
      <c r="L10" s="25"/>
      <c r="M10" s="25"/>
      <c r="N10" s="25"/>
      <c r="O10" s="11">
        <v>0</v>
      </c>
      <c r="P10" s="5">
        <f>IF(D$5=1,-0.5*O10*C10,-O10*C10)</f>
        <v>0</v>
      </c>
      <c r="Q10" s="25"/>
      <c r="R10" s="25"/>
    </row>
    <row r="11" spans="1:18">
      <c r="A11" s="25">
        <v>6</v>
      </c>
      <c r="B11" s="25" t="s">
        <v>92</v>
      </c>
      <c r="C11" s="101">
        <v>393216</v>
      </c>
      <c r="D11" s="3" t="s">
        <v>93</v>
      </c>
      <c r="E11" s="25"/>
      <c r="F11" s="101">
        <v>-7276</v>
      </c>
      <c r="G11" s="21">
        <f>P12</f>
        <v>-1323</v>
      </c>
      <c r="H11" s="21">
        <f t="shared" si="0"/>
        <v>-8599</v>
      </c>
      <c r="I11" s="25"/>
      <c r="J11" s="6">
        <f t="shared" si="1"/>
        <v>384617</v>
      </c>
      <c r="K11" s="25"/>
      <c r="L11" s="25"/>
      <c r="M11" s="25"/>
      <c r="N11" s="25"/>
      <c r="O11" s="24">
        <v>0</v>
      </c>
      <c r="P11" s="6">
        <f>IF(D$5=1,-0.5*O11*C11,-O11*C11)</f>
        <v>0</v>
      </c>
      <c r="Q11" s="25"/>
      <c r="R11" s="25"/>
    </row>
    <row r="12" spans="1:18">
      <c r="A12" s="25"/>
      <c r="B12" s="25"/>
      <c r="C12" s="18">
        <f>SUM(C6:C11)</f>
        <v>3190348</v>
      </c>
      <c r="D12" s="18"/>
      <c r="E12" s="25"/>
      <c r="F12" s="100">
        <f>SUM(F5:F11)</f>
        <v>-469264</v>
      </c>
      <c r="G12" s="18">
        <f>SUM(G5:G11)</f>
        <v>-85321</v>
      </c>
      <c r="H12" s="18">
        <f>SUM(H5:H11)</f>
        <v>-554585</v>
      </c>
      <c r="I12" s="25"/>
      <c r="J12" s="5">
        <f>SUM(J6:J11)</f>
        <v>2635763</v>
      </c>
      <c r="K12" s="25"/>
      <c r="L12" s="25"/>
      <c r="M12" s="25"/>
      <c r="N12" s="25"/>
      <c r="O12" s="5"/>
      <c r="P12" s="17">
        <f>SUM(P5:P11)</f>
        <v>-1323</v>
      </c>
      <c r="Q12" s="25"/>
      <c r="R12" s="25"/>
    </row>
    <row r="13" spans="1:18" ht="14.25" customHeight="1">
      <c r="A13" s="25"/>
      <c r="B13" s="25"/>
      <c r="C13" s="18"/>
      <c r="D13" s="18"/>
      <c r="E13" s="18"/>
      <c r="F13" s="18"/>
      <c r="G13" s="25"/>
      <c r="H13" s="25"/>
      <c r="I13" s="25"/>
      <c r="J13" s="25"/>
      <c r="K13" s="25"/>
      <c r="L13" s="25"/>
      <c r="M13" s="16"/>
      <c r="N13" s="20"/>
      <c r="O13" s="25"/>
      <c r="P13" s="25"/>
      <c r="Q13" s="25"/>
      <c r="R13" s="25"/>
    </row>
    <row r="14" spans="1:18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16"/>
      <c r="N14" s="20"/>
      <c r="O14" s="25"/>
      <c r="P14" s="25"/>
      <c r="Q14" s="25"/>
      <c r="R14" s="25"/>
    </row>
    <row r="15" spans="1:18">
      <c r="A15" s="84"/>
      <c r="B15" s="84"/>
      <c r="C15" s="84"/>
      <c r="D15" s="95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25"/>
      <c r="R15" s="25"/>
    </row>
    <row r="16" spans="1:18">
      <c r="A16" s="84"/>
      <c r="B16" s="84"/>
      <c r="C16" s="93"/>
      <c r="D16" s="95" t="s">
        <v>94</v>
      </c>
      <c r="E16" s="93"/>
      <c r="F16" s="93"/>
      <c r="G16" s="48">
        <v>0.5</v>
      </c>
      <c r="H16" s="93"/>
      <c r="I16" s="84"/>
      <c r="J16" s="49"/>
      <c r="K16" s="95" t="s">
        <v>95</v>
      </c>
      <c r="L16" s="124" t="s">
        <v>96</v>
      </c>
      <c r="M16" s="124"/>
      <c r="N16" s="124"/>
      <c r="O16" s="124"/>
      <c r="P16" s="124"/>
      <c r="Q16" s="25"/>
      <c r="R16" s="23" t="s">
        <v>97</v>
      </c>
    </row>
    <row r="17" spans="1:18">
      <c r="A17" s="84"/>
      <c r="B17" s="84"/>
      <c r="C17" s="95" t="s">
        <v>76</v>
      </c>
      <c r="D17" s="95" t="s">
        <v>83</v>
      </c>
      <c r="E17" s="95" t="s">
        <v>97</v>
      </c>
      <c r="F17" s="95" t="s">
        <v>97</v>
      </c>
      <c r="G17" s="95" t="s">
        <v>98</v>
      </c>
      <c r="H17" s="95" t="s">
        <v>99</v>
      </c>
      <c r="I17" s="84"/>
      <c r="J17" s="95"/>
      <c r="K17" s="95" t="s">
        <v>100</v>
      </c>
      <c r="L17" s="95"/>
      <c r="M17" s="95" t="s">
        <v>97</v>
      </c>
      <c r="N17" s="95" t="s">
        <v>98</v>
      </c>
      <c r="O17" s="95" t="s">
        <v>95</v>
      </c>
      <c r="P17" s="95"/>
      <c r="Q17" s="25"/>
      <c r="R17" s="16" t="s">
        <v>79</v>
      </c>
    </row>
    <row r="18" spans="1:18">
      <c r="A18" s="84"/>
      <c r="B18" s="84"/>
      <c r="C18" s="122" t="s">
        <v>81</v>
      </c>
      <c r="D18" s="122" t="s">
        <v>101</v>
      </c>
      <c r="E18" s="122" t="s">
        <v>83</v>
      </c>
      <c r="F18" s="122" t="s">
        <v>102</v>
      </c>
      <c r="G18" s="122" t="s">
        <v>78</v>
      </c>
      <c r="H18" s="122" t="s">
        <v>103</v>
      </c>
      <c r="I18" s="84"/>
      <c r="J18" s="122" t="s">
        <v>104</v>
      </c>
      <c r="K18" s="122">
        <f>D5</f>
        <v>7</v>
      </c>
      <c r="L18" s="122" t="s">
        <v>82</v>
      </c>
      <c r="M18" s="122" t="s">
        <v>83</v>
      </c>
      <c r="N18" s="122" t="s">
        <v>86</v>
      </c>
      <c r="O18" s="122" t="s">
        <v>86</v>
      </c>
      <c r="P18" s="122" t="s">
        <v>84</v>
      </c>
      <c r="Q18" s="25"/>
      <c r="R18" s="123" t="s">
        <v>85</v>
      </c>
    </row>
    <row r="19" spans="1:18">
      <c r="A19" s="84">
        <v>7</v>
      </c>
      <c r="B19" s="84" t="s">
        <v>87</v>
      </c>
      <c r="C19" s="87">
        <f t="shared" ref="C19:C24" si="2">C6</f>
        <v>2328216</v>
      </c>
      <c r="D19" s="51">
        <v>0.96899999999999997</v>
      </c>
      <c r="E19" s="87">
        <f>ROUND(C19*-D19,0)</f>
        <v>-2256041</v>
      </c>
      <c r="F19" s="52">
        <f>C19+E19</f>
        <v>72175</v>
      </c>
      <c r="G19" s="52">
        <f t="shared" ref="G19:G24" si="3">ROUND(F19*-$G$16,0)</f>
        <v>-36088</v>
      </c>
      <c r="H19" s="53">
        <f t="shared" ref="H19:H24" si="4">F19+G19</f>
        <v>36087</v>
      </c>
      <c r="I19" s="84"/>
      <c r="J19" s="84">
        <v>15</v>
      </c>
      <c r="K19" s="54">
        <f>IFERROR(VLOOKUP(J19,'Tax Rates'!$A$1:$AA$12,$K$18+1,FALSE),0)</f>
        <v>5.9049999999999998E-2</v>
      </c>
      <c r="L19" s="102">
        <v>-2307971</v>
      </c>
      <c r="M19" s="52">
        <v>0</v>
      </c>
      <c r="N19" s="52">
        <v>0</v>
      </c>
      <c r="O19" s="87">
        <f>ROUND(K19*-H19,0)</f>
        <v>-2131</v>
      </c>
      <c r="P19" s="55">
        <f t="shared" ref="P19:P24" si="5">SUM(L19:O19)</f>
        <v>-2310102</v>
      </c>
      <c r="Q19" s="25"/>
      <c r="R19" s="5">
        <f>C19+P19</f>
        <v>18114</v>
      </c>
    </row>
    <row r="20" spans="1:18">
      <c r="A20" s="84">
        <v>8</v>
      </c>
      <c r="B20" s="84" t="s">
        <v>88</v>
      </c>
      <c r="C20" s="33">
        <f t="shared" si="2"/>
        <v>219764</v>
      </c>
      <c r="D20" s="56">
        <f>-E20/C20</f>
        <v>7.5003185235070352E-2</v>
      </c>
      <c r="E20" s="34">
        <v>-16483</v>
      </c>
      <c r="F20" s="52">
        <f>C20+E20</f>
        <v>203281</v>
      </c>
      <c r="G20" s="52">
        <f t="shared" si="3"/>
        <v>-101641</v>
      </c>
      <c r="H20" s="53">
        <f t="shared" si="4"/>
        <v>101640</v>
      </c>
      <c r="I20" s="84"/>
      <c r="J20" s="84">
        <v>15</v>
      </c>
      <c r="K20" s="54">
        <f>IFERROR(VLOOKUP(J20,'Tax Rates'!$A$1:$AA$12,$K$18+1,FALSE),0)</f>
        <v>5.9049999999999998E-2</v>
      </c>
      <c r="L20" s="102">
        <v>-162747</v>
      </c>
      <c r="M20" s="52">
        <v>0</v>
      </c>
      <c r="N20" s="52">
        <v>0</v>
      </c>
      <c r="O20" s="87">
        <f>ROUND(K20*-H20,0)</f>
        <v>-6002</v>
      </c>
      <c r="P20" s="55">
        <f t="shared" si="5"/>
        <v>-168749</v>
      </c>
      <c r="Q20" s="25"/>
      <c r="R20" s="5">
        <f>C20+P20</f>
        <v>51015</v>
      </c>
    </row>
    <row r="21" spans="1:18">
      <c r="A21" s="84">
        <v>9</v>
      </c>
      <c r="B21" s="84" t="s">
        <v>89</v>
      </c>
      <c r="C21" s="33">
        <f t="shared" si="2"/>
        <v>249152</v>
      </c>
      <c r="D21" s="51">
        <v>1</v>
      </c>
      <c r="E21" s="87">
        <f>ROUND(C21*-D21,0)</f>
        <v>-249152</v>
      </c>
      <c r="F21" s="52">
        <f>C21+E21</f>
        <v>0</v>
      </c>
      <c r="G21" s="57">
        <f t="shared" si="3"/>
        <v>0</v>
      </c>
      <c r="H21" s="53">
        <f t="shared" si="4"/>
        <v>0</v>
      </c>
      <c r="I21" s="84"/>
      <c r="J21" s="84">
        <v>20</v>
      </c>
      <c r="K21" s="54">
        <f>IFERROR(VLOOKUP(J21,'Tax Rates'!$A$1:$AA$12,$K$18+1,FALSE),0)</f>
        <v>4.888E-2</v>
      </c>
      <c r="L21" s="102">
        <v>-249152</v>
      </c>
      <c r="M21" s="52">
        <v>0</v>
      </c>
      <c r="N21" s="52">
        <f t="shared" ref="N21:N24" si="6">G21</f>
        <v>0</v>
      </c>
      <c r="O21" s="87">
        <f>ROUND(K21*-H21,0)</f>
        <v>0</v>
      </c>
      <c r="P21" s="55">
        <f t="shared" si="5"/>
        <v>-249152</v>
      </c>
      <c r="Q21" s="25"/>
      <c r="R21" s="5">
        <f>C21+P21</f>
        <v>0</v>
      </c>
    </row>
    <row r="22" spans="1:18">
      <c r="A22" s="84">
        <v>10</v>
      </c>
      <c r="B22" s="84" t="s">
        <v>90</v>
      </c>
      <c r="C22" s="33">
        <f t="shared" si="2"/>
        <v>0</v>
      </c>
      <c r="D22" s="51">
        <v>0</v>
      </c>
      <c r="E22" s="87">
        <f>ROUND(C22*-D22,0)</f>
        <v>0</v>
      </c>
      <c r="F22" s="52">
        <f>C22+E22</f>
        <v>0</v>
      </c>
      <c r="G22" s="57">
        <f t="shared" si="3"/>
        <v>0</v>
      </c>
      <c r="H22" s="53">
        <f t="shared" si="4"/>
        <v>0</v>
      </c>
      <c r="I22" s="84"/>
      <c r="J22" s="84">
        <v>7</v>
      </c>
      <c r="K22" s="54">
        <f>IFERROR(VLOOKUP(J22,'Tax Rates'!$A$1:$AA$12,$K$18+1,FALSE),0)</f>
        <v>8.9249999999999996E-2</v>
      </c>
      <c r="L22" s="102">
        <v>0</v>
      </c>
      <c r="M22" s="52">
        <f t="shared" ref="M22:M24" si="7">E22</f>
        <v>0</v>
      </c>
      <c r="N22" s="52">
        <f t="shared" si="6"/>
        <v>0</v>
      </c>
      <c r="O22" s="87">
        <f>ROUND(K22*-H22,0)</f>
        <v>0</v>
      </c>
      <c r="P22" s="55">
        <f t="shared" si="5"/>
        <v>0</v>
      </c>
      <c r="Q22" s="25"/>
      <c r="R22" s="5">
        <f>C22+P22</f>
        <v>0</v>
      </c>
    </row>
    <row r="23" spans="1:18">
      <c r="A23" s="84">
        <v>11</v>
      </c>
      <c r="B23" s="84" t="s">
        <v>91</v>
      </c>
      <c r="C23" s="33">
        <f t="shared" si="2"/>
        <v>0</v>
      </c>
      <c r="D23" s="51">
        <v>0</v>
      </c>
      <c r="E23" s="87">
        <f>ROUND(C23*-D23,0)</f>
        <v>0</v>
      </c>
      <c r="F23" s="52">
        <f>C23+E23</f>
        <v>0</v>
      </c>
      <c r="G23" s="57">
        <f t="shared" si="3"/>
        <v>0</v>
      </c>
      <c r="H23" s="53">
        <f t="shared" si="4"/>
        <v>0</v>
      </c>
      <c r="I23" s="84"/>
      <c r="J23" s="84">
        <v>15</v>
      </c>
      <c r="K23" s="54">
        <f>IFERROR(VLOOKUP(J23,'Tax Rates'!$A$1:$AA$12,$K$18+1,FALSE),0)</f>
        <v>5.9049999999999998E-2</v>
      </c>
      <c r="L23" s="102">
        <v>0</v>
      </c>
      <c r="M23" s="52">
        <f t="shared" si="7"/>
        <v>0</v>
      </c>
      <c r="N23" s="52">
        <f t="shared" si="6"/>
        <v>0</v>
      </c>
      <c r="O23" s="87">
        <f>ROUND(K23*-H23,0)</f>
        <v>0</v>
      </c>
      <c r="P23" s="55">
        <f t="shared" si="5"/>
        <v>0</v>
      </c>
      <c r="Q23" s="25"/>
      <c r="R23" s="5">
        <f>C23+P23</f>
        <v>0</v>
      </c>
    </row>
    <row r="24" spans="1:18">
      <c r="A24" s="84">
        <v>12</v>
      </c>
      <c r="B24" s="84" t="s">
        <v>92</v>
      </c>
      <c r="C24" s="88">
        <f t="shared" si="2"/>
        <v>393216</v>
      </c>
      <c r="D24" s="58" t="s">
        <v>105</v>
      </c>
      <c r="E24" s="88">
        <v>0</v>
      </c>
      <c r="F24" s="59">
        <v>0</v>
      </c>
      <c r="G24" s="59">
        <f t="shared" si="3"/>
        <v>0</v>
      </c>
      <c r="H24" s="60">
        <f t="shared" si="4"/>
        <v>0</v>
      </c>
      <c r="I24" s="84"/>
      <c r="J24" s="61" t="s">
        <v>105</v>
      </c>
      <c r="K24" s="62" t="s">
        <v>105</v>
      </c>
      <c r="L24" s="103">
        <v>0</v>
      </c>
      <c r="M24" s="59">
        <f t="shared" si="7"/>
        <v>0</v>
      </c>
      <c r="N24" s="63">
        <f t="shared" si="6"/>
        <v>0</v>
      </c>
      <c r="O24" s="88">
        <v>0</v>
      </c>
      <c r="P24" s="64">
        <f t="shared" si="5"/>
        <v>0</v>
      </c>
      <c r="Q24" s="25"/>
      <c r="R24" s="13" t="s">
        <v>105</v>
      </c>
    </row>
    <row r="25" spans="1:18">
      <c r="A25" s="84"/>
      <c r="B25" s="84"/>
      <c r="C25" s="87">
        <f>SUM(C18:C24)</f>
        <v>3190348</v>
      </c>
      <c r="D25" s="84"/>
      <c r="E25" s="87">
        <f>SUM(E19:E24)</f>
        <v>-2521676</v>
      </c>
      <c r="F25" s="87">
        <f>SUM(F19:F24)</f>
        <v>275456</v>
      </c>
      <c r="G25" s="87">
        <f>SUM(G19:G24)</f>
        <v>-137729</v>
      </c>
      <c r="H25" s="55">
        <f>SUM(H19:H24)</f>
        <v>137727</v>
      </c>
      <c r="I25" s="84"/>
      <c r="J25" s="84"/>
      <c r="K25" s="84"/>
      <c r="L25" s="55">
        <f>SUM(L19:L24)</f>
        <v>-2719870</v>
      </c>
      <c r="M25" s="87">
        <f>SUM(M19:M24)</f>
        <v>0</v>
      </c>
      <c r="N25" s="87">
        <f>SUM(N19:N24)</f>
        <v>0</v>
      </c>
      <c r="O25" s="87">
        <f>SUM(O19:O24)</f>
        <v>-8133</v>
      </c>
      <c r="P25" s="55">
        <f>SUM(P19:P24)</f>
        <v>-2728003</v>
      </c>
      <c r="Q25" s="25"/>
      <c r="R25" s="5">
        <f>SUM(R19:R24)</f>
        <v>69129</v>
      </c>
    </row>
    <row r="26" spans="1:18">
      <c r="A26" s="84"/>
      <c r="B26" s="84"/>
      <c r="C26" s="87"/>
      <c r="D26" s="84"/>
      <c r="E26" s="87"/>
      <c r="F26" s="87"/>
      <c r="G26" s="87"/>
      <c r="H26" s="55"/>
      <c r="I26" s="84"/>
      <c r="J26" s="55"/>
      <c r="K26" s="87"/>
      <c r="L26" s="87"/>
      <c r="M26" s="87"/>
      <c r="N26" s="55"/>
      <c r="O26" s="84"/>
      <c r="P26" s="84"/>
      <c r="Q26" s="25"/>
      <c r="R26" s="25"/>
    </row>
    <row r="27" spans="1:18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25"/>
      <c r="R27" s="25"/>
    </row>
    <row r="28" spans="1:18">
      <c r="A28" s="84"/>
      <c r="B28" s="84"/>
      <c r="C28" s="84"/>
      <c r="D28" s="84"/>
      <c r="E28" s="87"/>
      <c r="F28" s="50" t="s">
        <v>106</v>
      </c>
      <c r="G28" s="84"/>
      <c r="H28" s="67"/>
      <c r="I28" s="84"/>
      <c r="J28" s="84"/>
      <c r="K28" s="84"/>
      <c r="L28" s="84"/>
      <c r="M28" s="84"/>
      <c r="N28" s="84"/>
      <c r="O28" s="84"/>
      <c r="P28" s="84"/>
      <c r="Q28" s="25"/>
      <c r="R28" s="25"/>
    </row>
    <row r="29" spans="1:18">
      <c r="A29" s="84"/>
      <c r="B29" s="84"/>
      <c r="C29" s="84"/>
      <c r="D29" s="124" t="s">
        <v>107</v>
      </c>
      <c r="E29" s="124"/>
      <c r="F29" s="50" t="s">
        <v>108</v>
      </c>
      <c r="G29" s="50" t="s">
        <v>109</v>
      </c>
      <c r="H29" s="95" t="s">
        <v>110</v>
      </c>
      <c r="I29" s="84"/>
      <c r="J29" s="84"/>
      <c r="K29" s="84"/>
      <c r="L29" s="84"/>
      <c r="M29" s="84"/>
      <c r="N29" s="84"/>
      <c r="O29" s="84"/>
      <c r="P29" s="84"/>
      <c r="Q29" s="25"/>
      <c r="R29" s="25"/>
    </row>
    <row r="30" spans="1:18">
      <c r="A30" s="84"/>
      <c r="B30" s="84"/>
      <c r="C30" s="84"/>
      <c r="D30" s="122" t="s">
        <v>76</v>
      </c>
      <c r="E30" s="122" t="s">
        <v>97</v>
      </c>
      <c r="F30" s="122" t="s">
        <v>5</v>
      </c>
      <c r="G30" s="122" t="s">
        <v>65</v>
      </c>
      <c r="H30" s="122" t="s">
        <v>111</v>
      </c>
      <c r="I30" s="84"/>
      <c r="J30" s="84"/>
      <c r="K30" s="84"/>
      <c r="L30" s="84"/>
      <c r="M30" s="84"/>
      <c r="N30" s="84"/>
      <c r="O30" s="84"/>
      <c r="P30" s="84"/>
      <c r="Q30" s="25"/>
      <c r="R30" s="25"/>
    </row>
    <row r="31" spans="1:18">
      <c r="A31" s="84">
        <v>13</v>
      </c>
      <c r="B31" s="84" t="s">
        <v>87</v>
      </c>
      <c r="C31" s="84"/>
      <c r="D31" s="52">
        <f t="shared" ref="D31:D36" si="8">J6</f>
        <v>1859079</v>
      </c>
      <c r="E31" s="52">
        <f t="shared" ref="E31:E36" si="9">R19</f>
        <v>18114</v>
      </c>
      <c r="F31" s="52">
        <f>E31-D31</f>
        <v>-1840965</v>
      </c>
      <c r="G31" s="68">
        <v>0.37959999999999999</v>
      </c>
      <c r="H31" s="52">
        <f>ROUND(F31*0.3796,0)</f>
        <v>-698830</v>
      </c>
      <c r="I31" s="84"/>
      <c r="J31" s="84"/>
      <c r="K31" s="84"/>
      <c r="L31" s="84"/>
      <c r="M31" s="84"/>
      <c r="N31" s="84"/>
      <c r="O31" s="84"/>
      <c r="P31" s="84"/>
      <c r="Q31" s="25"/>
      <c r="R31" s="25"/>
    </row>
    <row r="32" spans="1:18">
      <c r="A32" s="84">
        <v>14</v>
      </c>
      <c r="B32" s="84" t="s">
        <v>88</v>
      </c>
      <c r="C32" s="84"/>
      <c r="D32" s="57">
        <f t="shared" si="8"/>
        <v>186478</v>
      </c>
      <c r="E32" s="52">
        <f t="shared" si="9"/>
        <v>51015</v>
      </c>
      <c r="F32" s="52">
        <f>E32-D32</f>
        <v>-135463</v>
      </c>
      <c r="G32" s="67">
        <f>G31</f>
        <v>0.37959999999999999</v>
      </c>
      <c r="H32" s="52">
        <f t="shared" ref="H32:H36" si="10">ROUND(F32*0.3796,0)</f>
        <v>-51422</v>
      </c>
      <c r="I32" s="84"/>
      <c r="J32" s="84"/>
      <c r="K32" s="84"/>
      <c r="L32" s="84"/>
      <c r="M32" s="84"/>
      <c r="N32" s="84"/>
      <c r="O32" s="84"/>
      <c r="P32" s="84"/>
      <c r="Q32" s="25"/>
      <c r="R32" s="25"/>
    </row>
    <row r="33" spans="1:16">
      <c r="A33" s="84">
        <v>15</v>
      </c>
      <c r="B33" s="84" t="s">
        <v>89</v>
      </c>
      <c r="C33" s="84"/>
      <c r="D33" s="57">
        <f t="shared" si="8"/>
        <v>205589</v>
      </c>
      <c r="E33" s="52">
        <f t="shared" si="9"/>
        <v>0</v>
      </c>
      <c r="F33" s="52">
        <f>E33-D33</f>
        <v>-205589</v>
      </c>
      <c r="G33" s="67">
        <f>G31</f>
        <v>0.37959999999999999</v>
      </c>
      <c r="H33" s="52">
        <f t="shared" si="10"/>
        <v>-78042</v>
      </c>
      <c r="I33" s="84"/>
      <c r="J33" s="84"/>
      <c r="K33" s="84"/>
      <c r="L33" s="84"/>
      <c r="M33" s="84"/>
      <c r="N33" s="84"/>
      <c r="O33" s="84"/>
      <c r="P33" s="84"/>
    </row>
    <row r="34" spans="1:16">
      <c r="A34" s="84">
        <v>16</v>
      </c>
      <c r="B34" s="84" t="s">
        <v>90</v>
      </c>
      <c r="C34" s="84"/>
      <c r="D34" s="57">
        <f t="shared" si="8"/>
        <v>0</v>
      </c>
      <c r="E34" s="52">
        <f t="shared" si="9"/>
        <v>0</v>
      </c>
      <c r="F34" s="52">
        <f>E34-D34</f>
        <v>0</v>
      </c>
      <c r="G34" s="67">
        <f>G31</f>
        <v>0.37959999999999999</v>
      </c>
      <c r="H34" s="52">
        <f t="shared" si="10"/>
        <v>0</v>
      </c>
      <c r="I34" s="84"/>
      <c r="J34" s="84"/>
      <c r="K34" s="84"/>
      <c r="L34" s="84"/>
      <c r="M34" s="84"/>
      <c r="N34" s="84"/>
      <c r="O34" s="84"/>
      <c r="P34" s="84"/>
    </row>
    <row r="35" spans="1:16">
      <c r="A35" s="84">
        <v>17</v>
      </c>
      <c r="B35" s="84" t="s">
        <v>91</v>
      </c>
      <c r="C35" s="84"/>
      <c r="D35" s="57">
        <f t="shared" si="8"/>
        <v>0</v>
      </c>
      <c r="E35" s="52">
        <f t="shared" si="9"/>
        <v>0</v>
      </c>
      <c r="F35" s="52">
        <f>E35-D35</f>
        <v>0</v>
      </c>
      <c r="G35" s="67">
        <f>G31</f>
        <v>0.37959999999999999</v>
      </c>
      <c r="H35" s="52">
        <f t="shared" si="10"/>
        <v>0</v>
      </c>
      <c r="I35" s="84"/>
      <c r="J35" s="84"/>
      <c r="K35" s="84"/>
      <c r="L35" s="84"/>
      <c r="M35" s="84"/>
      <c r="N35" s="84"/>
      <c r="O35" s="84"/>
      <c r="P35" s="84"/>
    </row>
    <row r="36" spans="1:16">
      <c r="A36" s="84">
        <v>18</v>
      </c>
      <c r="B36" s="84" t="s">
        <v>92</v>
      </c>
      <c r="C36" s="84"/>
      <c r="D36" s="59">
        <f t="shared" si="8"/>
        <v>384617</v>
      </c>
      <c r="E36" s="65" t="str">
        <f t="shared" si="9"/>
        <v>NA</v>
      </c>
      <c r="F36" s="59">
        <f>-D36</f>
        <v>-384617</v>
      </c>
      <c r="G36" s="69">
        <f>G31</f>
        <v>0.37959999999999999</v>
      </c>
      <c r="H36" s="59">
        <f t="shared" si="10"/>
        <v>-146001</v>
      </c>
      <c r="I36" s="84"/>
      <c r="J36" s="84"/>
      <c r="K36" s="84"/>
      <c r="L36" s="84"/>
      <c r="M36" s="84"/>
      <c r="N36" s="84"/>
      <c r="O36" s="84"/>
      <c r="P36" s="84"/>
    </row>
    <row r="37" spans="1:16">
      <c r="A37" s="84"/>
      <c r="B37" s="84"/>
      <c r="C37" s="84"/>
      <c r="D37" s="52">
        <f>SUM(D31:D36)</f>
        <v>2635763</v>
      </c>
      <c r="E37" s="52">
        <f>SUM(E31:E36)</f>
        <v>69129</v>
      </c>
      <c r="F37" s="52">
        <f>SUM(F31:F36)</f>
        <v>-2566634</v>
      </c>
      <c r="G37" s="84"/>
      <c r="H37" s="52">
        <f>SUM(H31:H36)</f>
        <v>-974295</v>
      </c>
      <c r="I37" s="84"/>
      <c r="J37" s="84"/>
      <c r="K37" s="84"/>
      <c r="L37" s="84"/>
      <c r="M37" s="84"/>
      <c r="N37" s="84"/>
      <c r="O37" s="84"/>
      <c r="P37" s="84"/>
    </row>
    <row r="39" spans="1:16">
      <c r="A39" s="15" t="s">
        <v>73</v>
      </c>
      <c r="B39" s="25" t="s">
        <v>112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>
      <c r="A40" s="1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</sheetData>
  <mergeCells count="3">
    <mergeCell ref="F2:H2"/>
    <mergeCell ref="L16:P16"/>
    <mergeCell ref="D29:E29"/>
  </mergeCells>
  <pageMargins left="0.25" right="0.25" top="0.75" bottom="0.75" header="0.3" footer="0.3"/>
  <pageSetup scale="66" orientation="landscape" r:id="rId1"/>
  <headerFooter>
    <oddHeader>&amp;RResponse to PSC 3-3
Page &amp;P of &amp;N
Witnesses: John Brown and
William Steven Seelye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D6B73B-2744-4CAD-BBC7-8197D6E8A12A}"/>
</file>

<file path=customXml/itemProps2.xml><?xml version="1.0" encoding="utf-8"?>
<ds:datastoreItem xmlns:ds="http://schemas.openxmlformats.org/officeDocument/2006/customXml" ds:itemID="{0C4256B6-726C-4854-9115-0B316E140926}"/>
</file>

<file path=customXml/itemProps3.xml><?xml version="1.0" encoding="utf-8"?>
<ds:datastoreItem xmlns:ds="http://schemas.openxmlformats.org/officeDocument/2006/customXml" ds:itemID="{29F466E8-D1FE-4AB5-A7FD-60EA96475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Delta Natural Gas Company 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Wesolosky</dc:creator>
  <cp:keywords/>
  <dc:description/>
  <cp:lastModifiedBy>Steve Seelye</cp:lastModifiedBy>
  <cp:revision/>
  <dcterms:created xsi:type="dcterms:W3CDTF">2010-04-18T23:26:28Z</dcterms:created>
  <dcterms:modified xsi:type="dcterms:W3CDTF">2021-09-03T19:24:52Z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