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rown\Box\2021 Kentucky Rate Case\PSC DR3 - AG DR2\PSC DR3\PSC DR3 Attachments\"/>
    </mc:Choice>
  </mc:AlternateContent>
  <xr:revisionPtr revIDLastSave="0" documentId="11_30955EDC26F66D43967DE67EA813B844FD62C929" xr6:coauthVersionLast="47" xr6:coauthVersionMax="47" xr10:uidLastSave="{00000000-0000-0000-0000-000000000000}"/>
  <bookViews>
    <workbookView xWindow="28680" yWindow="-120" windowWidth="29040" windowHeight="15840" tabRatio="948" xr2:uid="{00000000-000D-0000-FFFF-FFFF00000000}"/>
  </bookViews>
  <sheets>
    <sheet name="PSC 3-3(a)" sheetId="36" r:id="rId1"/>
    <sheet name="PSC 3-3(b)" sheetId="5" r:id="rId2"/>
    <sheet name="2010" sheetId="3" r:id="rId3"/>
    <sheet name="2011" sheetId="6" r:id="rId4"/>
    <sheet name="2012" sheetId="8" r:id="rId5"/>
    <sheet name="2013" sheetId="10" r:id="rId6"/>
    <sheet name="2014" sheetId="11" r:id="rId7"/>
    <sheet name="2015" sheetId="12" r:id="rId8"/>
    <sheet name="2016" sheetId="13" r:id="rId9"/>
    <sheet name="2017" sheetId="17" r:id="rId10"/>
    <sheet name="2018" sheetId="18" r:id="rId11"/>
    <sheet name="2019" sheetId="27" r:id="rId12"/>
    <sheet name="2020" sheetId="31" r:id="rId13"/>
    <sheet name="2021" sheetId="34" r:id="rId14"/>
    <sheet name="2022" sheetId="35" r:id="rId15"/>
    <sheet name="Schedule III" sheetId="26" r:id="rId16"/>
    <sheet name="Tax Rates" sheetId="4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\A">'[1]TRANSPORTS-revised'!#REF!</definedName>
    <definedName name="\C">#REF!</definedName>
    <definedName name="\f">'[2]E-2'!#REF!</definedName>
    <definedName name="\p">#REF!</definedName>
    <definedName name="\s">'[2]E-2'!#REF!</definedName>
    <definedName name="\t">#REF!</definedName>
    <definedName name="__123Graph_A">[3]DSAR!$G$6:$G$32</definedName>
    <definedName name="__123Graph_ACCMS">[3]DSAR!$J$6:$J$32</definedName>
    <definedName name="__123Graph_ACCSP">[3]DSAR!$K$6:$K$32</definedName>
    <definedName name="__123Graph_ACG">[3]DSAR!$I$6:$I$32</definedName>
    <definedName name="__123Graph_ACM">[3]DSAR!$D$6:$D$32</definedName>
    <definedName name="__123Graph_ACMS">[3]DSAR!$H$6:$H$32</definedName>
    <definedName name="__123Graph_ACSP">[3]DSAR!$G$6:$G$32</definedName>
    <definedName name="__123Graph_AHG">[3]DSAR!$B$6:$B$32</definedName>
    <definedName name="__123Graph_AHMS">[3]DSAR!$C$6:$C$32</definedName>
    <definedName name="__123Graph_AILL">[3]DSAR!$AL$6:$AL$23</definedName>
    <definedName name="__123Graph_AIOWA">[3]DSAR!$W$6:$W$31</definedName>
    <definedName name="__123Graph_AKEOTA">[3]DSAR!$F$6:$F$32</definedName>
    <definedName name="__123Graph_ALOUD">[3]DSAR!$E$6:$E$32</definedName>
    <definedName name="__123Graph_ANL">[3]DSAR!$M$6:$M$32</definedName>
    <definedName name="__123Graph_ASAY">[3]DSAR!$L$6:$L$32</definedName>
    <definedName name="__123Graph_ATOTSYS">[3]DSAR!$T$6:$T$23</definedName>
    <definedName name="__123Graph_B">[3]DSAR!$BK$6:$BK$32</definedName>
    <definedName name="__123Graph_BCCMS">[3]DSAR!$BM$6:$BM$32</definedName>
    <definedName name="__123Graph_BCCSP">[3]DSAR!$BN$6:$BN$32</definedName>
    <definedName name="__123Graph_BCG">[3]DSAR!$BO$6:$BO$32</definedName>
    <definedName name="__123Graph_BCM">[3]DSAR!$BQ$6:$BQ$32</definedName>
    <definedName name="__123Graph_BCMS">[3]DSAR!$BL$6:$BL$32</definedName>
    <definedName name="__123Graph_BCSP">[3]DSAR!$BK$6:$BK$32</definedName>
    <definedName name="__123Graph_BHG">[3]DSAR!$BS$6:$BS$32</definedName>
    <definedName name="__123Graph_BHMS">[3]DSAR!$BR$6:$BR$32</definedName>
    <definedName name="__123Graph_BILL">[3]DSAR!$AM$6:$AM$32</definedName>
    <definedName name="__123Graph_BIOWA">[3]DSAR!$X$6:$X$32</definedName>
    <definedName name="__123Graph_BKEOTA">[3]DSAR!$BJ$6:$BJ$32</definedName>
    <definedName name="__123Graph_BLOUD">[3]DSAR!$BP$6:$BP$32</definedName>
    <definedName name="__123Graph_BNL">[3]DSAR!$AA$6:$AA$32</definedName>
    <definedName name="__123Graph_BSAY">[3]DSAR!$AF$6:$AF$32</definedName>
    <definedName name="__123Graph_BTOTSYS">[3]DSAR!$U$6:$U$32</definedName>
    <definedName name="__123Graph_C">[3]DSAR!$AW$6:$AW$23</definedName>
    <definedName name="__123Graph_CCCMS">[3]DSAR!$AY$6:$AY$29</definedName>
    <definedName name="__123Graph_CCCSP">[3]DSAR!$AZ$6:$AZ$29</definedName>
    <definedName name="__123Graph_CCG">[3]DSAR!$BA$6:$BA$29</definedName>
    <definedName name="__123Graph_CCM">[3]DSAR!$BC$6:$BC$31</definedName>
    <definedName name="__123Graph_CCMS">[3]DSAR!$AX$6:$AX$31</definedName>
    <definedName name="__123Graph_CCSP">[3]DSAR!$AW$6:$AW$31</definedName>
    <definedName name="__123Graph_CHG">[3]DSAR!$BE$6:$BE$29</definedName>
    <definedName name="__123Graph_CHMS">[3]DSAR!$BD$6:$BD$29</definedName>
    <definedName name="__123Graph_CILL">[3]DSAR!$AN$6:$AN$23</definedName>
    <definedName name="__123Graph_CIOWA">[3]DSAR!$Y$6:$Y$31</definedName>
    <definedName name="__123Graph_CKEOTA">[3]DSAR!$AV$6:$AV$31</definedName>
    <definedName name="__123Graph_CLOUD">[3]DSAR!$BB$6:$BB$29</definedName>
    <definedName name="__123Graph_CNL">[3]DSAR!$AB$6:$AB$30</definedName>
    <definedName name="__123Graph_CSAY">[3]DSAR!$AG$6:$AG$30</definedName>
    <definedName name="__123Graph_CTOTSYS">[3]DSAR!$V$6:$V$23</definedName>
    <definedName name="__123Graph_X">[3]DSAR!$A$6:$A$32</definedName>
    <definedName name="__123Graph_XCCMS">[3]DSAR!$A$6:$A$32</definedName>
    <definedName name="__123Graph_XCCSP">[3]DSAR!$A$6:$A$32</definedName>
    <definedName name="__123Graph_XCG">[3]DSAR!$A$6:$A$32</definedName>
    <definedName name="__123Graph_XCM">[3]DSAR!$A$6:$A$32</definedName>
    <definedName name="__123Graph_XCMS">[3]DSAR!$A$6:$A$32</definedName>
    <definedName name="__123Graph_XCSP">[3]DSAR!$A$6:$A$32</definedName>
    <definedName name="__123Graph_XHG">[3]DSAR!$A$6:$A$32</definedName>
    <definedName name="__123Graph_XHMS">[3]DSAR!$A$6:$A$32</definedName>
    <definedName name="__123Graph_XILL">[3]DSAR!$A$6:$A$32</definedName>
    <definedName name="__123Graph_XIOWA">[3]DSAR!$A$6:$A$32</definedName>
    <definedName name="__123Graph_XKEOTA">[3]DSAR!$A$6:$A$32</definedName>
    <definedName name="__123Graph_XLOUD">[3]DSAR!$A$6:$A$32</definedName>
    <definedName name="__123Graph_XNL">[3]DSAR!$A$6:$A$32</definedName>
    <definedName name="__123Graph_XSAY">[3]DSAR!$A$6:$A$32</definedName>
    <definedName name="__123Graph_XTOTSYS">[3]DSAR!$A$6:$A$32</definedName>
    <definedName name="__ADJ24">#REF!</definedName>
    <definedName name="__ADJ25">#REF!</definedName>
    <definedName name="__adj4">#REF!</definedName>
    <definedName name="__ADJ44">#REF!</definedName>
    <definedName name="__ADJ48">#REF!</definedName>
    <definedName name="__ADJ49">#REF!</definedName>
    <definedName name="__ADJ51">#REF!</definedName>
    <definedName name="__EMP11">#REF!</definedName>
    <definedName name="__EMP12">#REF!</definedName>
    <definedName name="__EMP14">#REF!</definedName>
    <definedName name="__EMP15">#REF!</definedName>
    <definedName name="__EMP16">#REF!</definedName>
    <definedName name="__EMP17">#REF!</definedName>
    <definedName name="__EMP18">#REF!</definedName>
    <definedName name="__EMP20">#REF!</definedName>
    <definedName name="__EMP22">#REF!</definedName>
    <definedName name="__EMP32">#REF!</definedName>
    <definedName name="__EMP34">#REF!</definedName>
    <definedName name="__EMP35">#REF!</definedName>
    <definedName name="__EMP37">#REF!</definedName>
    <definedName name="__EMP38">#REF!</definedName>
    <definedName name="__EMP43">#REF!</definedName>
    <definedName name="__EMP48">#REF!</definedName>
    <definedName name="__EMP51">#REF!</definedName>
    <definedName name="__EMP52">#REF!</definedName>
    <definedName name="__EMP53">#REF!</definedName>
    <definedName name="__FXD0111">#REF!</definedName>
    <definedName name="__FXD0151">#REF!</definedName>
    <definedName name="__FXD0212">#REF!</definedName>
    <definedName name="__FXD0214">#REF!</definedName>
    <definedName name="__FXD0234">#REF!</definedName>
    <definedName name="__FXD0235">#REF!</definedName>
    <definedName name="__FXD0237">#REF!</definedName>
    <definedName name="__FXD0238">#REF!</definedName>
    <definedName name="__FXD0251">#REF!</definedName>
    <definedName name="__FXD0612">#REF!</definedName>
    <definedName name="__FXD0614">#REF!</definedName>
    <definedName name="__FXD0615">#REF!</definedName>
    <definedName name="__FXD0616">#REF!</definedName>
    <definedName name="__FXD0617">#REF!</definedName>
    <definedName name="__FXD0618">#REF!</definedName>
    <definedName name="__FXD0632">#REF!</definedName>
    <definedName name="__FXD0634">#REF!</definedName>
    <definedName name="__FXD0635">#REF!</definedName>
    <definedName name="__FXD0637">#REF!</definedName>
    <definedName name="__FXD0638">#REF!</definedName>
    <definedName name="__FXD0643">#REF!</definedName>
    <definedName name="__FXD0651">#REF!</definedName>
    <definedName name="__FXD0653">#REF!</definedName>
    <definedName name="__FXD0814">#REF!</definedName>
    <definedName name="__FXD0832">#REF!</definedName>
    <definedName name="__FXD0834">#REF!</definedName>
    <definedName name="__FXD0835">#REF!</definedName>
    <definedName name="__FXD0837">#REF!</definedName>
    <definedName name="__FXD0838">#REF!</definedName>
    <definedName name="__FXD0851">#REF!</definedName>
    <definedName name="__FXD0932">#REF!</definedName>
    <definedName name="__FXD0934">#REF!</definedName>
    <definedName name="__FXD0935">#REF!</definedName>
    <definedName name="__FXD0937">#REF!</definedName>
    <definedName name="__FXD0938">#REF!</definedName>
    <definedName name="__FXD0951">#REF!</definedName>
    <definedName name="__FXD7032">#REF!</definedName>
    <definedName name="__FXD7034">#REF!</definedName>
    <definedName name="__FXD7035">#REF!</definedName>
    <definedName name="__FXD7037">#REF!</definedName>
    <definedName name="__FXD7038">#REF!</definedName>
    <definedName name="__FXD8614">#REF!</definedName>
    <definedName name="__FXD8615">#REF!</definedName>
    <definedName name="__FXD8616">#REF!</definedName>
    <definedName name="__FXD8617">#REF!</definedName>
    <definedName name="__FXD8618">#REF!</definedName>
    <definedName name="__FXD8632">#REF!</definedName>
    <definedName name="__FXD8634">#REF!</definedName>
    <definedName name="__FXD8635">#REF!</definedName>
    <definedName name="__FXD8637">#REF!</definedName>
    <definedName name="__FXD8638">#REF!</definedName>
    <definedName name="__FXD8651">#REF!</definedName>
    <definedName name="__SCH10">'[4]Rev Def Sum'!#REF!</definedName>
    <definedName name="__sch17">#REF!</definedName>
    <definedName name="__SCH33">'[5]SCHEDULE 33 A REV.'!$A$1:$H$67</definedName>
    <definedName name="__SCH6">#N/A</definedName>
    <definedName name="__SUM0111">#REF!</definedName>
    <definedName name="__SUM0113">#REF!</definedName>
    <definedName name="__SUM0210">#REF!</definedName>
    <definedName name="__SUM0213">#REF!</definedName>
    <definedName name="__SUM0401">#REF!</definedName>
    <definedName name="__SUM0402">#REF!</definedName>
    <definedName name="__SUM0408">#REF!</definedName>
    <definedName name="__SUM0409">#REF!</definedName>
    <definedName name="__SUM0411">#REF!</definedName>
    <definedName name="__SUM0501">#REF!</definedName>
    <definedName name="__SUM0502">#REF!</definedName>
    <definedName name="__SUM0508">#REF!</definedName>
    <definedName name="__SUM0509">#REF!</definedName>
    <definedName name="__SUM0510">#REF!</definedName>
    <definedName name="__SUM0511">#REF!</definedName>
    <definedName name="__SUM0613">#REF!</definedName>
    <definedName name="__SUM0701">#REF!</definedName>
    <definedName name="__SUM0702">#REF!</definedName>
    <definedName name="__SUM0708">#REF!</definedName>
    <definedName name="__SUM0709">#REF!</definedName>
    <definedName name="__SUM0813">#REF!</definedName>
    <definedName name="__SUM0901">#REF!</definedName>
    <definedName name="__SUM0902">#REF!</definedName>
    <definedName name="__SUM0908">#REF!</definedName>
    <definedName name="__SUM0911">#REF!</definedName>
    <definedName name="__SUM0913">#REF!</definedName>
    <definedName name="__SUM5701">#REF!</definedName>
    <definedName name="__SUM5702">#REF!</definedName>
    <definedName name="__SUM5708">#REF!</definedName>
    <definedName name="__SUM5709">#REF!</definedName>
    <definedName name="__SUM5711">#REF!</definedName>
    <definedName name="__SUM5801">#REF!</definedName>
    <definedName name="__SUM5802">#REF!</definedName>
    <definedName name="__SUM5811">#REF!</definedName>
    <definedName name="__SUM6001">#REF!</definedName>
    <definedName name="__SUM6002">#REF!</definedName>
    <definedName name="__SUM6008">#REF!</definedName>
    <definedName name="__sum6009">#REF!</definedName>
    <definedName name="__SUM6011">#REF!</definedName>
    <definedName name="__SUM6101">#REF!</definedName>
    <definedName name="__SUM6102">#REF!</definedName>
    <definedName name="__SUM6108">#REF!</definedName>
    <definedName name="__SUM6109">#REF!</definedName>
    <definedName name="__SUM6111">#REF!</definedName>
    <definedName name="__SUM6201">#REF!</definedName>
    <definedName name="__SUM6202">#REF!</definedName>
    <definedName name="__SUM6301">#REF!</definedName>
    <definedName name="__SUM6302">#REF!</definedName>
    <definedName name="__SUM6308">#REF!</definedName>
    <definedName name="__SUM6309">#REF!</definedName>
    <definedName name="__SUM6311">#REF!</definedName>
    <definedName name="__SUM6401">#REF!</definedName>
    <definedName name="__SUM6402">#REF!</definedName>
    <definedName name="__SUM6408">#REF!</definedName>
    <definedName name="__SUM6409">#REF!</definedName>
    <definedName name="__SUM6411">#REF!</definedName>
    <definedName name="__SUM6413">#REF!</definedName>
    <definedName name="__SUM6501">#REF!</definedName>
    <definedName name="__SUM6502">#REF!</definedName>
    <definedName name="__SUM6508">#REF!</definedName>
    <definedName name="__SUM6509">#REF!</definedName>
    <definedName name="__SUM6510">#REF!</definedName>
    <definedName name="__SUM6511">#REF!</definedName>
    <definedName name="__SUM6601">#REF!</definedName>
    <definedName name="__SUM6602">#REF!</definedName>
    <definedName name="__SUM6608">#REF!</definedName>
    <definedName name="__SUM6609">#REF!</definedName>
    <definedName name="__SUM6611">#REF!</definedName>
    <definedName name="__SUM6701">#REF!</definedName>
    <definedName name="__SUM6702">#REF!</definedName>
    <definedName name="__SUM6708">#REF!</definedName>
    <definedName name="__SUM6709">#REF!</definedName>
    <definedName name="__SUM6710">#REF!</definedName>
    <definedName name="__SUM6711">#REF!</definedName>
    <definedName name="__SUM6718">#REF!</definedName>
    <definedName name="__SUM6801">#REF!</definedName>
    <definedName name="__SUM6802">#REF!</definedName>
    <definedName name="__SUM7013">#REF!</definedName>
    <definedName name="__SUM7201">#REF!</definedName>
    <definedName name="__SUM7202">#REF!</definedName>
    <definedName name="__SUM7208">#REF!</definedName>
    <definedName name="__SUM7209">#REF!</definedName>
    <definedName name="__SUM7210">#REF!</definedName>
    <definedName name="__SUM7211">#REF!</definedName>
    <definedName name="__SUM7301">#REF!</definedName>
    <definedName name="__SUM7302">#REF!</definedName>
    <definedName name="__SUM7308">#REF!</definedName>
    <definedName name="__SUM7309">#REF!</definedName>
    <definedName name="__SUM7311">#REF!</definedName>
    <definedName name="__SUM7401">#REF!</definedName>
    <definedName name="__SUM7402">#REF!</definedName>
    <definedName name="__SUM7408">#REF!</definedName>
    <definedName name="__SUM7409">#REF!</definedName>
    <definedName name="__SUM7411">#REF!</definedName>
    <definedName name="__SUM7501">#REF!</definedName>
    <definedName name="__SUM7502">#REF!</definedName>
    <definedName name="__SUM7508">#REF!</definedName>
    <definedName name="__SUM7509">#REF!</definedName>
    <definedName name="__SUM7511">#REF!</definedName>
    <definedName name="__SUM7811">#REF!</definedName>
    <definedName name="__SUM7920">#REF!</definedName>
    <definedName name="__SUM8001">#REF!</definedName>
    <definedName name="__SUM8002">#REF!</definedName>
    <definedName name="__SUM8008">#REF!</definedName>
    <definedName name="__SUM8009">#REF!</definedName>
    <definedName name="__SUM8011">#REF!</definedName>
    <definedName name="__SUM8301">#REF!</definedName>
    <definedName name="__SUM8302">#REF!</definedName>
    <definedName name="__SUM8308">#REF!</definedName>
    <definedName name="__SUM8309">#REF!</definedName>
    <definedName name="__SUM8311">#REF!</definedName>
    <definedName name="__SUM8401">#REF!</definedName>
    <definedName name="__SUM8402">#REF!</definedName>
    <definedName name="__SUM8408">#REF!</definedName>
    <definedName name="__SUM8409">#REF!</definedName>
    <definedName name="__SUM8411">#REF!</definedName>
    <definedName name="__SUM8511">#REF!</definedName>
    <definedName name="__SUM8613">#REF!</definedName>
    <definedName name="__SUM8701">#REF!</definedName>
    <definedName name="__SUM8702">#REF!</definedName>
    <definedName name="__SUM8708">#REF!</definedName>
    <definedName name="__SUM8709">#REF!</definedName>
    <definedName name="__SUM8710">#REF!</definedName>
    <definedName name="__SUM8711">#REF!</definedName>
    <definedName name="__SUM8713">#REF!</definedName>
    <definedName name="__SUM8714">#REF!</definedName>
    <definedName name="__SUM8715">#REF!</definedName>
    <definedName name="__SUM8716">#REF!</definedName>
    <definedName name="__SUM8717">#REF!</definedName>
    <definedName name="__SUM8719">#REF!</definedName>
    <definedName name="_1__123Graph_ACHART_1">[3]DSAR!$BY$6:$BY$32</definedName>
    <definedName name="_10__123Graph_XMKT_STOR">[3]DSAR!$A$6:$A$32</definedName>
    <definedName name="_10TAXPROP">#REF!</definedName>
    <definedName name="_11__123Graph_XX_ACTUAL">[3]DSAR!$A$6:$A$32</definedName>
    <definedName name="_11GROSSTAX">#REF!</definedName>
    <definedName name="_12FRANCTAX">#REF!</definedName>
    <definedName name="_13TAXFED">#REF!</definedName>
    <definedName name="_14DEBTINTEREST">#REF!</definedName>
    <definedName name="_1QTR">#REF!</definedName>
    <definedName name="_1QTR_PROPANE">#REF!</definedName>
    <definedName name="_2__123Graph_AMKT_STOR">[3]DSAR!$AR$6:$AR$23</definedName>
    <definedName name="_2_SUMMARY">#REF!</definedName>
    <definedName name="_2_SUMMARY10">#REF!</definedName>
    <definedName name="_235">#REF!</definedName>
    <definedName name="_2QTR">#REF!</definedName>
    <definedName name="_2QTR_PROPANE">#REF!</definedName>
    <definedName name="_3__123Graph_AX_ACTUAL">[3]DSAR!$P$6:$P$32</definedName>
    <definedName name="_3_REV_LAG">#REF!</definedName>
    <definedName name="_3A_COLLECTIONS">#REF!</definedName>
    <definedName name="_3B_ACC_REC">#REF!</definedName>
    <definedName name="_3C_ADJ_REV">#REF!</definedName>
    <definedName name="_3QTR">#REF!</definedName>
    <definedName name="_3QTR_PROPANE">#REF!</definedName>
    <definedName name="_4__123Graph_BCHART_1">[3]DSAR!$CB$6:$CB$9</definedName>
    <definedName name="_4GASPURCHASES">#REF!</definedName>
    <definedName name="_4QTR">#REF!</definedName>
    <definedName name="_4QTR_PROPANE">#REF!</definedName>
    <definedName name="_5__123Graph_BMKT_STOR">[3]DSAR!$AS$6:$AS$32</definedName>
    <definedName name="_5A_NON_APP_GAS">#REF!</definedName>
    <definedName name="_5GP_TCO">#REF!</definedName>
    <definedName name="_5GP_TCOINPUT">#REF!</definedName>
    <definedName name="_6__123Graph_CCHART_1">[3]DSAR!$CD$6:$CD$32</definedName>
    <definedName name="_6_PAYROLL_COST">#REF!</definedName>
    <definedName name="_7__123Graph_CMKT_STOR">[3]DSAR!$AT$6:$AT$23</definedName>
    <definedName name="_7BENEFITS">#REF!</definedName>
    <definedName name="_8__123Graph_CX_ACTUAL">[3]DSAR!$S$6:$S$23</definedName>
    <definedName name="_8TAXPSC">#REF!</definedName>
    <definedName name="_9__123Graph_XCHART_1">[3]DSAR!$A$6:$A$32</definedName>
    <definedName name="_9_PAY_TAXES">#REF!</definedName>
    <definedName name="_ADJ24">#REF!</definedName>
    <definedName name="_ADJ25">#REF!</definedName>
    <definedName name="_adj4">#REF!</definedName>
    <definedName name="_ADJ44">#REF!</definedName>
    <definedName name="_ADJ48">#REF!</definedName>
    <definedName name="_ADJ49">#REF!</definedName>
    <definedName name="_ADJ51">#REF!</definedName>
    <definedName name="_Dist_Values" hidden="1">#REF!</definedName>
    <definedName name="_EMP11">#REF!</definedName>
    <definedName name="_EMP12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20">#REF!</definedName>
    <definedName name="_EMP22">#REF!</definedName>
    <definedName name="_EMP32">#REF!</definedName>
    <definedName name="_EMP34">#REF!</definedName>
    <definedName name="_EMP35">#REF!</definedName>
    <definedName name="_EMP37">#REF!</definedName>
    <definedName name="_EMP38">#REF!</definedName>
    <definedName name="_EMP43">#REF!</definedName>
    <definedName name="_EMP48">#REF!</definedName>
    <definedName name="_EMP51">#REF!</definedName>
    <definedName name="_EMP52">#REF!</definedName>
    <definedName name="_EMP53">#REF!</definedName>
    <definedName name="_Fill" hidden="1">#REF!</definedName>
    <definedName name="_FS_ESC_3_X_\TA">'[2]E-2'!#REF!</definedName>
    <definedName name="_FXD0111">#REF!</definedName>
    <definedName name="_FXD0151">#REF!</definedName>
    <definedName name="_FXD0212">#REF!</definedName>
    <definedName name="_FXD0214">#REF!</definedName>
    <definedName name="_FXD0234">#REF!</definedName>
    <definedName name="_FXD0235">#REF!</definedName>
    <definedName name="_FXD0237">#REF!</definedName>
    <definedName name="_FXD0238">#REF!</definedName>
    <definedName name="_FXD0251">#REF!</definedName>
    <definedName name="_FXD0612">#REF!</definedName>
    <definedName name="_FXD0614">#REF!</definedName>
    <definedName name="_FXD0615">#REF!</definedName>
    <definedName name="_FXD0616">#REF!</definedName>
    <definedName name="_FXD0617">#REF!</definedName>
    <definedName name="_FXD0618">#REF!</definedName>
    <definedName name="_FXD0632">#REF!</definedName>
    <definedName name="_FXD0634">#REF!</definedName>
    <definedName name="_FXD0635">#REF!</definedName>
    <definedName name="_FXD0637">#REF!</definedName>
    <definedName name="_FXD0638">#REF!</definedName>
    <definedName name="_FXD0643">#REF!</definedName>
    <definedName name="_FXD0651">#REF!</definedName>
    <definedName name="_FXD0653">#REF!</definedName>
    <definedName name="_FXD0814">#REF!</definedName>
    <definedName name="_FXD0832">#REF!</definedName>
    <definedName name="_FXD0834">#REF!</definedName>
    <definedName name="_FXD0835">#REF!</definedName>
    <definedName name="_FXD0837">#REF!</definedName>
    <definedName name="_FXD0838">#REF!</definedName>
    <definedName name="_FXD0851">#REF!</definedName>
    <definedName name="_FXD0932">#REF!</definedName>
    <definedName name="_FXD0934">#REF!</definedName>
    <definedName name="_FXD0935">#REF!</definedName>
    <definedName name="_FXD0937">#REF!</definedName>
    <definedName name="_FXD0938">#REF!</definedName>
    <definedName name="_FXD0951">#REF!</definedName>
    <definedName name="_FXD7032">#REF!</definedName>
    <definedName name="_FXD7034">#REF!</definedName>
    <definedName name="_FXD7035">#REF!</definedName>
    <definedName name="_FXD7037">#REF!</definedName>
    <definedName name="_FXD7038">#REF!</definedName>
    <definedName name="_FXD8614">#REF!</definedName>
    <definedName name="_FXD8615">#REF!</definedName>
    <definedName name="_FXD8616">#REF!</definedName>
    <definedName name="_FXD8617">#REF!</definedName>
    <definedName name="_FXD8618">#REF!</definedName>
    <definedName name="_FXD8632">#REF!</definedName>
    <definedName name="_FXD8634">#REF!</definedName>
    <definedName name="_FXD8635">#REF!</definedName>
    <definedName name="_FXD8637">#REF!</definedName>
    <definedName name="_FXD8638">#REF!</definedName>
    <definedName name="_FXD8651">#REF!</definedName>
    <definedName name="_HOME__APP1__LP">#REF!</definedName>
    <definedName name="_HOME__APP1__PC">'[2]E-2'!#REF!</definedName>
    <definedName name="_HOME__FS_ESC_3">'[2]E-2'!#REF!</definedName>
    <definedName name="_Order1" hidden="1">255</definedName>
    <definedName name="_Order2" hidden="1">255</definedName>
    <definedName name="_PRCRSA148..O17">'[2]E-2'!#REF!</definedName>
    <definedName name="_PRCRSAC1..AK46">#REF!</definedName>
    <definedName name="_PRCRSO1..Y60_G">#REF!</definedName>
    <definedName name="_PRCRSQ148..AE1">'[2]E-2'!#REF!</definedName>
    <definedName name="_Regression_Int" hidden="1">1</definedName>
    <definedName name="_SCH10">'[6]Rev Def Sum'!#REF!</definedName>
    <definedName name="_sch17">#REF!</definedName>
    <definedName name="_SCH33">'[7]SCHEDULE 33 A REV.'!$A$1:$H$67</definedName>
    <definedName name="_SCH6">#N/A</definedName>
    <definedName name="_Sort" hidden="1">#REF!</definedName>
    <definedName name="_SUM0111">#REF!</definedName>
    <definedName name="_SUM0113">#REF!</definedName>
    <definedName name="_SUM0210">#REF!</definedName>
    <definedName name="_SUM0213">#REF!</definedName>
    <definedName name="_SUM0401">#REF!</definedName>
    <definedName name="_SUM0402">#REF!</definedName>
    <definedName name="_SUM0408">#REF!</definedName>
    <definedName name="_SUM0409">#REF!</definedName>
    <definedName name="_SUM0411">#REF!</definedName>
    <definedName name="_SUM0501">#REF!</definedName>
    <definedName name="_SUM0502">#REF!</definedName>
    <definedName name="_SUM0508">#REF!</definedName>
    <definedName name="_SUM0509">#REF!</definedName>
    <definedName name="_SUM0510">#REF!</definedName>
    <definedName name="_SUM0511">#REF!</definedName>
    <definedName name="_SUM0613">#REF!</definedName>
    <definedName name="_SUM0701">#REF!</definedName>
    <definedName name="_SUM0702">#REF!</definedName>
    <definedName name="_SUM0708">#REF!</definedName>
    <definedName name="_SUM0709">#REF!</definedName>
    <definedName name="_SUM0813">#REF!</definedName>
    <definedName name="_SUM0901">#REF!</definedName>
    <definedName name="_SUM0902">#REF!</definedName>
    <definedName name="_SUM0908">#REF!</definedName>
    <definedName name="_SUM0911">#REF!</definedName>
    <definedName name="_SUM0913">#REF!</definedName>
    <definedName name="_SUM5701">#REF!</definedName>
    <definedName name="_SUM5702">#REF!</definedName>
    <definedName name="_SUM5708">#REF!</definedName>
    <definedName name="_SUM5709">#REF!</definedName>
    <definedName name="_SUM5711">#REF!</definedName>
    <definedName name="_SUM5801">#REF!</definedName>
    <definedName name="_SUM5802">#REF!</definedName>
    <definedName name="_SUM5811">#REF!</definedName>
    <definedName name="_SUM6001">#REF!</definedName>
    <definedName name="_SUM6002">#REF!</definedName>
    <definedName name="_SUM6008">#REF!</definedName>
    <definedName name="_sum6009">#REF!</definedName>
    <definedName name="_SUM6011">#REF!</definedName>
    <definedName name="_SUM6101">#REF!</definedName>
    <definedName name="_SUM6102">#REF!</definedName>
    <definedName name="_SUM6108">#REF!</definedName>
    <definedName name="_SUM6109">#REF!</definedName>
    <definedName name="_SUM6111">#REF!</definedName>
    <definedName name="_SUM6201">#REF!</definedName>
    <definedName name="_SUM6202">#REF!</definedName>
    <definedName name="_SUM6301">#REF!</definedName>
    <definedName name="_SUM6302">#REF!</definedName>
    <definedName name="_SUM6308">#REF!</definedName>
    <definedName name="_SUM6309">#REF!</definedName>
    <definedName name="_SUM6311">#REF!</definedName>
    <definedName name="_SUM6401">#REF!</definedName>
    <definedName name="_SUM6402">#REF!</definedName>
    <definedName name="_SUM6408">#REF!</definedName>
    <definedName name="_SUM6409">#REF!</definedName>
    <definedName name="_SUM6411">#REF!</definedName>
    <definedName name="_SUM6413">#REF!</definedName>
    <definedName name="_SUM6501">#REF!</definedName>
    <definedName name="_SUM6502">#REF!</definedName>
    <definedName name="_SUM6508">#REF!</definedName>
    <definedName name="_SUM6509">#REF!</definedName>
    <definedName name="_SUM6510">#REF!</definedName>
    <definedName name="_SUM6511">#REF!</definedName>
    <definedName name="_SUM6601">#REF!</definedName>
    <definedName name="_SUM6602">#REF!</definedName>
    <definedName name="_SUM6608">#REF!</definedName>
    <definedName name="_SUM6609">#REF!</definedName>
    <definedName name="_SUM6611">#REF!</definedName>
    <definedName name="_SUM6701">#REF!</definedName>
    <definedName name="_SUM6702">#REF!</definedName>
    <definedName name="_SUM6708">#REF!</definedName>
    <definedName name="_SUM6709">#REF!</definedName>
    <definedName name="_SUM6710">#REF!</definedName>
    <definedName name="_SUM6711">#REF!</definedName>
    <definedName name="_SUM6718">#REF!</definedName>
    <definedName name="_SUM6801">#REF!</definedName>
    <definedName name="_SUM6802">#REF!</definedName>
    <definedName name="_SUM7013">#REF!</definedName>
    <definedName name="_SUM7201">#REF!</definedName>
    <definedName name="_SUM7202">#REF!</definedName>
    <definedName name="_SUM7208">#REF!</definedName>
    <definedName name="_SUM7209">#REF!</definedName>
    <definedName name="_SUM7210">#REF!</definedName>
    <definedName name="_SUM7211">#REF!</definedName>
    <definedName name="_SUM7301">#REF!</definedName>
    <definedName name="_SUM7302">#REF!</definedName>
    <definedName name="_SUM7308">#REF!</definedName>
    <definedName name="_SUM7309">#REF!</definedName>
    <definedName name="_SUM7311">#REF!</definedName>
    <definedName name="_SUM7401">#REF!</definedName>
    <definedName name="_SUM7402">#REF!</definedName>
    <definedName name="_SUM7408">#REF!</definedName>
    <definedName name="_SUM7409">#REF!</definedName>
    <definedName name="_SUM7411">#REF!</definedName>
    <definedName name="_SUM7501">#REF!</definedName>
    <definedName name="_SUM7502">#REF!</definedName>
    <definedName name="_SUM7508">#REF!</definedName>
    <definedName name="_SUM7509">#REF!</definedName>
    <definedName name="_SUM7511">#REF!</definedName>
    <definedName name="_SUM7811">#REF!</definedName>
    <definedName name="_SUM7920">#REF!</definedName>
    <definedName name="_SUM8001">#REF!</definedName>
    <definedName name="_SUM8002">#REF!</definedName>
    <definedName name="_SUM8008">#REF!</definedName>
    <definedName name="_SUM8009">#REF!</definedName>
    <definedName name="_SUM8011">#REF!</definedName>
    <definedName name="_SUM8301">#REF!</definedName>
    <definedName name="_SUM8302">#REF!</definedName>
    <definedName name="_SUM8308">#REF!</definedName>
    <definedName name="_SUM8309">#REF!</definedName>
    <definedName name="_SUM8311">#REF!</definedName>
    <definedName name="_SUM8401">#REF!</definedName>
    <definedName name="_SUM8402">#REF!</definedName>
    <definedName name="_SUM8408">#REF!</definedName>
    <definedName name="_SUM8409">#REF!</definedName>
    <definedName name="_SUM8411">#REF!</definedName>
    <definedName name="_SUM8511">#REF!</definedName>
    <definedName name="_SUM8613">#REF!</definedName>
    <definedName name="_SUM8701">#REF!</definedName>
    <definedName name="_SUM8702">#REF!</definedName>
    <definedName name="_SUM8708">#REF!</definedName>
    <definedName name="_SUM8709">#REF!</definedName>
    <definedName name="_SUM8710">#REF!</definedName>
    <definedName name="_SUM8711">#REF!</definedName>
    <definedName name="_SUM8713">#REF!</definedName>
    <definedName name="_SUM8714">#REF!</definedName>
    <definedName name="_SUM8715">#REF!</definedName>
    <definedName name="_SUM8716">#REF!</definedName>
    <definedName name="_SUM8717">#REF!</definedName>
    <definedName name="_SUM8719">#REF!</definedName>
    <definedName name="a" hidden="1">{"'Server Configuration'!$A$1:$DB$281"}</definedName>
    <definedName name="a_1" hidden="1">{"'Server Configuration'!$A$1:$DB$281"}</definedName>
    <definedName name="A_R_CAPCOMP">#REF!</definedName>
    <definedName name="A_R_DAILY">#REF!</definedName>
    <definedName name="A_R_DAILYSUPPOR">#REF!</definedName>
    <definedName name="A_R_WKSHT1">#REF!</definedName>
    <definedName name="A_R_WKST2">#REF!</definedName>
    <definedName name="ACCT106">#REF!</definedName>
    <definedName name="ACCT495">#REF!</definedName>
    <definedName name="ACCT904">#REF!</definedName>
    <definedName name="acctXref">#REF!</definedName>
    <definedName name="Active">[8]Inputs!$B$4</definedName>
    <definedName name="ACTUAL_VOL">#REF!</definedName>
    <definedName name="AddPMA">#REF!</definedName>
    <definedName name="AddUSF">#REF!</definedName>
    <definedName name="adj1to3">#REF!</definedName>
    <definedName name="adj4a">#REF!</definedName>
    <definedName name="adj4b">#REF!</definedName>
    <definedName name="adj4c">#REF!</definedName>
    <definedName name="adj4d">#REF!</definedName>
    <definedName name="adj4e1">#REF!</definedName>
    <definedName name="adj4e3">#REF!</definedName>
    <definedName name="adj4f1">#REF!</definedName>
    <definedName name="adj4f2">#REF!</definedName>
    <definedName name="adj4f3">#REF!</definedName>
    <definedName name="adj4g">#REF!</definedName>
    <definedName name="adj4h">#REF!</definedName>
    <definedName name="ADJ52_1of2">#REF!</definedName>
    <definedName name="ADJ52_2of2">#REF!</definedName>
    <definedName name="ADJMCF">#REF!</definedName>
    <definedName name="ADJMCF2">#REF!</definedName>
    <definedName name="adjno">[9]Sch1!$G$1</definedName>
    <definedName name="ADJSUM">#REF!</definedName>
    <definedName name="AGENCY_GASCOSTS">#REF!</definedName>
    <definedName name="AGENCY_HISTORY">#REF!</definedName>
    <definedName name="AGENCY_TRANSP">#REF!</definedName>
    <definedName name="ahahahahaha" hidden="1">{"'Server Configuration'!$A$1:$DB$281"}</definedName>
    <definedName name="ahahahahaha_1" hidden="1">{"'Server Configuration'!$A$1:$DB$281"}</definedName>
    <definedName name="ahahahahaha_2" hidden="1">{"'Server Configuration'!$A$1:$DB$281"}</definedName>
    <definedName name="Ainput2">'[10]L Graph (Data)'!$A$6:$DS$21</definedName>
    <definedName name="Ainputvol">'[11]L Graph (Data)'!$A$6:$DS$17</definedName>
    <definedName name="ali" hidden="1">{"'Server Configuration'!$A$1:$DB$281"}</definedName>
    <definedName name="AllData">OFFSET('[12]SLCs Due &amp; Recd'!$A$11,0,0,COUNTA('[12]SLCs Due &amp; Recd'!$B$1:$B$65536),COUNTA('[12]SLCs Due &amp; Recd'!$A$11:$IV$11))</definedName>
    <definedName name="ALLOC">[13]VLOOKUP!$A$2:$S$26</definedName>
    <definedName name="ALLPAGES">#REF!</definedName>
    <definedName name="ANGINC">#REF!</definedName>
    <definedName name="ANNPCT">#REF!</definedName>
    <definedName name="ANNPCTANG">#REF!</definedName>
    <definedName name="Application_Fees">[8]Inputs!$B$50</definedName>
    <definedName name="AR">#REF!</definedName>
    <definedName name="AUTO11">#REF!</definedName>
    <definedName name="AUTO12">#REF!</definedName>
    <definedName name="AUTO14">#REF!</definedName>
    <definedName name="AUTO15">#REF!</definedName>
    <definedName name="AUTO16">#REF!</definedName>
    <definedName name="AUTO17">#REF!</definedName>
    <definedName name="AUTO18">#REF!</definedName>
    <definedName name="AUTO20">#REF!</definedName>
    <definedName name="AUTO22">#REF!</definedName>
    <definedName name="AUTO32">#REF!</definedName>
    <definedName name="AUTO34">#REF!</definedName>
    <definedName name="AUTO35">#REF!</definedName>
    <definedName name="AUTO37">#REF!</definedName>
    <definedName name="AUTO38">#REF!</definedName>
    <definedName name="AUTO48">#REF!</definedName>
    <definedName name="AUTO51">#REF!</definedName>
    <definedName name="AUTO52">#REF!</definedName>
    <definedName name="AUTO53">#REF!</definedName>
    <definedName name="AVG_BANK_BAL">[14]EXH10!$A$1:$J$47</definedName>
    <definedName name="Avg_Mo_pmt">[8]Inputs!$B$7</definedName>
    <definedName name="AVGrate">'[15]AVG FXrates'!$B$4:$F$47</definedName>
    <definedName name="b" hidden="1">{"'Server Configuration'!$A$1:$DB$281"}</definedName>
    <definedName name="b_1" hidden="1">{"'Server Configuration'!$A$1:$DB$281"}</definedName>
    <definedName name="Bank">[16]Input!#REF!</definedName>
    <definedName name="base">'[17]Index A'!$C$16</definedName>
    <definedName name="Baseline">#REF!</definedName>
    <definedName name="bdate">'[18]Oper Rev&amp;Exp by Accts C2.1A'!$A$4</definedName>
    <definedName name="BENEFITS">#REF!</definedName>
    <definedName name="Binputrusum">'[10]L Graph (Data)'!$A$97:$DS$109</definedName>
    <definedName name="binputsum">'[11]L Graph (Data)'!$A$19:$DS$29</definedName>
    <definedName name="binputsumru">'[19]L Graph (Data)'!$A$91:$DS$105</definedName>
    <definedName name="binputvol">'[19]L Graph (Data)'!$A$21:$DS$34</definedName>
    <definedName name="blip" hidden="1">{"'Server Configuration'!$A$1:$DB$281"}</definedName>
    <definedName name="blip_1" hidden="1">{"'Server Configuration'!$A$1:$DB$281"}</definedName>
    <definedName name="blip_2" hidden="1">{"'Server Configuration'!$A$1:$DB$281"}</definedName>
    <definedName name="blort">#REF!</definedName>
    <definedName name="BMSGRADE">[20]Assumptions!$J$8:$J$21</definedName>
    <definedName name="BOB">#REF!</definedName>
    <definedName name="BTU">[21]Input!$B$11</definedName>
    <definedName name="ByTower">#REF!</definedName>
    <definedName name="CALDEN">#REF!</definedName>
    <definedName name="Cap_Structure">#REF!</definedName>
    <definedName name="case">'[17]B-1 p.1 Summary (Base)'!$A$2</definedName>
    <definedName name="CCCfeeadj">'[11]L Graph (Data)'!$A$410:$DS$457</definedName>
    <definedName name="CCCvoladj">'[11]L Graph (Data)'!$A$359:$DS$406</definedName>
    <definedName name="Central_Call_Handling_Charge">'[22]Router Configuration'!$S$1</definedName>
    <definedName name="CHART32">#REF!</definedName>
    <definedName name="CHART34">#REF!</definedName>
    <definedName name="CHART35">#REF!</definedName>
    <definedName name="CHART37">#REF!</definedName>
    <definedName name="CHART38">#REF!</definedName>
    <definedName name="CInputChg">'[10]L Graph (Data)'!$A$41:$IV$56</definedName>
    <definedName name="Cinputvol">'[19]L Graph (Data)'!$A$38:$DS$51</definedName>
    <definedName name="Clarification">#REF!</definedName>
    <definedName name="co">'[17]Index A'!$A$10</definedName>
    <definedName name="COLUMN1">#REF!</definedName>
    <definedName name="COLUMN2">#REF!</definedName>
    <definedName name="Commodity">[16]Input!$C$10</definedName>
    <definedName name="Companies">#REF!</definedName>
    <definedName name="company">'[18]Operating Income Summary C-1'!$A$1</definedName>
    <definedName name="CONAME">[16]B!$A$1</definedName>
    <definedName name="CONTENTS">#REF!</definedName>
    <definedName name="Criticality">#REF!</definedName>
    <definedName name="curr_cust_pmts">'[8]Payment Calculation'!$C$24</definedName>
    <definedName name="CUSTCHG">#REF!</definedName>
    <definedName name="CUSTCOM32">#REF!</definedName>
    <definedName name="CUSTCOM34">#REF!</definedName>
    <definedName name="CUSTCOM35">#REF!</definedName>
    <definedName name="CUSTCOM37">#REF!</definedName>
    <definedName name="CUSTCOM38">#REF!</definedName>
    <definedName name="CUSTGAS32">#REF!</definedName>
    <definedName name="CUSTGAS34">#REF!</definedName>
    <definedName name="CUSTGAS37">#REF!</definedName>
    <definedName name="CUSTHP32">#REF!</definedName>
    <definedName name="CUSTHP34">#REF!</definedName>
    <definedName name="CUSTHP35">#REF!</definedName>
    <definedName name="CUSTHP37">#REF!</definedName>
    <definedName name="CUSTHP38">#REF!</definedName>
    <definedName name="CUSTRES32">#REF!</definedName>
    <definedName name="CUSTRES34">#REF!</definedName>
    <definedName name="CUSTRES35">#REF!</definedName>
    <definedName name="CUSTRES37">#REF!</definedName>
    <definedName name="CUSTRES38">#REF!</definedName>
    <definedName name="CUSTRET16">#REF!</definedName>
    <definedName name="CUSTRET32">#REF!</definedName>
    <definedName name="CUSTRET34">#REF!</definedName>
    <definedName name="CUSTRET35">#REF!</definedName>
    <definedName name="CUSTRET37">#REF!</definedName>
    <definedName name="CUSTRET38">#REF!</definedName>
    <definedName name="CUSTRET43">#REF!</definedName>
    <definedName name="CUSTTRAN32">#REF!</definedName>
    <definedName name="CUSTTRAN34">#REF!</definedName>
    <definedName name="CUSTTRAN35">#REF!</definedName>
    <definedName name="CUSTTRAN37">#REF!</definedName>
    <definedName name="CUSTTRAN38">#REF!</definedName>
    <definedName name="CWC">'[6]Rev Def Sum'!#REF!</definedName>
    <definedName name="CWC_12_96">#REF!</definedName>
    <definedName name="CWC_12_97">#REF!</definedName>
    <definedName name="CWC_9_97">#REF!</definedName>
    <definedName name="D">{"'Server Configuration'!$A$1:$DB$281"}</definedName>
    <definedName name="D_1">{"'Server Configuration'!$A$1:$DB$281"}</definedName>
    <definedName name="D_2">{"'Server Configuration'!$A$1:$DB$281"}</definedName>
    <definedName name="da">{"'Server Configuration'!$A$1:$DB$281"}</definedName>
    <definedName name="da_1">{"'Server Configuration'!$A$1:$DB$281"}</definedName>
    <definedName name="dad" hidden="1">{"'Server Configuration'!$A$1:$DB$281"}</definedName>
    <definedName name="DATA2">#REF!</definedName>
    <definedName name="_xlnm.Database">#REF!</definedName>
    <definedName name="date">'[23]Operating Income Summary C-1'!$A$4</definedName>
    <definedName name="dateb">'[17]B-1 p.1 Summary (Base)'!$A$4</definedName>
    <definedName name="datef">'[17]B-1 p.2 Summary (Forecast)'!$A$4</definedName>
    <definedName name="DAVE">'[2]E-2'!#REF!</definedName>
    <definedName name="DC">[9]Sch2!#REF!</definedName>
    <definedName name="DEBT">[24]RORB!$B$2:$F$24</definedName>
    <definedName name="DEPPROD51">#REF!</definedName>
    <definedName name="DEPR">#REF!</definedName>
    <definedName name="DEPTOT11">#REF!</definedName>
    <definedName name="DEPTOT12">#REF!</definedName>
    <definedName name="DEPTOT14">#REF!</definedName>
    <definedName name="DEPTOT15">#REF!</definedName>
    <definedName name="DEPTOT16">#REF!</definedName>
    <definedName name="DEPTOT17">#REF!</definedName>
    <definedName name="DEPTOT18">#REF!</definedName>
    <definedName name="DEPTOT20">#REF!</definedName>
    <definedName name="DEPTOT22">#REF!</definedName>
    <definedName name="DEPTOT32">#REF!</definedName>
    <definedName name="DEPTOT34">#REF!</definedName>
    <definedName name="DEPTOT35">#REF!</definedName>
    <definedName name="DEPTOT37">#REF!</definedName>
    <definedName name="DEPTOT38">#REF!</definedName>
    <definedName name="DEPTOT45">#REF!</definedName>
    <definedName name="DEPTOT48">#REF!</definedName>
    <definedName name="DEPTOT51">#REF!</definedName>
    <definedName name="DEPTOT52">#REF!</definedName>
    <definedName name="DEPTOT53">#REF!</definedName>
    <definedName name="DIRBIL11">#REF!</definedName>
    <definedName name="DIRBIL14">#REF!</definedName>
    <definedName name="DIRBIL15">#REF!</definedName>
    <definedName name="DIRBIL16">#REF!</definedName>
    <definedName name="DIRBIL17">#REF!</definedName>
    <definedName name="DIRBIL18">#REF!</definedName>
    <definedName name="DIRBIL20">#REF!</definedName>
    <definedName name="DIRBIL22">#REF!</definedName>
    <definedName name="DIRBIL32">#REF!</definedName>
    <definedName name="DIRBIL34">#REF!</definedName>
    <definedName name="DIRBIL35">#REF!</definedName>
    <definedName name="DIRBIL37">#REF!</definedName>
    <definedName name="DIRBIL38">#REF!</definedName>
    <definedName name="DIRBIL43">#REF!</definedName>
    <definedName name="DIRBIL45">#REF!</definedName>
    <definedName name="DIRBIL48">#REF!</definedName>
    <definedName name="DIRBIL51">#REF!</definedName>
    <definedName name="DIRBIL52">#REF!</definedName>
    <definedName name="DIRBIL53">#REF!</definedName>
    <definedName name="DISTINC">#REF!</definedName>
    <definedName name="E_factor_amt">[8]Inputs!$B$32</definedName>
    <definedName name="EA">[8]Inputs!$B$8</definedName>
    <definedName name="EGC">[16]Input!$C$11</definedName>
    <definedName name="EGCDATE">[16]Input!$C$14</definedName>
    <definedName name="ENDrate">'[15]END FXrates'!$B$4:$F$46</definedName>
    <definedName name="Enrolled">[8]Inputs!$B$5</definedName>
    <definedName name="EQUITY">[24]RORB!$A$25:$G$49</definedName>
    <definedName name="Est_Enrollment">[8]Inputs!$B$17</definedName>
    <definedName name="EX3_SHT1">#REF!</definedName>
    <definedName name="EX3_SHT2">#REF!</definedName>
    <definedName name="EXPDIST32">#REF!</definedName>
    <definedName name="EXPDIST34">#REF!</definedName>
    <definedName name="EXPDIST35">#REF!</definedName>
    <definedName name="EXPDIST37">#REF!</definedName>
    <definedName name="EXPDIST38">#REF!</definedName>
    <definedName name="EXPENSES">#REF!</definedName>
    <definedName name="EXPFACTOR">#REF!</definedName>
    <definedName name="EXPPROD51">#REF!</definedName>
    <definedName name="EXPTOT11">#REF!</definedName>
    <definedName name="EXPTOT12">#REF!</definedName>
    <definedName name="EXPTOT14">#REF!</definedName>
    <definedName name="EXPTOT15">#REF!</definedName>
    <definedName name="EXPTOT16">#REF!</definedName>
    <definedName name="EXPTOT17">#REF!</definedName>
    <definedName name="EXPTOT18">#REF!</definedName>
    <definedName name="EXPTOT20">#REF!</definedName>
    <definedName name="EXPTOT22">#REF!</definedName>
    <definedName name="EXPTOT32">#REF!</definedName>
    <definedName name="EXPTOT34">#REF!</definedName>
    <definedName name="EXPTOT35">#REF!</definedName>
    <definedName name="EXPTOT37">#REF!</definedName>
    <definedName name="EXPTOT38">#REF!</definedName>
    <definedName name="EXPTOT45">#REF!</definedName>
    <definedName name="EXPTOT48">#REF!</definedName>
    <definedName name="EXPTOT51">#REF!</definedName>
    <definedName name="EXPTOT52">#REF!</definedName>
    <definedName name="EXPTOT53">#REF!</definedName>
    <definedName name="EXPTRAN14">#REF!</definedName>
    <definedName name="EXPTRAN51">#REF!</definedName>
    <definedName name="FADIST32">#REF!</definedName>
    <definedName name="FADIST34">#REF!</definedName>
    <definedName name="FADIST35">#REF!</definedName>
    <definedName name="FADIST37">#REF!</definedName>
    <definedName name="FADIST38">#REF!</definedName>
    <definedName name="FADSIT37">#REF!</definedName>
    <definedName name="FAPROD51">#REF!</definedName>
    <definedName name="FATOT11">#REF!</definedName>
    <definedName name="FATOT12">#REF!</definedName>
    <definedName name="FATOT14">#REF!</definedName>
    <definedName name="FATOT15">#REF!</definedName>
    <definedName name="FATOT16">#REF!</definedName>
    <definedName name="FATOT17">#REF!</definedName>
    <definedName name="FATOT18">#REF!</definedName>
    <definedName name="FATOT20">#REF!</definedName>
    <definedName name="FATOT22">#REF!</definedName>
    <definedName name="FATOT32">#REF!</definedName>
    <definedName name="FATOT34">#REF!</definedName>
    <definedName name="FATOT35">#REF!</definedName>
    <definedName name="FATOT37">#REF!</definedName>
    <definedName name="FATOT38">#REF!</definedName>
    <definedName name="fatot45">#REF!</definedName>
    <definedName name="FATOT48">#REF!</definedName>
    <definedName name="FATOT51">#REF!</definedName>
    <definedName name="FATOT52">#REF!</definedName>
    <definedName name="FATOT53">#REF!</definedName>
    <definedName name="FATRAN14">#REF!</definedName>
    <definedName name="FATRAN51">#REF!</definedName>
    <definedName name="fbdate">'[18]Operating Income Summary C-1'!$A$4</definedName>
    <definedName name="FDATE">'[18]Oper Rev&amp;Exp by Accts C2.1B'!$A$4</definedName>
    <definedName name="FEDTAX">'[6]Rev Def Sum'!#REF!</definedName>
    <definedName name="FICA">[25]Sheet1!$A$2:$R$48</definedName>
    <definedName name="FICA_CALULATION">#REF!</definedName>
    <definedName name="FICA_FIC_TAX_MO">#REF!</definedName>
    <definedName name="FICA_FIT_TAX_BW">#REF!</definedName>
    <definedName name="FindRef">OFFSET('[12]% Invoice'!$A$1,0,0,COUNTA('[12]% Invoice'!$A$1:$A$65536),1)</definedName>
    <definedName name="forecast">'[17]Index A'!$C$18</definedName>
    <definedName name="FOREM_S">#REF!</definedName>
    <definedName name="FORESTORE">#REF!</definedName>
    <definedName name="FORESUM">#REF!</definedName>
    <definedName name="FTLEE">#REF!</definedName>
    <definedName name="FTY">#REF!</definedName>
    <definedName name="FUELCOST">#REF!</definedName>
    <definedName name="FY">[9]Sch2!#REF!</definedName>
    <definedName name="FYDESC">#REF!</definedName>
    <definedName name="GARY">#REF!</definedName>
    <definedName name="GAS_PURCH_SORT">#REF!</definedName>
    <definedName name="GASCOST">#REF!</definedName>
    <definedName name="GASNOTE">#REF!</definedName>
    <definedName name="Grade">[20]Assumptions!$J$8:$J$21</definedName>
    <definedName name="GROSS_WAGES">#REF!</definedName>
    <definedName name="header">#REF!</definedName>
    <definedName name="HIS_AVG_RT_BASE">#REF!</definedName>
    <definedName name="HoursPerDay">7.5</definedName>
    <definedName name="ht" hidden="1">{"'Server Configuration'!$A$1:$DB$281"}</definedName>
    <definedName name="ht_1" hidden="1">{"'Server Configuration'!$A$1:$DB$281"}</definedName>
    <definedName name="HTML_CodePage" hidden="1">1252</definedName>
    <definedName name="HTML_Control" hidden="1">{"'Server Configuration'!$A$1:$DB$281"}</definedName>
    <definedName name="HTML_Control_1" hidden="1">{"'Server Configuration'!$A$1:$DB$281"}</definedName>
    <definedName name="HTML_Control_2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Ibaselineunits">'[19]L Graph (Data)'!$A$71:$DS$84</definedName>
    <definedName name="IBM">{"'Server Configuration'!$A$1:$DB$281"}</definedName>
    <definedName name="IC">{"'Server Configuration'!$A$1:$DB$281"}</definedName>
    <definedName name="IMFILE">#REF!</definedName>
    <definedName name="INCTAX">'[6]Rev Def Sum'!#REF!</definedName>
    <definedName name="INCTAX2">'[6]Rev Def Sum'!#REF!</definedName>
    <definedName name="INDADD">#REF!</definedName>
    <definedName name="INPUT">#REF!</definedName>
    <definedName name="Inputbase">'[10]A (Input) Inv MO Service Charge'!#REF!</definedName>
    <definedName name="INTCO">#REF!</definedName>
    <definedName name="INTEREST_WKST">#REF!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DIN">"AUTO"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MT_OUT">"c2145"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BROKER_REC_NO_REUT">"c5315"</definedName>
    <definedName name="IQ_AVG_BROKER_REC_REUT">"c3630"</definedName>
    <definedName name="IQ_AVG_DAILY_VOL">"c65"</definedName>
    <definedName name="IQ_AVG_INDUSTRY_REC">"c4455"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NCHMARK_SECURITY">"c2154"</definedName>
    <definedName name="IQ_BENCHMARK_SPRD">"c2153"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OND_COUPON">"c2183"</definedName>
    <definedName name="IQ_BOND_COUPON_TYPE">"c2184"</definedName>
    <definedName name="IQ_BOND_PRICE">"c2162"</definedName>
    <definedName name="IQ_BROK_COMISSION">"c98"</definedName>
    <definedName name="IQ_BROK_COMMISSION">"c3514"</definedName>
    <definedName name="IQ_BUILDINGS">"c99"</definedName>
    <definedName name="IQ_BUS_SEG_ASSETS">"c4067"</definedName>
    <definedName name="IQ_BUS_SEG_ASSETS_ABS">"c4089"</definedName>
    <definedName name="IQ_BUS_SEG_ASSETS_TOTAL">"c4112"</definedName>
    <definedName name="IQ_BUS_SEG_CAPEX">"c4079"</definedName>
    <definedName name="IQ_BUS_SEG_CAPEX_ABS">"c4101"</definedName>
    <definedName name="IQ_BUS_SEG_CAPEX_TOTAL">"c4116"</definedName>
    <definedName name="IQ_BUS_SEG_DA">"c4078"</definedName>
    <definedName name="IQ_BUS_SEG_DA_ABS">"c4100"</definedName>
    <definedName name="IQ_BUS_SEG_DA_TOTAL">"c4115"</definedName>
    <definedName name="IQ_BUS_SEG_EARNINGS_OP">"c4063"</definedName>
    <definedName name="IQ_BUS_SEG_EARNINGS_OP_ABS">"c4085"</definedName>
    <definedName name="IQ_BUS_SEG_EARNINGS_OP_TOTAL">"c4108"</definedName>
    <definedName name="IQ_BUS_SEG_EBT">"c4064"</definedName>
    <definedName name="IQ_BUS_SEG_EBT_ABS">"c4086"</definedName>
    <definedName name="IQ_BUS_SEG_EBT_TOTAL">"c4110"</definedName>
    <definedName name="IQ_BUS_SEG_GP">"c4066"</definedName>
    <definedName name="IQ_BUS_SEG_GP_ABS">"c4088"</definedName>
    <definedName name="IQ_BUS_SEG_GP_TOTAL">"c4109"</definedName>
    <definedName name="IQ_BUS_SEG_INC_TAX">"c4077"</definedName>
    <definedName name="IQ_BUS_SEG_INC_TAX_ABS">"c4099"</definedName>
    <definedName name="IQ_BUS_SEG_INC_TAX_TOTAL">"c4114"</definedName>
    <definedName name="IQ_BUS_SEG_INTEREST_EXP">"c4076"</definedName>
    <definedName name="IQ_BUS_SEG_INTEREST_EXP_ABS">"c4098"</definedName>
    <definedName name="IQ_BUS_SEG_INTEREST_EXP_TOTAL">"c4113"</definedName>
    <definedName name="IQ_BUS_SEG_NAME">"c5482"</definedName>
    <definedName name="IQ_BUS_SEG_NAME_ABS">"c5483"</definedName>
    <definedName name="IQ_BUS_SEG_NI">"c4065"</definedName>
    <definedName name="IQ_BUS_SEG_NI_ABS">"c4087"</definedName>
    <definedName name="IQ_BUS_SEG_NI_TOTAL">"c4111"</definedName>
    <definedName name="IQ_BUS_SEG_OPER_INC">"c4062"</definedName>
    <definedName name="IQ_BUS_SEG_OPER_INC_ABS">"c4084"</definedName>
    <definedName name="IQ_BUS_SEG_OPER_INC_TOTAL">"c4107"</definedName>
    <definedName name="IQ_BUS_SEG_REV">"c4068"</definedName>
    <definedName name="IQ_BUS_SEG_REV_ABS">"c4090"</definedName>
    <definedName name="IQ_BUS_SEG_REV_TOTAL">"c4106"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LC_TYPE_BS">"c3086"</definedName>
    <definedName name="IQ_CALC_TYPE_CF">"c3085"</definedName>
    <definedName name="IQ_CALC_TYPE_IS">"c3084"</definedName>
    <definedName name="IQ_CALL_DATE_SCHEDULE">"c2481"</definedName>
    <definedName name="IQ_CALL_FEATURE">"c2197"</definedName>
    <definedName name="IQ_CALL_PRICE_SCHEDULE">"c2482"</definedName>
    <definedName name="IQ_CALLABLE">"c2196"</definedName>
    <definedName name="IQ_CAP_LOSS_CF_1YR">"c3474"</definedName>
    <definedName name="IQ_CAP_LOSS_CF_2YR">"c3475"</definedName>
    <definedName name="IQ_CAP_LOSS_CF_3YR">"c3476"</definedName>
    <definedName name="IQ_CAP_LOSS_CF_4YR">"c3477"</definedName>
    <definedName name="IQ_CAP_LOSS_CF_5YR">"c3478"</definedName>
    <definedName name="IQ_CAP_LOSS_CF_AFTER_FIVE">"c3479"</definedName>
    <definedName name="IQ_CAP_LOSS_CF_MAX_YEAR">"c3482"</definedName>
    <definedName name="IQ_CAP_LOSS_CF_NO_EXP">"c3480"</definedName>
    <definedName name="IQ_CAP_LOSS_CF_TOTAL">"c3481"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"c3460"</definedName>
    <definedName name="IQ_CAPITALIZED_INTEREST_BOP">"c3459"</definedName>
    <definedName name="IQ_CAPITALIZED_INTEREST_EOP">"c3464"</definedName>
    <definedName name="IQ_CAPITALIZED_INTEREST_EXP">"c3461"</definedName>
    <definedName name="IQ_CAPITALIZED_INTEREST_OTHER_ADJ">"c3463"</definedName>
    <definedName name="IQ_CAPITALIZED_INTEREST_WRITE_OFF">"c3462"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FLOW_ACT_OR_EST">"c4154"</definedName>
    <definedName name="IQ_CASH_INTEREST">"c120"</definedName>
    <definedName name="IQ_CASH_INVEST">"c121"</definedName>
    <definedName name="IQ_CASH_OPER">"c122"</definedName>
    <definedName name="IQ_CASH_OPER_ACT_OR_EST">"c4164"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OPER_ASSETS">"c3592"</definedName>
    <definedName name="IQ_CHANGE_NET_WORKING_CAPITAL">"c1909"</definedName>
    <definedName name="IQ_CHANGE_OTHER_NET_OPER_ASSETS">"c3593"</definedName>
    <definedName name="IQ_CHANGE_OTHER_NET_OPER_ASSETS_BNK">"c3594"</definedName>
    <definedName name="IQ_CHANGE_OTHER_NET_OPER_ASSETS_BR">"c3595"</definedName>
    <definedName name="IQ_CHANGE_OTHER_NET_OPER_ASSETS_FIN">"c3596"</definedName>
    <definedName name="IQ_CHANGE_OTHER_NET_OPER_ASSETS_INS">"c3597"</definedName>
    <definedName name="IQ_CHANGE_OTHER_NET_OPER_ASSETS_REIT">"c3598"</definedName>
    <definedName name="IQ_CHANGE_OTHER_NET_OPER_ASSETS_UTI">"c3599"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ID">"c3513"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_DATE">"c2191"</definedName>
    <definedName name="IQ_CONV_EXP_DATE">"c3043"</definedName>
    <definedName name="IQ_CONV_PREMIUM">"c2195"</definedName>
    <definedName name="IQ_CONV_PRICE">"c2193"</definedName>
    <definedName name="IQ_CONV_RATIO">"c2192"</definedName>
    <definedName name="IQ_CONV_SECURITY">"c2189"</definedName>
    <definedName name="IQ_CONV_SECURITY_ISSUER">"c2190"</definedName>
    <definedName name="IQ_CONV_SECURITY_PRICE">"c2194"</definedName>
    <definedName name="IQ_CONVERT">"c2536"</definedName>
    <definedName name="IQ_CONVERT_PCT">"c2537"</definedName>
    <definedName name="IQ_CONVEXITY">"c2182"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EBITDA">"c5528"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TED_DATE">"c2185"</definedName>
    <definedName name="IQ_DAY_COUNT">"c2161"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OSITS_INTEREST_SECURITIES">"c5509"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ACT_OR_EST">"c4278"</definedName>
    <definedName name="IQ_DISTRIBUTABLE_CASH_PAYOUT">"c3005"</definedName>
    <definedName name="IQ_DISTRIBUTABLE_CASH_SHARE">"c3003"</definedName>
    <definedName name="IQ_DISTRIBUTABLE_CASH_SHARE_ACT_OR_EST">"c4286"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URATION">"c2181"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ARNINGS_ANNOUNCE_DATE_REUT">"c5314"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EQ_INC">"c3498"</definedName>
    <definedName name="IQ_EBIT_EQ_INC_EXCL_SBC">"c3502"</definedName>
    <definedName name="IQ_EBIT_EXCL_SBC">"c3082"</definedName>
    <definedName name="IQ_EBIT_GW_ACT_OR_EST">"c4306"</definedName>
    <definedName name="IQ_EBIT_INT">"c360"</definedName>
    <definedName name="IQ_EBIT_MARGIN">"c359"</definedName>
    <definedName name="IQ_EBIT_OVER_IE">"c1369"</definedName>
    <definedName name="IQ_EBIT_SBC_ACT_OR_EST">"c4316"</definedName>
    <definedName name="IQ_EBIT_SBC_GW_ACT_OR_EST">"c4320"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EQ_INC">"c3497"</definedName>
    <definedName name="IQ_EBITA_EQ_INC_EXCL_SBC">"c3501"</definedName>
    <definedName name="IQ_EBITA_EXCL_SBC">"c3080"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CAPEX_INT">"c368"</definedName>
    <definedName name="IQ_EBITDA_CAPEX_OVER_TOTAL_IE">"c1370"</definedName>
    <definedName name="IQ_EBITDA_EQ_INC">"c3496"</definedName>
    <definedName name="IQ_EBITDA_EQ_INC_EXCL_SBC">"c3500"</definedName>
    <definedName name="IQ_EBITDA_EST">"c369"</definedName>
    <definedName name="IQ_EBITDA_EST_REUT">"c3640"</definedName>
    <definedName name="IQ_EBITDA_EXCL_SBC">"c3081"</definedName>
    <definedName name="IQ_EBITDA_HIGH_EST">"c370"</definedName>
    <definedName name="IQ_EBITDA_HIGH_EST_REUT">"c3642"</definedName>
    <definedName name="IQ_EBITDA_INT">"c373"</definedName>
    <definedName name="IQ_EBITDA_LOW_EST">"c371"</definedName>
    <definedName name="IQ_EBITDA_LOW_EST_REUT">"c3643"</definedName>
    <definedName name="IQ_EBITDA_MARGIN">"c372"</definedName>
    <definedName name="IQ_EBITDA_MEDIAN_EST">"c1663"</definedName>
    <definedName name="IQ_EBITDA_MEDIAN_EST_REUT">"c3641"</definedName>
    <definedName name="IQ_EBITDA_NUM_EST">"c374"</definedName>
    <definedName name="IQ_EBITDA_NUM_EST_REUT">"c3644"</definedName>
    <definedName name="IQ_EBITDA_OVER_TOTAL_IE">"c1371"</definedName>
    <definedName name="IQ_EBITDA_SBC_ACT_OR_EST">"c4337"</definedName>
    <definedName name="IQ_EBITDA_STDDEV_EST">"c375"</definedName>
    <definedName name="IQ_EBITDA_STDDEV_EST_REUT">"c3645"</definedName>
    <definedName name="IQ_EBITDAR">"c2989"</definedName>
    <definedName name="IQ_EBITDAR_EQ_INC">"c3499"</definedName>
    <definedName name="IQ_EBITDAR_EQ_INC_EXCL_SBC">"c3503"</definedName>
    <definedName name="IQ_EBITDAR_EXCL_SBC">"c3083"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SBC_ACT_OR_EST">"c4350"</definedName>
    <definedName name="IQ_EBT_SBC_GW_ACT_OR_EST">"c4354"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EST">"c399"</definedName>
    <definedName name="IQ_EPS_EST_REUT">"c5453"</definedName>
    <definedName name="IQ_EPS_HIGH_EST">"c400"</definedName>
    <definedName name="IQ_EPS_HIGH_EST_REUT">"c5454"</definedName>
    <definedName name="IQ_EPS_LOW_EST">"c401"</definedName>
    <definedName name="IQ_EPS_LOW_EST_REUT">"c5455"</definedName>
    <definedName name="IQ_EPS_MEDIAN_EST">"c1661"</definedName>
    <definedName name="IQ_EPS_MEDIAN_EST_REUT">"c5456"</definedName>
    <definedName name="IQ_EPS_NORM">"c1902"</definedName>
    <definedName name="IQ_EPS_NUM_EST">"c402"</definedName>
    <definedName name="IQ_EPS_NUM_EST_REUT">"c5451"</definedName>
    <definedName name="IQ_EPS_SBC_ACT_OR_EST">"c4376"</definedName>
    <definedName name="IQ_EPS_SBC_GW_ACT_OR_EST">"c4380"</definedName>
    <definedName name="IQ_EPS_STDDEV_EST">"c403"</definedName>
    <definedName name="IQ_EPS_STDDEV_EST_REUT">"c5452"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CURRENCY">"c2140"</definedName>
    <definedName name="IQ_EST_CURRENCY_REUT">"c5437"</definedName>
    <definedName name="IQ_EST_DATE">"c1634"</definedName>
    <definedName name="IQ_EST_DATE_REUT">"c5438"</definedName>
    <definedName name="IQ_EST_EPS_GROWTH_1YR">"c1636"</definedName>
    <definedName name="IQ_EST_EPS_GROWTH_1YR_REUT">"c3646"</definedName>
    <definedName name="IQ_EST_EPS_GROWTH_5YR">"c1655"</definedName>
    <definedName name="IQ_EST_EPS_GROWTH_5YR_REUT">"c3633"</definedName>
    <definedName name="IQ_EST_EPS_GROWTH_Q_1YR">"c1641"</definedName>
    <definedName name="IQ_EST_EPS_GROWTH_Q_1YR_REUT">"c5410"</definedName>
    <definedName name="IQ_EST_VENDOR">"c5564"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VAL_DATE">"c2180"</definedName>
    <definedName name="IQ_EXCHANGE">"c405"</definedName>
    <definedName name="IQ_EXCISE_TAXES_EXCL_SALES">"c5515"</definedName>
    <definedName name="IQ_EXCISE_TAXES_INCL_SALES">"c5514"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DJ_ACT_OR_EST">"c4435"</definedName>
    <definedName name="IQ_FFO_PAYOUT_RATIO">"c3492"</definedName>
    <definedName name="IQ_FFO_SHARE_ACT_OR_EST">"c4446"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CURRENT_PORT_DEBT_TOTAL">"c5524"</definedName>
    <definedName name="IQ_FIN_DIV_CURRENT_PORT_LEASES_TOTAL">"c5523"</definedName>
    <definedName name="IQ_FIN_DIV_DEBT_CURRENT">"c429"</definedName>
    <definedName name="IQ_FIN_DIV_DEBT_LT">"c430"</definedName>
    <definedName name="IQ_FIN_DIV_DEBT_LT_TOTAL">"c5526"</definedName>
    <definedName name="IQ_FIN_DIV_EXP">"c431"</definedName>
    <definedName name="IQ_FIN_DIV_INT_EXP">"c432"</definedName>
    <definedName name="IQ_FIN_DIV_LEASES_LT_TOTAL">"c5525"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NOTES_PAY_TOTAL">"c5522"</definedName>
    <definedName name="IQ_FIN_DIV_REV">"c437"</definedName>
    <definedName name="IQ_FIN_DIV_ST_DEBT_TOTAL">"c5527"</definedName>
    <definedName name="IQ_FINANCING_CASH">"c1405"</definedName>
    <definedName name="IQ_FINANCING_CASH_SUPPL">"c1406"</definedName>
    <definedName name="IQ_FINISHED_INV">"c438"</definedName>
    <definedName name="IQ_FIRST_INT_DATE">"c2186"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EO_SEG_ASSETS">"c4069"</definedName>
    <definedName name="IQ_GEO_SEG_ASSETS_ABS">"c4091"</definedName>
    <definedName name="IQ_GEO_SEG_ASSETS_TOTAL">"c4123"</definedName>
    <definedName name="IQ_GEO_SEG_CAPEX">"c4083"</definedName>
    <definedName name="IQ_GEO_SEG_CAPEX_ABS">"c4105"</definedName>
    <definedName name="IQ_GEO_SEG_CAPEX_TOTAL">"c4127"</definedName>
    <definedName name="IQ_GEO_SEG_DA">"c4082"</definedName>
    <definedName name="IQ_GEO_SEG_DA_ABS">"c4104"</definedName>
    <definedName name="IQ_GEO_SEG_DA_TOTAL">"c4126"</definedName>
    <definedName name="IQ_GEO_SEG_EARNINGS_OP">"c4073"</definedName>
    <definedName name="IQ_GEO_SEG_EARNINGS_OP_ABS">"c4095"</definedName>
    <definedName name="IQ_GEO_SEG_EARNINGS_OP_TOTAL">"c4119"</definedName>
    <definedName name="IQ_GEO_SEG_EBT">"c4072"</definedName>
    <definedName name="IQ_GEO_SEG_EBT_ABS">"c4094"</definedName>
    <definedName name="IQ_GEO_SEG_EBT_TOTAL">"c4121"</definedName>
    <definedName name="IQ_GEO_SEG_GP">"c4070"</definedName>
    <definedName name="IQ_GEO_SEG_GP_ABS">"c4092"</definedName>
    <definedName name="IQ_GEO_SEG_GP_TOTAL">"c4120"</definedName>
    <definedName name="IQ_GEO_SEG_INC_TAX">"c4081"</definedName>
    <definedName name="IQ_GEO_SEG_INC_TAX_ABS">"c4103"</definedName>
    <definedName name="IQ_GEO_SEG_INC_TAX_TOTAL">"c4125"</definedName>
    <definedName name="IQ_GEO_SEG_INTEREST_EXP">"c4080"</definedName>
    <definedName name="IQ_GEO_SEG_INTEREST_EXP_ABS">"c4102"</definedName>
    <definedName name="IQ_GEO_SEG_INTEREST_EXP_TOTAL">"c4124"</definedName>
    <definedName name="IQ_GEO_SEG_NAME">"c5484"</definedName>
    <definedName name="IQ_GEO_SEG_NAME_ABS">"c5485"</definedName>
    <definedName name="IQ_GEO_SEG_NI">"c4071"</definedName>
    <definedName name="IQ_GEO_SEG_NI_ABS">"c4093"</definedName>
    <definedName name="IQ_GEO_SEG_NI_TOTAL">"c4122"</definedName>
    <definedName name="IQ_GEO_SEG_OPER_INC">"c4075"</definedName>
    <definedName name="IQ_GEO_SEG_OPER_INC_ABS">"c4097"</definedName>
    <definedName name="IQ_GEO_SEG_OPER_INC_TOTAL">"c4118"</definedName>
    <definedName name="IQ_GEO_SEG_REV">"c4074"</definedName>
    <definedName name="IQ_GEO_SEG_REV_ABS">"c4096"</definedName>
    <definedName name="IQ_GEO_SEG_REV_TOTAL">"c4117"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SPRD">"c2155"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_TARGET_PRICE_REUT">"c5317"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DUSTRY">"c3601"</definedName>
    <definedName name="IQ_INDUSTRY_GROUP">"c3602"</definedName>
    <definedName name="IQ_INDUSTRY_SECTOR">"c3603"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GOV_SECURITY">"c5510"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MUNI_SECURITY">"c5512"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NVEST_SECURITY_SUPPL">"c5511"</definedName>
    <definedName name="IQ_IPRD">"c644"</definedName>
    <definedName name="IQ_ISS_DEBT_NET">"c1391"</definedName>
    <definedName name="IQ_ISS_STOCK_NET">"c1601"</definedName>
    <definedName name="IQ_ISSUE_CURRENCY">"c2156"</definedName>
    <definedName name="IQ_ISSUE_NAME">"c2142"</definedName>
    <definedName name="IQ_ISSUER">"c2143"</definedName>
    <definedName name="IQ_ISSUER_CIQID">"c2258"</definedName>
    <definedName name="IQ_ISSUER_PARENT">"c2144"</definedName>
    <definedName name="IQ_ISSUER_PARENT_CIQID">"c2260"</definedName>
    <definedName name="IQ_ISSUER_PARENT_TICKER">"c2259"</definedName>
    <definedName name="IQ_ISSUER_TICKER">"c2252"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PMT_DATE">"c2188"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_TARGET_PRICE_REUT">"c5318"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CAPEX_ACT_OR_EST">"c4458"</definedName>
    <definedName name="IQ_MAINT_REPAIR">"c2087"</definedName>
    <definedName name="IQ_MAKE_WHOLE_END_DATE">"c2493"</definedName>
    <definedName name="IQ_MAKE_WHOLE_SPREAD">"c2494"</definedName>
    <definedName name="IQ_MAKE_WHOLE_START_DATE">"c2492"</definedName>
    <definedName name="IQ_MARKET_CAP_LFCF">"c2209"</definedName>
    <definedName name="IQ_MARKETCAP">"c712"</definedName>
    <definedName name="IQ_MARKETING">"c2239"</definedName>
    <definedName name="IQ_MATURITY_DATE">"c2146"</definedName>
    <definedName name="IQ_MC_RATIO">"c2783"</definedName>
    <definedName name="IQ_MC_STATUTORY_SURPLUS">"c2772"</definedName>
    <definedName name="IQ_MEDIAN_TARGET_PRICE">"c1650"</definedName>
    <definedName name="IQ_MEDIAN_TARGET_PRICE_REUT">"c5316"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KTCAP_TOTAL_REV_FWD_REUT">"c4048"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ORKING_CAP">"c3493"</definedName>
    <definedName name="IQ_NET_WRITTEN">"c2728"</definedName>
    <definedName name="IQ_NEW_PREM">"c2785"</definedName>
    <definedName name="IQ_NEXT_CALL_DATE">"c2198"</definedName>
    <definedName name="IQ_NEXT_CALL_PRICE">"c2199"</definedName>
    <definedName name="IQ_NEXT_INT_DATE">"c2187"</definedName>
    <definedName name="IQ_NEXT_PUT_DATE">"c2200"</definedName>
    <definedName name="IQ_NEXT_PUT_PRICE">"c2201"</definedName>
    <definedName name="IQ_NEXT_SINK_FUND_AMOUNT">"c2490"</definedName>
    <definedName name="IQ_NEXT_SINK_FUND_DATE">"c2489"</definedName>
    <definedName name="IQ_NEXT_SINK_FUND_PRICE">"c2491"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MARGIN">"c794"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SBC_ACT_OR_EST">"c4474"</definedName>
    <definedName name="IQ_NI_SBC_GW_ACT_OR_EST">"c4478"</definedName>
    <definedName name="IQ_NI_SFAS">"c795"</definedName>
    <definedName name="IQ_NOL_CF_1YR">"c3465"</definedName>
    <definedName name="IQ_NOL_CF_2YR">"c3466"</definedName>
    <definedName name="IQ_NOL_CF_3YR">"c3467"</definedName>
    <definedName name="IQ_NOL_CF_4YR">"c3468"</definedName>
    <definedName name="IQ_NOL_CF_5YR">"c3469"</definedName>
    <definedName name="IQ_NOL_CF_AFTER_FIVE">"c3470"</definedName>
    <definedName name="IQ_NOL_CF_MAX_YEAR">"c3473"</definedName>
    <definedName name="IQ_NOL_CF_NO_EXP">"c3471"</definedName>
    <definedName name="IQ_NOL_CF_TOTAL">"c3472"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FFER_AMOUNT">"c2152"</definedName>
    <definedName name="IQ_OFFER_COUPON">"c2147"</definedName>
    <definedName name="IQ_OFFER_COUPON_TYPE">"c2148"</definedName>
    <definedName name="IQ_OFFER_DATE">"c2149"</definedName>
    <definedName name="IQ_OFFER_PRICE">"c2150"</definedName>
    <definedName name="IQ_OFFER_YIELD">"c2151"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B_ACCRUED_LIAB">"c3308"</definedName>
    <definedName name="IQ_OPEB_ACCRUED_LIAB_DOM">"c3306"</definedName>
    <definedName name="IQ_OPEB_ACCRUED_LIAB_FOREIGN">"c3307"</definedName>
    <definedName name="IQ_OPEB_ACCUM_OTHER_CI">"c3314"</definedName>
    <definedName name="IQ_OPEB_ACCUM_OTHER_CI_DOM">"c3312"</definedName>
    <definedName name="IQ_OPEB_ACCUM_OTHER_CI_FOREIGN">"c3313"</definedName>
    <definedName name="IQ_OPEB_ASSETS">"c3356"</definedName>
    <definedName name="IQ_OPEB_ASSETS_ACQ">"c3347"</definedName>
    <definedName name="IQ_OPEB_ASSETS_ACQ_DOM">"c3345"</definedName>
    <definedName name="IQ_OPEB_ASSETS_ACQ_FOREIGN">"c3346"</definedName>
    <definedName name="IQ_OPEB_ASSETS_ACTUAL_RETURN">"c3332"</definedName>
    <definedName name="IQ_OPEB_ASSETS_ACTUAL_RETURN_DOM">"c3330"</definedName>
    <definedName name="IQ_OPEB_ASSETS_ACTUAL_RETURN_FOREIGN">"c3331"</definedName>
    <definedName name="IQ_OPEB_ASSETS_BEG">"c3329"</definedName>
    <definedName name="IQ_OPEB_ASSETS_BEG_DOM">"c3327"</definedName>
    <definedName name="IQ_OPEB_ASSETS_BEG_FOREIGN">"c3328"</definedName>
    <definedName name="IQ_OPEB_ASSETS_BENEFITS_PAID">"c3341"</definedName>
    <definedName name="IQ_OPEB_ASSETS_BENEFITS_PAID_DOM">"c3339"</definedName>
    <definedName name="IQ_OPEB_ASSETS_BENEFITS_PAID_FOREIGN">"c3340"</definedName>
    <definedName name="IQ_OPEB_ASSETS_CURTAIL">"c3350"</definedName>
    <definedName name="IQ_OPEB_ASSETS_CURTAIL_DOM">"c3348"</definedName>
    <definedName name="IQ_OPEB_ASSETS_CURTAIL_FOREIGN">"c3349"</definedName>
    <definedName name="IQ_OPEB_ASSETS_DOM">"c3354"</definedName>
    <definedName name="IQ_OPEB_ASSETS_EMPLOYER_CONTRIBUTIONS">"c3335"</definedName>
    <definedName name="IQ_OPEB_ASSETS_EMPLOYER_CONTRIBUTIONS_DOM">"c3333"</definedName>
    <definedName name="IQ_OPEB_ASSETS_EMPLOYER_CONTRIBUTIONS_FOREIGN">"c3334"</definedName>
    <definedName name="IQ_OPEB_ASSETS_FOREIGN">"c3355"</definedName>
    <definedName name="IQ_OPEB_ASSETS_FX_ADJ">"c3344"</definedName>
    <definedName name="IQ_OPEB_ASSETS_FX_ADJ_DOM">"c3342"</definedName>
    <definedName name="IQ_OPEB_ASSETS_FX_ADJ_FOREIGN">"c3343"</definedName>
    <definedName name="IQ_OPEB_ASSETS_OTHER_PLAN_ADJ">"c3353"</definedName>
    <definedName name="IQ_OPEB_ASSETS_OTHER_PLAN_ADJ_DOM">"c3351"</definedName>
    <definedName name="IQ_OPEB_ASSETS_OTHER_PLAN_ADJ_FOREIGN">"c3352"</definedName>
    <definedName name="IQ_OPEB_ASSETS_PARTICIP_CONTRIBUTIONS">"c3338"</definedName>
    <definedName name="IQ_OPEB_ASSETS_PARTICIP_CONTRIBUTIONS_DOM">"c3336"</definedName>
    <definedName name="IQ_OPEB_ASSETS_PARTICIP_CONTRIBUTIONS_FOREIGN">"c3337"</definedName>
    <definedName name="IQ_OPEB_BENEFIT_INFO_DATE">"c3410"</definedName>
    <definedName name="IQ_OPEB_BENEFIT_INFO_DATE_DOM">"c3408"</definedName>
    <definedName name="IQ_OPEB_BENEFIT_INFO_DATE_FOREIGN">"c3409"</definedName>
    <definedName name="IQ_OPEB_BREAKDOWN_EQ">"c3275"</definedName>
    <definedName name="IQ_OPEB_BREAKDOWN_EQ_DOM">"c3273"</definedName>
    <definedName name="IQ_OPEB_BREAKDOWN_EQ_FOREIGN">"c3274"</definedName>
    <definedName name="IQ_OPEB_BREAKDOWN_FI">"c3278"</definedName>
    <definedName name="IQ_OPEB_BREAKDOWN_FI_DOM">"c3276"</definedName>
    <definedName name="IQ_OPEB_BREAKDOWN_FI_FOREIGN">"c3277"</definedName>
    <definedName name="IQ_OPEB_BREAKDOWN_OTHER">"c3284"</definedName>
    <definedName name="IQ_OPEB_BREAKDOWN_OTHER_DOM">"c3282"</definedName>
    <definedName name="IQ_OPEB_BREAKDOWN_OTHER_FOREIGN">"c3283"</definedName>
    <definedName name="IQ_OPEB_BREAKDOWN_PCT_EQ">"c3263"</definedName>
    <definedName name="IQ_OPEB_BREAKDOWN_PCT_EQ_DOM">"c3261"</definedName>
    <definedName name="IQ_OPEB_BREAKDOWN_PCT_EQ_FOREIGN">"c3262"</definedName>
    <definedName name="IQ_OPEB_BREAKDOWN_PCT_FI">"c3266"</definedName>
    <definedName name="IQ_OPEB_BREAKDOWN_PCT_FI_DOM">"c3264"</definedName>
    <definedName name="IQ_OPEB_BREAKDOWN_PCT_FI_FOREIGN">"c3265"</definedName>
    <definedName name="IQ_OPEB_BREAKDOWN_PCT_OTHER">"c3272"</definedName>
    <definedName name="IQ_OPEB_BREAKDOWN_PCT_OTHER_DOM">"c3270"</definedName>
    <definedName name="IQ_OPEB_BREAKDOWN_PCT_OTHER_FOREIGN">"c3271"</definedName>
    <definedName name="IQ_OPEB_BREAKDOWN_PCT_RE">"c3269"</definedName>
    <definedName name="IQ_OPEB_BREAKDOWN_PCT_RE_DOM">"c3267"</definedName>
    <definedName name="IQ_OPEB_BREAKDOWN_PCT_RE_FOREIGN">"c3268"</definedName>
    <definedName name="IQ_OPEB_BREAKDOWN_RE">"c3281"</definedName>
    <definedName name="IQ_OPEB_BREAKDOWN_RE_DOM">"c3279"</definedName>
    <definedName name="IQ_OPEB_BREAKDOWN_RE_FOREIGN">"c3280"</definedName>
    <definedName name="IQ_OPEB_DECREASE_EFFECT_PBO">"c3458"</definedName>
    <definedName name="IQ_OPEB_DECREASE_EFFECT_PBO_DOM">"c3456"</definedName>
    <definedName name="IQ_OPEB_DECREASE_EFFECT_PBO_FOREIGN">"c3457"</definedName>
    <definedName name="IQ_OPEB_DECREASE_EFFECT_SERVICE_INT_COST">"c3455"</definedName>
    <definedName name="IQ_OPEB_DECREASE_EFFECT_SERVICE_INT_COST_DOM">"c3453"</definedName>
    <definedName name="IQ_OPEB_DECREASE_EFFECT_SERVICE_INT_COST_FOREIGN">"c3454"</definedName>
    <definedName name="IQ_OPEB_DISC_RATE_MAX">"c3422"</definedName>
    <definedName name="IQ_OPEB_DISC_RATE_MAX_DOM">"c3420"</definedName>
    <definedName name="IQ_OPEB_DISC_RATE_MAX_FOREIGN">"c3421"</definedName>
    <definedName name="IQ_OPEB_DISC_RATE_MIN">"c3419"</definedName>
    <definedName name="IQ_OPEB_DISC_RATE_MIN_DOM">"c3417"</definedName>
    <definedName name="IQ_OPEB_DISC_RATE_MIN_FOREIGN">"c3418"</definedName>
    <definedName name="IQ_OPEB_EST_BENEFIT_1YR">"c3287"</definedName>
    <definedName name="IQ_OPEB_EST_BENEFIT_1YR_DOM">"c3285"</definedName>
    <definedName name="IQ_OPEB_EST_BENEFIT_1YR_FOREIGN">"c3286"</definedName>
    <definedName name="IQ_OPEB_EST_BENEFIT_2YR">"c3290"</definedName>
    <definedName name="IQ_OPEB_EST_BENEFIT_2YR_DOM">"c3288"</definedName>
    <definedName name="IQ_OPEB_EST_BENEFIT_2YR_FOREIGN">"c3289"</definedName>
    <definedName name="IQ_OPEB_EST_BENEFIT_3YR">"c3293"</definedName>
    <definedName name="IQ_OPEB_EST_BENEFIT_3YR_DOM">"c3291"</definedName>
    <definedName name="IQ_OPEB_EST_BENEFIT_3YR_FOREIGN">"c3292"</definedName>
    <definedName name="IQ_OPEB_EST_BENEFIT_4YR">"c3296"</definedName>
    <definedName name="IQ_OPEB_EST_BENEFIT_4YR_DOM">"c3294"</definedName>
    <definedName name="IQ_OPEB_EST_BENEFIT_4YR_FOREIGN">"c3295"</definedName>
    <definedName name="IQ_OPEB_EST_BENEFIT_5YR">"c3299"</definedName>
    <definedName name="IQ_OPEB_EST_BENEFIT_5YR_DOM">"c3297"</definedName>
    <definedName name="IQ_OPEB_EST_BENEFIT_5YR_FOREIGN">"c3298"</definedName>
    <definedName name="IQ_OPEB_EST_BENEFIT_AFTER5">"c3302"</definedName>
    <definedName name="IQ_OPEB_EST_BENEFIT_AFTER5_DOM">"c3300"</definedName>
    <definedName name="IQ_OPEB_EST_BENEFIT_AFTER5_FOREIGN">"c3301"</definedName>
    <definedName name="IQ_OPEB_EXP_RATE_RETURN_MAX">"c3434"</definedName>
    <definedName name="IQ_OPEB_EXP_RATE_RETURN_MAX_DOM">"c3432"</definedName>
    <definedName name="IQ_OPEB_EXP_RATE_RETURN_MAX_FOREIGN">"c3433"</definedName>
    <definedName name="IQ_OPEB_EXP_RATE_RETURN_MIN">"c3431"</definedName>
    <definedName name="IQ_OPEB_EXP_RATE_RETURN_MIN_DOM">"c3429"</definedName>
    <definedName name="IQ_OPEB_EXP_RATE_RETURN_MIN_FOREIGN">"c3430"</definedName>
    <definedName name="IQ_OPEB_EXP_RETURN">"c3398"</definedName>
    <definedName name="IQ_OPEB_EXP_RETURN_DOM">"c3396"</definedName>
    <definedName name="IQ_OPEB_EXP_RETURN_FOREIGN">"c3397"</definedName>
    <definedName name="IQ_OPEB_HEALTH_COST_TREND_INITIAL">"c3413"</definedName>
    <definedName name="IQ_OPEB_HEALTH_COST_TREND_INITIAL_DOM">"c3411"</definedName>
    <definedName name="IQ_OPEB_HEALTH_COST_TREND_INITIAL_FOREIGN">"c3412"</definedName>
    <definedName name="IQ_OPEB_HEALTH_COST_TREND_ULTIMATE">"c3416"</definedName>
    <definedName name="IQ_OPEB_HEALTH_COST_TREND_ULTIMATE_DOM">"c3414"</definedName>
    <definedName name="IQ_OPEB_HEALTH_COST_TREND_ULTIMATE_FOREIGN">"c3415"</definedName>
    <definedName name="IQ_OPEB_INCREASE_EFFECT_PBO">"c3452"</definedName>
    <definedName name="IQ_OPEB_INCREASE_EFFECT_PBO_DOM">"c3450"</definedName>
    <definedName name="IQ_OPEB_INCREASE_EFFECT_PBO_FOREIGN">"c3451"</definedName>
    <definedName name="IQ_OPEB_INCREASE_EFFECT_SERVICE_INT_COST">"c3449"</definedName>
    <definedName name="IQ_OPEB_INCREASE_EFFECT_SERVICE_INT_COST_DOM">"c3447"</definedName>
    <definedName name="IQ_OPEB_INCREASE_EFFECT_SERVICE_INT_COST_FOREIGN">"c3448"</definedName>
    <definedName name="IQ_OPEB_INTAN_ASSETS">"c3311"</definedName>
    <definedName name="IQ_OPEB_INTAN_ASSETS_DOM">"c3309"</definedName>
    <definedName name="IQ_OPEB_INTAN_ASSETS_FOREIGN">"c3310"</definedName>
    <definedName name="IQ_OPEB_INTEREST_COST">"c3395"</definedName>
    <definedName name="IQ_OPEB_INTEREST_COST_DOM">"c3393"</definedName>
    <definedName name="IQ_OPEB_INTEREST_COST_FOREIGN">"c3394"</definedName>
    <definedName name="IQ_OPEB_NET_ASSET_RECOG">"c3326"</definedName>
    <definedName name="IQ_OPEB_NET_ASSET_RECOG_DOM">"c3324"</definedName>
    <definedName name="IQ_OPEB_NET_ASSET_RECOG_FOREIGN">"c3325"</definedName>
    <definedName name="IQ_OPEB_OBLIGATION_ACCUMULATED">"c3407"</definedName>
    <definedName name="IQ_OPEB_OBLIGATION_ACCUMULATED_DOM">"c3405"</definedName>
    <definedName name="IQ_OPEB_OBLIGATION_ACCUMULATED_FOREIGN">"c3406"</definedName>
    <definedName name="IQ_OPEB_OBLIGATION_ACQ">"c3380"</definedName>
    <definedName name="IQ_OPEB_OBLIGATION_ACQ_DOM">"c3378"</definedName>
    <definedName name="IQ_OPEB_OBLIGATION_ACQ_FOREIGN">"c3379"</definedName>
    <definedName name="IQ_OPEB_OBLIGATION_ACTUARIAL_GAIN_LOSS">"c3371"</definedName>
    <definedName name="IQ_OPEB_OBLIGATION_ACTUARIAL_GAIN_LOSS_DOM">"c3369"</definedName>
    <definedName name="IQ_OPEB_OBLIGATION_ACTUARIAL_GAIN_LOSS_FOREIGN">"c3370"</definedName>
    <definedName name="IQ_OPEB_OBLIGATION_BEG">"c3359"</definedName>
    <definedName name="IQ_OPEB_OBLIGATION_BEG_DOM">"c3357"</definedName>
    <definedName name="IQ_OPEB_OBLIGATION_BEG_FOREIGN">"c3358"</definedName>
    <definedName name="IQ_OPEB_OBLIGATION_CURTAIL">"c3383"</definedName>
    <definedName name="IQ_OPEB_OBLIGATION_CURTAIL_DOM">"c3381"</definedName>
    <definedName name="IQ_OPEB_OBLIGATION_CURTAIL_FOREIGN">"c3382"</definedName>
    <definedName name="IQ_OPEB_OBLIGATION_EMPLOYEE_CONTRIBUTIONS">"c3368"</definedName>
    <definedName name="IQ_OPEB_OBLIGATION_EMPLOYEE_CONTRIBUTIONS_DOM">"c3366"</definedName>
    <definedName name="IQ_OPEB_OBLIGATION_EMPLOYEE_CONTRIBUTIONS_FOREIGN">"c3367"</definedName>
    <definedName name="IQ_OPEB_OBLIGATION_FX_ADJ">"c3377"</definedName>
    <definedName name="IQ_OPEB_OBLIGATION_FX_ADJ_DOM">"c3375"</definedName>
    <definedName name="IQ_OPEB_OBLIGATION_FX_ADJ_FOREIGN">"c3376"</definedName>
    <definedName name="IQ_OPEB_OBLIGATION_INTEREST_COST">"c3365"</definedName>
    <definedName name="IQ_OPEB_OBLIGATION_INTEREST_COST_DOM">"c3363"</definedName>
    <definedName name="IQ_OPEB_OBLIGATION_INTEREST_COST_FOREIGN">"c3364"</definedName>
    <definedName name="IQ_OPEB_OBLIGATION_OTHER_PLAN_ADJ">"c3386"</definedName>
    <definedName name="IQ_OPEB_OBLIGATION_OTHER_PLAN_ADJ_DOM">"c3384"</definedName>
    <definedName name="IQ_OPEB_OBLIGATION_OTHER_PLAN_ADJ_FOREIGN">"c3385"</definedName>
    <definedName name="IQ_OPEB_OBLIGATION_PAID">"c3374"</definedName>
    <definedName name="IQ_OPEB_OBLIGATION_PAID_DOM">"c3372"</definedName>
    <definedName name="IQ_OPEB_OBLIGATION_PAID_FOREIGN">"c3373"</definedName>
    <definedName name="IQ_OPEB_OBLIGATION_PROJECTED">"c3389"</definedName>
    <definedName name="IQ_OPEB_OBLIGATION_PROJECTED_DOM">"c3387"</definedName>
    <definedName name="IQ_OPEB_OBLIGATION_PROJECTED_FOREIGN">"c3388"</definedName>
    <definedName name="IQ_OPEB_OBLIGATION_SERVICE_COST">"c3362"</definedName>
    <definedName name="IQ_OPEB_OBLIGATION_SERVICE_COST_DOM">"c3360"</definedName>
    <definedName name="IQ_OPEB_OBLIGATION_SERVICE_COST_FOREIGN">"c3361"</definedName>
    <definedName name="IQ_OPEB_OTHER">"c3317"</definedName>
    <definedName name="IQ_OPEB_OTHER_ADJ">"c3323"</definedName>
    <definedName name="IQ_OPEB_OTHER_ADJ_DOM">"c3321"</definedName>
    <definedName name="IQ_OPEB_OTHER_ADJ_FOREIGN">"c3322"</definedName>
    <definedName name="IQ_OPEB_OTHER_COST">"c3401"</definedName>
    <definedName name="IQ_OPEB_OTHER_COST_DOM">"c3399"</definedName>
    <definedName name="IQ_OPEB_OTHER_COST_FOREIGN">"c3400"</definedName>
    <definedName name="IQ_OPEB_OTHER_DOM">"c3315"</definedName>
    <definedName name="IQ_OPEB_OTHER_FOREIGN">"c3316"</definedName>
    <definedName name="IQ_OPEB_PBO_ASSUMED_RATE_RET_MAX">"c3440"</definedName>
    <definedName name="IQ_OPEB_PBO_ASSUMED_RATE_RET_MAX_DOM">"c3438"</definedName>
    <definedName name="IQ_OPEB_PBO_ASSUMED_RATE_RET_MAX_FOREIGN">"c3439"</definedName>
    <definedName name="IQ_OPEB_PBO_ASSUMED_RATE_RET_MIN">"c3437"</definedName>
    <definedName name="IQ_OPEB_PBO_ASSUMED_RATE_RET_MIN_DOM">"c3435"</definedName>
    <definedName name="IQ_OPEB_PBO_ASSUMED_RATE_RET_MIN_FOREIGN">"c3436"</definedName>
    <definedName name="IQ_OPEB_PBO_RATE_COMP_INCREASE_MAX">"c3446"</definedName>
    <definedName name="IQ_OPEB_PBO_RATE_COMP_INCREASE_MAX_DOM">"c3444"</definedName>
    <definedName name="IQ_OPEB_PBO_RATE_COMP_INCREASE_MAX_FOREIGN">"c3445"</definedName>
    <definedName name="IQ_OPEB_PBO_RATE_COMP_INCREASE_MIN">"c3443"</definedName>
    <definedName name="IQ_OPEB_PBO_RATE_COMP_INCREASE_MIN_DOM">"c3441"</definedName>
    <definedName name="IQ_OPEB_PBO_RATE_COMP_INCREASE_MIN_FOREIGN">"c3442"</definedName>
    <definedName name="IQ_OPEB_PREPAID_COST">"c3305"</definedName>
    <definedName name="IQ_OPEB_PREPAID_COST_DOM">"c3303"</definedName>
    <definedName name="IQ_OPEB_PREPAID_COST_FOREIGN">"c3304"</definedName>
    <definedName name="IQ_OPEB_RATE_COMP_INCREASE_MAX">"c3428"</definedName>
    <definedName name="IQ_OPEB_RATE_COMP_INCREASE_MAX_DOM">"c3426"</definedName>
    <definedName name="IQ_OPEB_RATE_COMP_INCREASE_MAX_FOREIGN">"c3427"</definedName>
    <definedName name="IQ_OPEB_RATE_COMP_INCREASE_MIN">"c3425"</definedName>
    <definedName name="IQ_OPEB_RATE_COMP_INCREASE_MIN_DOM">"c3423"</definedName>
    <definedName name="IQ_OPEB_RATE_COMP_INCREASE_MIN_FOREIGN">"c3424"</definedName>
    <definedName name="IQ_OPEB_SERVICE_COST">"c3392"</definedName>
    <definedName name="IQ_OPEB_SERVICE_COST_DOM">"c3390"</definedName>
    <definedName name="IQ_OPEB_SERVICE_COST_FOREIGN">"c3391"</definedName>
    <definedName name="IQ_OPEB_TOTAL_COST">"c3404"</definedName>
    <definedName name="IQ_OPEB_TOTAL_COST_DOM">"c3402"</definedName>
    <definedName name="IQ_OPEB_TOTAL_COST_FOREIGN">"c3403"</definedName>
    <definedName name="IQ_OPEB_UNRECOG_PRIOR">"c3320"</definedName>
    <definedName name="IQ_OPEB_UNRECOG_PRIOR_DOM">"c3318"</definedName>
    <definedName name="IQ_OPEB_UNRECOG_PRIOR_FOREIGN">"c3319"</definedName>
    <definedName name="IQ_OPENPRICE">"c848"</definedName>
    <definedName name="IQ_OPER_INC">"c849"</definedName>
    <definedName name="IQ_OPER_INC_BR">"c850"</definedName>
    <definedName name="IQ_OPER_INC_FIN">"c851"</definedName>
    <definedName name="IQ_OPER_INC_INS">"c852"</definedName>
    <definedName name="IQ_OPER_INC_MARGIN">"c1448"</definedName>
    <definedName name="IQ_OPER_INC_REIT">"c853"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MORT">"c5563"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OWNERSHIP">"c2160"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EXCL_FWD_REUT">"c4049"</definedName>
    <definedName name="IQ_PE_NORMALIZED">"c2207"</definedName>
    <definedName name="IQ_PE_RATIO">"c1610"</definedName>
    <definedName name="IQ_PEG_FWD">"c1863"</definedName>
    <definedName name="IQ_PEG_FWD_REUT">"c4052"</definedName>
    <definedName name="IQ_PENSION">"c1031"</definedName>
    <definedName name="IQ_PENSION_ACCRUED_LIAB">"c3134"</definedName>
    <definedName name="IQ_PENSION_ACCRUED_LIAB_DOM">"c3132"</definedName>
    <definedName name="IQ_PENSION_ACCRUED_LIAB_FOREIGN">"c3133"</definedName>
    <definedName name="IQ_PENSION_ACCUM_OTHER_CI">"c3140"</definedName>
    <definedName name="IQ_PENSION_ACCUM_OTHER_CI_DOM">"c3138"</definedName>
    <definedName name="IQ_PENSION_ACCUM_OTHER_CI_FOREIGN">"c3139"</definedName>
    <definedName name="IQ_PENSION_ACCUMULATED_OBLIGATION">"c3570"</definedName>
    <definedName name="IQ_PENSION_ACCUMULATED_OBLIGATION_DOMESTIC">"c3568"</definedName>
    <definedName name="IQ_PENSION_ACCUMULATED_OBLIGATION_FOREIGN">"c3569"</definedName>
    <definedName name="IQ_PENSION_ASSETS">"c3182"</definedName>
    <definedName name="IQ_PENSION_ASSETS_ACQ">"c3173"</definedName>
    <definedName name="IQ_PENSION_ASSETS_ACQ_DOM">"c3171"</definedName>
    <definedName name="IQ_PENSION_ASSETS_ACQ_FOREIGN">"c3172"</definedName>
    <definedName name="IQ_PENSION_ASSETS_ACTUAL_RETURN">"c3158"</definedName>
    <definedName name="IQ_PENSION_ASSETS_ACTUAL_RETURN_DOM">"c3156"</definedName>
    <definedName name="IQ_PENSION_ASSETS_ACTUAL_RETURN_FOREIGN">"c3157"</definedName>
    <definedName name="IQ_PENSION_ASSETS_BEG">"c3155"</definedName>
    <definedName name="IQ_PENSION_ASSETS_BEG_DOM">"c3153"</definedName>
    <definedName name="IQ_PENSION_ASSETS_BEG_FOREIGN">"c3154"</definedName>
    <definedName name="IQ_PENSION_ASSETS_BENEFITS_PAID">"c3167"</definedName>
    <definedName name="IQ_PENSION_ASSETS_BENEFITS_PAID_DOM">"c3165"</definedName>
    <definedName name="IQ_PENSION_ASSETS_BENEFITS_PAID_FOREIGN">"c3166"</definedName>
    <definedName name="IQ_PENSION_ASSETS_CURTAIL">"c3176"</definedName>
    <definedName name="IQ_PENSION_ASSETS_CURTAIL_DOM">"c3174"</definedName>
    <definedName name="IQ_PENSION_ASSETS_CURTAIL_FOREIGN">"c3175"</definedName>
    <definedName name="IQ_PENSION_ASSETS_DOM">"c3180"</definedName>
    <definedName name="IQ_PENSION_ASSETS_EMPLOYER_CONTRIBUTIONS">"c3161"</definedName>
    <definedName name="IQ_PENSION_ASSETS_EMPLOYER_CONTRIBUTIONS_DOM">"c3159"</definedName>
    <definedName name="IQ_PENSION_ASSETS_EMPLOYER_CONTRIBUTIONS_FOREIGN">"c3160"</definedName>
    <definedName name="IQ_PENSION_ASSETS_FOREIGN">"c3181"</definedName>
    <definedName name="IQ_PENSION_ASSETS_FX_ADJ">"c3170"</definedName>
    <definedName name="IQ_PENSION_ASSETS_FX_ADJ_DOM">"c3168"</definedName>
    <definedName name="IQ_PENSION_ASSETS_FX_ADJ_FOREIGN">"c3169"</definedName>
    <definedName name="IQ_PENSION_ASSETS_OTHER_PLAN_ADJ">"c3179"</definedName>
    <definedName name="IQ_PENSION_ASSETS_OTHER_PLAN_ADJ_DOM">"c3177"</definedName>
    <definedName name="IQ_PENSION_ASSETS_OTHER_PLAN_ADJ_FOREIGN">"c3178"</definedName>
    <definedName name="IQ_PENSION_ASSETS_PARTICIP_CONTRIBUTIONS">"c3164"</definedName>
    <definedName name="IQ_PENSION_ASSETS_PARTICIP_CONTRIBUTIONS_DOM">"c3162"</definedName>
    <definedName name="IQ_PENSION_ASSETS_PARTICIP_CONTRIBUTIONS_FOREIGN">"c3163"</definedName>
    <definedName name="IQ_PENSION_BENEFIT_INFO_DATE">"c3230"</definedName>
    <definedName name="IQ_PENSION_BENEFIT_INFO_DATE_DOM">"c3228"</definedName>
    <definedName name="IQ_PENSION_BENEFIT_INFO_DATE_FOREIGN">"c3229"</definedName>
    <definedName name="IQ_PENSION_BREAKDOWN_EQ">"c3101"</definedName>
    <definedName name="IQ_PENSION_BREAKDOWN_EQ_DOM">"c3099"</definedName>
    <definedName name="IQ_PENSION_BREAKDOWN_EQ_FOREIGN">"c3100"</definedName>
    <definedName name="IQ_PENSION_BREAKDOWN_FI">"c3104"</definedName>
    <definedName name="IQ_PENSION_BREAKDOWN_FI_DOM">"c3102"</definedName>
    <definedName name="IQ_PENSION_BREAKDOWN_FI_FOREIGN">"c3103"</definedName>
    <definedName name="IQ_PENSION_BREAKDOWN_OTHER">"c3110"</definedName>
    <definedName name="IQ_PENSION_BREAKDOWN_OTHER_DOM">"c3108"</definedName>
    <definedName name="IQ_PENSION_BREAKDOWN_OTHER_FOREIGN">"c3109"</definedName>
    <definedName name="IQ_PENSION_BREAKDOWN_PCT_EQ">"c3089"</definedName>
    <definedName name="IQ_PENSION_BREAKDOWN_PCT_EQ_DOM">"c3087"</definedName>
    <definedName name="IQ_PENSION_BREAKDOWN_PCT_EQ_FOREIGN">"c3088"</definedName>
    <definedName name="IQ_PENSION_BREAKDOWN_PCT_FI">"c3092"</definedName>
    <definedName name="IQ_PENSION_BREAKDOWN_PCT_FI_DOM">"c3090"</definedName>
    <definedName name="IQ_PENSION_BREAKDOWN_PCT_FI_FOREIGN">"c3091"</definedName>
    <definedName name="IQ_PENSION_BREAKDOWN_PCT_OTHER">"c3098"</definedName>
    <definedName name="IQ_PENSION_BREAKDOWN_PCT_OTHER_DOM">"c3096"</definedName>
    <definedName name="IQ_PENSION_BREAKDOWN_PCT_OTHER_FOREIGN">"c3097"</definedName>
    <definedName name="IQ_PENSION_BREAKDOWN_PCT_RE">"c3095"</definedName>
    <definedName name="IQ_PENSION_BREAKDOWN_PCT_RE_DOM">"c3093"</definedName>
    <definedName name="IQ_PENSION_BREAKDOWN_PCT_RE_FOREIGN">"c3094"</definedName>
    <definedName name="IQ_PENSION_BREAKDOWN_RE">"c3107"</definedName>
    <definedName name="IQ_PENSION_BREAKDOWN_RE_DOM">"c3105"</definedName>
    <definedName name="IQ_PENSION_BREAKDOWN_RE_FOREIGN">"c3106"</definedName>
    <definedName name="IQ_PENSION_CONTRIBUTION_TOTAL_COST">"c3559"</definedName>
    <definedName name="IQ_PENSION_DISC_RATE_MAX">"c3236"</definedName>
    <definedName name="IQ_PENSION_DISC_RATE_MAX_DOM">"c3234"</definedName>
    <definedName name="IQ_PENSION_DISC_RATE_MAX_FOREIGN">"c3235"</definedName>
    <definedName name="IQ_PENSION_DISC_RATE_MIN">"c3233"</definedName>
    <definedName name="IQ_PENSION_DISC_RATE_MIN_DOM">"c3231"</definedName>
    <definedName name="IQ_PENSION_DISC_RATE_MIN_FOREIGN">"c3232"</definedName>
    <definedName name="IQ_PENSION_DISCOUNT_RATE_DOMESTIC">"c3573"</definedName>
    <definedName name="IQ_PENSION_DISCOUNT_RATE_FOREIGN">"c3574"</definedName>
    <definedName name="IQ_PENSION_EST_BENEFIT_1YR">"c3113"</definedName>
    <definedName name="IQ_PENSION_EST_BENEFIT_1YR_DOM">"c3111"</definedName>
    <definedName name="IQ_PENSION_EST_BENEFIT_1YR_FOREIGN">"c3112"</definedName>
    <definedName name="IQ_PENSION_EST_BENEFIT_2YR">"c3116"</definedName>
    <definedName name="IQ_PENSION_EST_BENEFIT_2YR_DOM">"c3114"</definedName>
    <definedName name="IQ_PENSION_EST_BENEFIT_2YR_FOREIGN">"c3115"</definedName>
    <definedName name="IQ_PENSION_EST_BENEFIT_3YR">"c3119"</definedName>
    <definedName name="IQ_PENSION_EST_BENEFIT_3YR_DOM">"c3117"</definedName>
    <definedName name="IQ_PENSION_EST_BENEFIT_3YR_FOREIGN">"c3118"</definedName>
    <definedName name="IQ_PENSION_EST_BENEFIT_4YR">"c3122"</definedName>
    <definedName name="IQ_PENSION_EST_BENEFIT_4YR_DOM">"c3120"</definedName>
    <definedName name="IQ_PENSION_EST_BENEFIT_4YR_FOREIGN">"c3121"</definedName>
    <definedName name="IQ_PENSION_EST_BENEFIT_5YR">"c3125"</definedName>
    <definedName name="IQ_PENSION_EST_BENEFIT_5YR_DOM">"c3123"</definedName>
    <definedName name="IQ_PENSION_EST_BENEFIT_5YR_FOREIGN">"c3124"</definedName>
    <definedName name="IQ_PENSION_EST_BENEFIT_AFTER5">"c3128"</definedName>
    <definedName name="IQ_PENSION_EST_BENEFIT_AFTER5_DOM">"c3126"</definedName>
    <definedName name="IQ_PENSION_EST_BENEFIT_AFTER5_FOREIGN">"c3127"</definedName>
    <definedName name="IQ_PENSION_EST_CONTRIBUTIONS_NEXTYR">"c3218"</definedName>
    <definedName name="IQ_PENSION_EST_CONTRIBUTIONS_NEXTYR_DOM">"c3216"</definedName>
    <definedName name="IQ_PENSION_EST_CONTRIBUTIONS_NEXTYR_FOREIGN">"c3217"</definedName>
    <definedName name="IQ_PENSION_EXP_RATE_RETURN_MAX">"c3248"</definedName>
    <definedName name="IQ_PENSION_EXP_RATE_RETURN_MAX_DOM">"c3246"</definedName>
    <definedName name="IQ_PENSION_EXP_RATE_RETURN_MAX_FOREIGN">"c3247"</definedName>
    <definedName name="IQ_PENSION_EXP_RATE_RETURN_MIN">"c3245"</definedName>
    <definedName name="IQ_PENSION_EXP_RATE_RETURN_MIN_DOM">"c3243"</definedName>
    <definedName name="IQ_PENSION_EXP_RATE_RETURN_MIN_FOREIGN">"c3244"</definedName>
    <definedName name="IQ_PENSION_EXP_RETURN_DOMESTIC">"c3571"</definedName>
    <definedName name="IQ_PENSION_EXP_RETURN_FOREIGN">"c3572"</definedName>
    <definedName name="IQ_PENSION_INTAN_ASSETS">"c3137"</definedName>
    <definedName name="IQ_PENSION_INTAN_ASSETS_DOM">"c3135"</definedName>
    <definedName name="IQ_PENSION_INTAN_ASSETS_FOREIGN">"c3136"</definedName>
    <definedName name="IQ_PENSION_INTEREST_COST">"c3582"</definedName>
    <definedName name="IQ_PENSION_INTEREST_COST_DOM">"c3580"</definedName>
    <definedName name="IQ_PENSION_INTEREST_COST_FOREIGN">"c3581"</definedName>
    <definedName name="IQ_PENSION_NET_ASSET_RECOG">"c3152"</definedName>
    <definedName name="IQ_PENSION_NET_ASSET_RECOG_DOM">"c3150"</definedName>
    <definedName name="IQ_PENSION_NET_ASSET_RECOG_FOREIGN">"c3151"</definedName>
    <definedName name="IQ_PENSION_OBLIGATION_ACQ">"c3206"</definedName>
    <definedName name="IQ_PENSION_OBLIGATION_ACQ_DOM">"c3204"</definedName>
    <definedName name="IQ_PENSION_OBLIGATION_ACQ_FOREIGN">"c3205"</definedName>
    <definedName name="IQ_PENSION_OBLIGATION_ACTUARIAL_GAIN_LOSS">"c3197"</definedName>
    <definedName name="IQ_PENSION_OBLIGATION_ACTUARIAL_GAIN_LOSS_DOM">"c3195"</definedName>
    <definedName name="IQ_PENSION_OBLIGATION_ACTUARIAL_GAIN_LOSS_FOREIGN">"c3196"</definedName>
    <definedName name="IQ_PENSION_OBLIGATION_BEG">"c3185"</definedName>
    <definedName name="IQ_PENSION_OBLIGATION_BEG_DOM">"c3183"</definedName>
    <definedName name="IQ_PENSION_OBLIGATION_BEG_FOREIGN">"c3184"</definedName>
    <definedName name="IQ_PENSION_OBLIGATION_CURTAIL">"c3209"</definedName>
    <definedName name="IQ_PENSION_OBLIGATION_CURTAIL_DOM">"c3207"</definedName>
    <definedName name="IQ_PENSION_OBLIGATION_CURTAIL_FOREIGN">"c3208"</definedName>
    <definedName name="IQ_PENSION_OBLIGATION_EMPLOYEE_CONTRIBUTIONS">"c3194"</definedName>
    <definedName name="IQ_PENSION_OBLIGATION_EMPLOYEE_CONTRIBUTIONS_DOM">"c3192"</definedName>
    <definedName name="IQ_PENSION_OBLIGATION_EMPLOYEE_CONTRIBUTIONS_FOREIGN">"c3193"</definedName>
    <definedName name="IQ_PENSION_OBLIGATION_FX_ADJ">"c3203"</definedName>
    <definedName name="IQ_PENSION_OBLIGATION_FX_ADJ_DOM">"c3201"</definedName>
    <definedName name="IQ_PENSION_OBLIGATION_FX_ADJ_FOREIGN">"c3202"</definedName>
    <definedName name="IQ_PENSION_OBLIGATION_INTEREST_COST">"c3191"</definedName>
    <definedName name="IQ_PENSION_OBLIGATION_INTEREST_COST_DOM">"c3189"</definedName>
    <definedName name="IQ_PENSION_OBLIGATION_INTEREST_COST_FOREIGN">"c3190"</definedName>
    <definedName name="IQ_PENSION_OBLIGATION_OTHER_COST">"c3555"</definedName>
    <definedName name="IQ_PENSION_OBLIGATION_OTHER_COST_DOM">"c3553"</definedName>
    <definedName name="IQ_PENSION_OBLIGATION_OTHER_COST_FOREIGN">"c3554"</definedName>
    <definedName name="IQ_PENSION_OBLIGATION_OTHER_PLAN_ADJ">"c3212"</definedName>
    <definedName name="IQ_PENSION_OBLIGATION_OTHER_PLAN_ADJ_DOM">"c3210"</definedName>
    <definedName name="IQ_PENSION_OBLIGATION_OTHER_PLAN_ADJ_FOREIGN">"c3211"</definedName>
    <definedName name="IQ_PENSION_OBLIGATION_PAID">"c3200"</definedName>
    <definedName name="IQ_PENSION_OBLIGATION_PAID_DOM">"c3198"</definedName>
    <definedName name="IQ_PENSION_OBLIGATION_PAID_FOREIGN">"c3199"</definedName>
    <definedName name="IQ_PENSION_OBLIGATION_PROJECTED">"c3215"</definedName>
    <definedName name="IQ_PENSION_OBLIGATION_PROJECTED_DOM">"c3213"</definedName>
    <definedName name="IQ_PENSION_OBLIGATION_PROJECTED_FOREIGN">"c3214"</definedName>
    <definedName name="IQ_PENSION_OBLIGATION_ROA">"c3552"</definedName>
    <definedName name="IQ_PENSION_OBLIGATION_ROA_DOM">"c3550"</definedName>
    <definedName name="IQ_PENSION_OBLIGATION_ROA_FOREIGN">"c3551"</definedName>
    <definedName name="IQ_PENSION_OBLIGATION_SERVICE_COST">"c3188"</definedName>
    <definedName name="IQ_PENSION_OBLIGATION_SERVICE_COST_DOM">"c3186"</definedName>
    <definedName name="IQ_PENSION_OBLIGATION_SERVICE_COST_FOREIGN">"c3187"</definedName>
    <definedName name="IQ_PENSION_OBLIGATION_TOTAL_COST">"c3558"</definedName>
    <definedName name="IQ_PENSION_OBLIGATION_TOTAL_COST_DOM">"c3556"</definedName>
    <definedName name="IQ_PENSION_OBLIGATION_TOTAL_COST_FOREIGN">"c3557"</definedName>
    <definedName name="IQ_PENSION_OTHER">"c3143"</definedName>
    <definedName name="IQ_PENSION_OTHER_ADJ">"c3149"</definedName>
    <definedName name="IQ_PENSION_OTHER_ADJ_DOM">"c3147"</definedName>
    <definedName name="IQ_PENSION_OTHER_ADJ_FOREIGN">"c3148"</definedName>
    <definedName name="IQ_PENSION_OTHER_DOM">"c3141"</definedName>
    <definedName name="IQ_PENSION_OTHER_FOREIGN">"c3142"</definedName>
    <definedName name="IQ_PENSION_PBO_ASSUMED_RATE_RET_MAX">"c3254"</definedName>
    <definedName name="IQ_PENSION_PBO_ASSUMED_RATE_RET_MAX_DOM">"c3252"</definedName>
    <definedName name="IQ_PENSION_PBO_ASSUMED_RATE_RET_MAX_FOREIGN">"c3253"</definedName>
    <definedName name="IQ_PENSION_PBO_ASSUMED_RATE_RET_MIN">"c3251"</definedName>
    <definedName name="IQ_PENSION_PBO_ASSUMED_RATE_RET_MIN_DOM">"c3249"</definedName>
    <definedName name="IQ_PENSION_PBO_ASSUMED_RATE_RET_MIN_FOREIGN">"c3250"</definedName>
    <definedName name="IQ_PENSION_PBO_RATE_COMP_INCREASE_MAX">"c3260"</definedName>
    <definedName name="IQ_PENSION_PBO_RATE_COMP_INCREASE_MAX_DOM">"c3258"</definedName>
    <definedName name="IQ_PENSION_PBO_RATE_COMP_INCREASE_MAX_FOREIGN">"c3259"</definedName>
    <definedName name="IQ_PENSION_PBO_RATE_COMP_INCREASE_MIN">"c3257"</definedName>
    <definedName name="IQ_PENSION_PBO_RATE_COMP_INCREASE_MIN_DOM">"c3255"</definedName>
    <definedName name="IQ_PENSION_PBO_RATE_COMP_INCREASE_MIN_FOREIGN">"c3256"</definedName>
    <definedName name="IQ_PENSION_PREPAID_COST">"c3131"</definedName>
    <definedName name="IQ_PENSION_PREPAID_COST_DOM">"c3129"</definedName>
    <definedName name="IQ_PENSION_PREPAID_COST_FOREIGN">"c3130"</definedName>
    <definedName name="IQ_PENSION_PROJECTED_OBLIGATION">"c3566"</definedName>
    <definedName name="IQ_PENSION_PROJECTED_OBLIGATION_DOMESTIC">"c3564"</definedName>
    <definedName name="IQ_PENSION_PROJECTED_OBLIGATION_FOREIGN">"c3565"</definedName>
    <definedName name="IQ_PENSION_QUART_ADDL_CONTRIBUTIONS_EXP">"c3224"</definedName>
    <definedName name="IQ_PENSION_QUART_ADDL_CONTRIBUTIONS_EXP_DOM">"c3222"</definedName>
    <definedName name="IQ_PENSION_QUART_ADDL_CONTRIBUTIONS_EXP_FOREIGN">"c3223"</definedName>
    <definedName name="IQ_PENSION_QUART_EMPLOYER_CONTRIBUTIONS">"c3221"</definedName>
    <definedName name="IQ_PENSION_QUART_EMPLOYER_CONTRIBUTIONS_DOM">"c3219"</definedName>
    <definedName name="IQ_PENSION_QUART_EMPLOYER_CONTRIBUTIONS_FOREIGN">"c3220"</definedName>
    <definedName name="IQ_PENSION_RATE_COMP_GROWTH_DOMESTIC">"c3575"</definedName>
    <definedName name="IQ_PENSION_RATE_COMP_GROWTH_FOREIGN">"c3576"</definedName>
    <definedName name="IQ_PENSION_RATE_COMP_INCREASE_MAX">"c3242"</definedName>
    <definedName name="IQ_PENSION_RATE_COMP_INCREASE_MAX_DOM">"c3240"</definedName>
    <definedName name="IQ_PENSION_RATE_COMP_INCREASE_MAX_FOREIGN">"c3241"</definedName>
    <definedName name="IQ_PENSION_RATE_COMP_INCREASE_MIN">"c3239"</definedName>
    <definedName name="IQ_PENSION_RATE_COMP_INCREASE_MIN_DOM">"c3237"</definedName>
    <definedName name="IQ_PENSION_RATE_COMP_INCREASE_MIN_FOREIGN">"c3238"</definedName>
    <definedName name="IQ_PENSION_SERVICE_COST">"c3579"</definedName>
    <definedName name="IQ_PENSION_SERVICE_COST_DOM">"c3577"</definedName>
    <definedName name="IQ_PENSION_SERVICE_COST_FOREIGN">"c3578"</definedName>
    <definedName name="IQ_PENSION_TOTAL_ASSETS">"c3563"</definedName>
    <definedName name="IQ_PENSION_TOTAL_ASSETS_DOMESTIC">"c3561"</definedName>
    <definedName name="IQ_PENSION_TOTAL_ASSETS_FOREIGN">"c3562"</definedName>
    <definedName name="IQ_PENSION_TOTAL_EXP">"c3560"</definedName>
    <definedName name="IQ_PENSION_UNFUNDED_ADDL_MIN_LIAB">"c3227"</definedName>
    <definedName name="IQ_PENSION_UNFUNDED_ADDL_MIN_LIAB_DOM">"c3225"</definedName>
    <definedName name="IQ_PENSION_UNFUNDED_ADDL_MIN_LIAB_FOREIGN">"c3226"</definedName>
    <definedName name="IQ_PENSION_UNRECOG_PRIOR">"c3146"</definedName>
    <definedName name="IQ_PENSION_UNRECOG_PRIOR_DOM">"c3144"</definedName>
    <definedName name="IQ_PENSION_UNRECOG_PRIOR_FOREIGN">"c3145"</definedName>
    <definedName name="IQ_PENSION_UV_LIAB">"c3567"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MT_FREQ">"c2236"</definedName>
    <definedName name="IQ_POISON_PUT_EFFECT_DATE">"c2486"</definedName>
    <definedName name="IQ_POISON_PUT_EXPIRATION_DATE">"c2487"</definedName>
    <definedName name="IQ_POISON_PUT_PRICE">"c2488"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RE_OPEN_COST">"c1040"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ICE_OVER_BVPS">"c1412"</definedName>
    <definedName name="IQ_PRICE_OVER_LTM_EPS">"c1413"</definedName>
    <definedName name="IQ_PRICE_TARGET">"c82"</definedName>
    <definedName name="IQ_PRICE_TARGET_REUT">"c3631"</definedName>
    <definedName name="IQ_PRICEDATE">"c1069"</definedName>
    <definedName name="IQ_PRICING_DATE">"c1613"</definedName>
    <definedName name="IQ_PRIMARY_INDUSTRY">"c1070"</definedName>
    <definedName name="IQ_PRINCIPAL_AMT">"c2157"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PUT_DATE_SCHEDULE">"c2483"</definedName>
    <definedName name="IQ_PUT_NOTIFICATION">"c2485"</definedName>
    <definedName name="IQ_PUT_PRICE_SCHEDULE">"c2484"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CURRING_PROFIT_ACT_OR_EST">"c4507"</definedName>
    <definedName name="IQ_RECURRING_PROFIT_SHARE_ACT_OR_EST">"c4508"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_STOCK_COMP">"c3506"</definedName>
    <definedName name="IQ_RESTR_STOCK_COMP_PRETAX">"c3504"</definedName>
    <definedName name="IQ_RESTR_STOCK_COMP_TAX">"c3505"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"c2895"</definedName>
    <definedName name="IQ_RETAIL_ACQUIRED_OWNED_STORES">"c2903"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STDDEV_EST_REUT">"c3639"</definedName>
    <definedName name="IQ_REV_UTI">"c1125"</definedName>
    <definedName name="IQ_REVENUE">"c1422"</definedName>
    <definedName name="IQ_REVENUE_EST">"c1126"</definedName>
    <definedName name="IQ_REVENUE_EST_REUT">"c3634"</definedName>
    <definedName name="IQ_REVENUE_HIGH_EST">"c1127"</definedName>
    <definedName name="IQ_REVENUE_HIGH_EST_REUT">"c3636"</definedName>
    <definedName name="IQ_REVENUE_LOW_EST">"c1128"</definedName>
    <definedName name="IQ_REVENUE_LOW_EST_REUT">"c3637"</definedName>
    <definedName name="IQ_REVENUE_MEDIAN_EST">"c1662"</definedName>
    <definedName name="IQ_REVENUE_MEDIAN_EST_REUT">"c3635"</definedName>
    <definedName name="IQ_REVENUE_NUM_EST">"c1129"</definedName>
    <definedName name="IQ_REVENUE_NUM_EST_REUT">"c3638"</definedName>
    <definedName name="IQ_REVISION_DATE_">39483.7502777778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_PURCHASED_RESELL">"c5513"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LEVEL">"c2159"</definedName>
    <definedName name="IQ_SECURITY_NOTES">"c2202"</definedName>
    <definedName name="IQ_SECURITY_OWN">"c1153"</definedName>
    <definedName name="IQ_SECURITY_RESELL">"c1154"</definedName>
    <definedName name="IQ_SECURITY_TYPE">"c2158"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_BANK">"c2637"</definedName>
    <definedName name="IQ_SP_BANK_ACTION">"c2636"</definedName>
    <definedName name="IQ_SP_BANK_DATE">"c2635"</definedName>
    <definedName name="IQ_SP_FIN_ENHANCE_FX">"c2631"</definedName>
    <definedName name="IQ_SP_FIN_ENHANCE_FX_ACTION">"c2630"</definedName>
    <definedName name="IQ_SP_FIN_ENHANCE_FX_DATE">"c2629"</definedName>
    <definedName name="IQ_SP_FIN_ENHANCE_LC">"c2634"</definedName>
    <definedName name="IQ_SP_FIN_ENHANCE_LC_ACTION">"c2633"</definedName>
    <definedName name="IQ_SP_FIN_ENHANCE_LC_DATE">"c2632"</definedName>
    <definedName name="IQ_SP_FIN_STRENGTH_LC_ACTION_LT">"c2625"</definedName>
    <definedName name="IQ_SP_FIN_STRENGTH_LC_ACTION_ST">"c2626"</definedName>
    <definedName name="IQ_SP_FIN_STRENGTH_LC_DATE_LT">"c2623"</definedName>
    <definedName name="IQ_SP_FIN_STRENGTH_LC_DATE_ST">"c2624"</definedName>
    <definedName name="IQ_SP_FIN_STRENGTH_LC_LT">"c2627"</definedName>
    <definedName name="IQ_SP_FIN_STRENGTH_LC_ST">"c2628"</definedName>
    <definedName name="IQ_SP_FX_ACTION_LT">"c2613"</definedName>
    <definedName name="IQ_SP_FX_ACTION_ST">"c2614"</definedName>
    <definedName name="IQ_SP_FX_DATE_LT">"c2611"</definedName>
    <definedName name="IQ_SP_FX_DATE_ST">"c2612"</definedName>
    <definedName name="IQ_SP_FX_LT">"c2615"</definedName>
    <definedName name="IQ_SP_FX_ST">"c2616"</definedName>
    <definedName name="IQ_SP_ISSUE_ACTION">"c2644"</definedName>
    <definedName name="IQ_SP_ISSUE_DATE">"c2643"</definedName>
    <definedName name="IQ_SP_ISSUE_LT">"c2645"</definedName>
    <definedName name="IQ_SP_ISSUE_OUTLOOK_WATCH">"c2650"</definedName>
    <definedName name="IQ_SP_ISSUE_OUTLOOK_WATCH_DATE">"c2649"</definedName>
    <definedName name="IQ_SP_ISSUE_RECOVER">"c2648"</definedName>
    <definedName name="IQ_SP_ISSUE_RECOVER_ACTION">"c2647"</definedName>
    <definedName name="IQ_SP_ISSUE_RECOVER_DATE">"c2646"</definedName>
    <definedName name="IQ_SP_LC_ACTION_LT">"c2619"</definedName>
    <definedName name="IQ_SP_LC_ACTION_ST">"c2620"</definedName>
    <definedName name="IQ_SP_LC_DATE_LT">"c2617"</definedName>
    <definedName name="IQ_SP_LC_DATE_ST">"c2618"</definedName>
    <definedName name="IQ_SP_LC_LT">"c2621"</definedName>
    <definedName name="IQ_SP_LC_ST">"c2622"</definedName>
    <definedName name="IQ_SP_OUTLOOK_WATCH">"c2639"</definedName>
    <definedName name="IQ_SP_OUTLOOK_WATCH_DATE">"c2638"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COMP">"c3512"</definedName>
    <definedName name="IQ_STOCK_BASED_COMP_PRETAX">"c3510"</definedName>
    <definedName name="IQ_STOCK_BASED_COMP_TAX">"c3511"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OCK_OPTIONS_COMP">"c3509"</definedName>
    <definedName name="IQ_STOCK_OPTIONS_COMP_PRETAX">"c3507"</definedName>
    <definedName name="IQ_STOCK_OPTIONS_COMP_TAX">"c3508"</definedName>
    <definedName name="IQ_STRIKE_PRICE_ISSUED">"c1645"</definedName>
    <definedName name="IQ_STRIKE_PRICE_OS">"c1646"</definedName>
    <definedName name="IQ_STW">"c2166"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NUM_REUT">"c5319"</definedName>
    <definedName name="IQ_TARGET_PRICE_STDDEV">"c1654"</definedName>
    <definedName name="IQ_TARGET_PRICE_STDDEV_REUT">"c5320"</definedName>
    <definedName name="IQ_TAX_BENEFIT_CF_1YR">"c3483"</definedName>
    <definedName name="IQ_TAX_BENEFIT_CF_2YR">"c3484"</definedName>
    <definedName name="IQ_TAX_BENEFIT_CF_3YR">"c3485"</definedName>
    <definedName name="IQ_TAX_BENEFIT_CF_4YR">"c3486"</definedName>
    <definedName name="IQ_TAX_BENEFIT_CF_5YR">"c3487"</definedName>
    <definedName name="IQ_TAX_BENEFIT_CF_AFTER_FIVE">"c3488"</definedName>
    <definedName name="IQ_TAX_BENEFIT_CF_MAX_YEAR">"c3491"</definedName>
    <definedName name="IQ_TAX_BENEFIT_CF_NO_EXP">"c3489"</definedName>
    <definedName name="IQ_TAX_BENEFIT_CF_TOTAL">"c3490"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DA">"c1222"</definedName>
    <definedName name="IQ_TEV_EBITDA_AVG">"c1223"</definedName>
    <definedName name="IQ_TEV_EBITDA_FWD">"c1224"</definedName>
    <definedName name="IQ_TEV_EBITDA_FWD_REUT">"c4050"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TOTAL_REV_FWD_REUT">"c4051"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UNUSUAL_BNK">"c5516"</definedName>
    <definedName name="IQ_TOTAL_UNUSUAL_BR">"c5517"</definedName>
    <definedName name="IQ_TOTAL_UNUSUAL_FIN">"c5518"</definedName>
    <definedName name="IQ_TOTAL_UNUSUAL_INS">"c5519"</definedName>
    <definedName name="IQ_TOTAL_UNUSUAL_REIT">"c5520"</definedName>
    <definedName name="IQ_TOTAL_UNUSUAL_UTI">"c5521"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_EQ_INC">"c3611"</definedName>
    <definedName name="IQ_TR_ACQ_EBITDA">"c2381"</definedName>
    <definedName name="IQ_TR_ACQ_EBITDA_EQ_INC">"c3610"</definedName>
    <definedName name="IQ_TR_ACQ_FILING_CURRENCY">"c3033"</definedName>
    <definedName name="IQ_TR_ACQ_FILINGDATE">"c3607"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ERIODDATE">"c3606"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INIT_FILED_DATE">"c3495"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_EQ_INC">"c3609"</definedName>
    <definedName name="IQ_TR_TARGET_EBITDA">"c2334"</definedName>
    <definedName name="IQ_TR_TARGET_EBITDA_EQ_INC">"c3608"</definedName>
    <definedName name="IQ_TR_TARGET_FILING_CURRENCY">"c3034"</definedName>
    <definedName name="IQ_TR_TARGET_FILINGDATE">"c3605"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ERIODDATE">"c3604"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LT_PARENT">"c3037"</definedName>
    <definedName name="IQ_ULT_PARENT_CIQID">"c3039"</definedName>
    <definedName name="IQ_ULT_PARENT_TICKER">"c3038"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COST_REV_ADJ">"c2951"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ING_CAP">"c3494"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YTW">"c2163"</definedName>
    <definedName name="IQ_YTW_DATE">"c2164"</definedName>
    <definedName name="IQ_YTW_DATE_TYPE">"c2165"</definedName>
    <definedName name="IQ_Z_SCORE">"c1339"</definedName>
    <definedName name="IRefbase">'[10]L Graph (Data)'!$A$113:$DS$126</definedName>
    <definedName name="Irefbaseunits">'[19]L Graph (Data)'!$A$109:$DS$125</definedName>
    <definedName name="ITARCRRCCHARGE">'[11]L Graph (Data)'!$A$187:$DS$233</definedName>
    <definedName name="ITbasefee">'[11]L Graph (Data)'!$A$49:$DS$60</definedName>
    <definedName name="ITbaseRUFee">'[11]L Graph (Data)'!$A$239:$DS$286</definedName>
    <definedName name="ITbinputsumru">'[11]L Graph (Data)'!$A$81:$DS$128</definedName>
    <definedName name="ITbinputvol">'[11]L Graph (Data)'!$A$19:$DS$30</definedName>
    <definedName name="ITCinputvol">'[11]L Graph (Data)'!$A$34:$DS$45</definedName>
    <definedName name="ITIbaselineunits">'[11]L Graph (Data)'!$A$63:$DS$74</definedName>
    <definedName name="ITNetArcCharge">'[11]L Graph (Data)'!$A$293:$DS$339</definedName>
    <definedName name="ITnetservfee">'[11]L Graph (Data)'!$A$344:$DS$355</definedName>
    <definedName name="ITrefbaselineunits">'[11]L Graph (Data)'!$A$132:$DS$181</definedName>
    <definedName name="JTC">'[17]Operating Income Summary C-1'!$M$9</definedName>
    <definedName name="LABOR">#REF!</definedName>
    <definedName name="licenseduration">#REF!</definedName>
    <definedName name="licensescope">#REF!</definedName>
    <definedName name="LOBBYING">#REF!</definedName>
    <definedName name="lookup">'[26]Input Sheet'!$A$9:$BM$140</definedName>
    <definedName name="M_S">#REF!</definedName>
    <definedName name="mktcomp">#REF!</definedName>
    <definedName name="mktfin2">#REF!</definedName>
    <definedName name="mktfin3">#REF!</definedName>
    <definedName name="mktfin6">#REF!</definedName>
    <definedName name="mktpage4">#REF!</definedName>
    <definedName name="MKTPRODUCT">#REF!</definedName>
    <definedName name="NCSC">'[27]Rev Def Sum'!#REF!</definedName>
    <definedName name="NCSCLB" hidden="1">{"'Server Configuration'!$A$1:$DB$281"}</definedName>
    <definedName name="NEBT">#REF!</definedName>
    <definedName name="NEWFILE">#REF!</definedName>
    <definedName name="NJANG">#REF!</definedName>
    <definedName name="NJDIST">#REF!</definedName>
    <definedName name="No.">#REF!</definedName>
    <definedName name="NORM_VOL">#REF!</definedName>
    <definedName name="nousf">#REF!</definedName>
    <definedName name="NPM">#REF!</definedName>
    <definedName name="NvsAnswerCol">"'[PYR_SVC_BLUERI_AP IMAGES.xls]AVG FXrates'!$A$4:$A$21"</definedName>
    <definedName name="NvsASD">"V2001-09-30"</definedName>
    <definedName name="NvsASD_1">"V2007-09-30"</definedName>
    <definedName name="NvsASD_1_1">"V2012-06-30"</definedName>
    <definedName name="NvsAutoDrillOk">"VN"</definedName>
    <definedName name="NvsElapsedTime">0.00477291666902602</definedName>
    <definedName name="NvsElapsedTime_1">0.000219907407881692</definedName>
    <definedName name="NvsElapsedTime_1_1">0.00020833333110204</definedName>
    <definedName name="NvsElapsedTime_2">0.000219907407881692</definedName>
    <definedName name="NvsEndTime">35706.4988658565</definedName>
    <definedName name="NvsEndTime_1">39363.4914467593</definedName>
    <definedName name="NvsEndTime_1_1">41099.6144444444</definedName>
    <definedName name="NvsEndTime_2">39363.4914467593</definedName>
    <definedName name="NvsInstanceHook">#REF!='[28]September Travel Detail'!#REF!</definedName>
    <definedName name="NvsInstanceHook_1">#REF!='[28]September Travel Detail'!#REF!</definedName>
    <definedName name="NvsInstLang">"VENG"</definedName>
    <definedName name="NvsInstSpec">"%,FDEPTID,VHS9PW"</definedName>
    <definedName name="NvsInstSpec_1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"V2000-01-01"</definedName>
    <definedName name="NvsPanelEffdt_1">"V2099-01-01"</definedName>
    <definedName name="NvsPanelSetid">"VSHARE"</definedName>
    <definedName name="NvsParentRef">"'[PYR_SVC_BLUERI_BS-1003.xls]Balance Sheet'!$I$13"</definedName>
    <definedName name="NvsReqBU">"VPSC"</definedName>
    <definedName name="NvsReqBU_1">"V00012"</definedName>
    <definedName name="NvsReqBUOnly">"VN"</definedName>
    <definedName name="NvsReqBUOnly_1">"VY"</definedName>
    <definedName name="NvsStyleNme">"NiSource Corporate.xls"</definedName>
    <definedName name="NvsTransLed">"VN"</definedName>
    <definedName name="NvsTreeASD">"V2001-09-30"</definedName>
    <definedName name="NvsTreeASD_1">"V2007-09-30"</definedName>
    <definedName name="NvsTreeASD_1_1">"V2012-06-30"</definedName>
    <definedName name="NvsValTbl.ACCOUNT">"GL_ACCOUNT_TBL"</definedName>
    <definedName name="NvsValTbl.BUSINESS_UNIT">"BUS_UNIT_TBL_GL"</definedName>
    <definedName name="NvsValTbl.CURRENCY_CD">"CURRENCY_CD_TBL"</definedName>
    <definedName name="NvsValTbl.DEPTID">"DEPARTMENT_TBL"</definedName>
    <definedName name="NvsValTbl.LEDGER">"LED_DEFN_TBL"</definedName>
    <definedName name="NvsValTbl.PRODUCT">"PRODUCT_TBL"</definedName>
    <definedName name="NvsValTbl.PROGRAM_CODE">"PROGRAM_TBL"</definedName>
    <definedName name="NvsValTbl.SCENARIO">"BD_SCENARIO_TBL"</definedName>
    <definedName name="OPEB_Credit">[8]Inputs!$B$34</definedName>
    <definedName name="OTHERTAX">#REF!</definedName>
    <definedName name="OTPAY">#REF!</definedName>
    <definedName name="PAGE_">#REF!</definedName>
    <definedName name="PAGE_1">#REF!</definedName>
    <definedName name="PAGE_10">#REF!</definedName>
    <definedName name="PAGE_11">#REF!</definedName>
    <definedName name="PAGE_12">#REF!</definedName>
    <definedName name="PAGE_13">#REF!</definedName>
    <definedName name="PAGE_14">#REF!</definedName>
    <definedName name="PAGE_19">#REF!</definedName>
    <definedName name="PAGE_2">#REF!</definedName>
    <definedName name="PAGE_20">#REF!</definedName>
    <definedName name="PAGE_21">#REF!</definedName>
    <definedName name="PAGE_25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PAGE_9">#REF!</definedName>
    <definedName name="PAGE01">#REF!</definedName>
    <definedName name="PAGE1">#REF!</definedName>
    <definedName name="PAGE2">'[29]Rate Base Summary Sch B-1'!#REF!</definedName>
    <definedName name="PAGE3">#REF!</definedName>
    <definedName name="PAGE4">#REF!</definedName>
    <definedName name="PAGE5">'[30]B-2.3'!#REF!</definedName>
    <definedName name="PAGE6">'[30]B-2.3'!#REF!</definedName>
    <definedName name="PAGE7">#REF!</definedName>
    <definedName name="PAGE8">#REF!</definedName>
    <definedName name="penalty">#REF!</definedName>
    <definedName name="PerInvoiceLookup">OFFSET('[12]% Invoice'!$A$1,0,0,COUNTA('[12]% Invoice'!$A$1:$A$65536),COUNTA('[12]% Invoice'!$A$1:$IV$1))</definedName>
    <definedName name="PG5A">#REF!</definedName>
    <definedName name="PG5B">#REF!</definedName>
    <definedName name="PG5C">#REF!</definedName>
    <definedName name="PG5D">#REF!</definedName>
    <definedName name="PG5E">#REF!</definedName>
    <definedName name="PG5F">#REF!</definedName>
    <definedName name="plug">#REF!</definedName>
    <definedName name="plug1">#REF!</definedName>
    <definedName name="pook">#REF!</definedName>
    <definedName name="PPTY">#REF!</definedName>
    <definedName name="PREMPAY">#REF!</definedName>
    <definedName name="PRINT">#REF!</definedName>
    <definedName name="_xlnm.Print_Area" localSheetId="10">'2018'!$A$1:$R$48</definedName>
    <definedName name="_xlnm.Print_Area" localSheetId="11">'2019'!$A$1:$R$44</definedName>
    <definedName name="_xlnm.Print_Area" localSheetId="12">'2020'!$A$1:$R$45</definedName>
    <definedName name="_xlnm.Print_Area" localSheetId="13">'2021'!$A$1:$R$45</definedName>
    <definedName name="_xlnm.Print_Area" localSheetId="15">'Schedule III'!$A$1:$G$49</definedName>
    <definedName name="PRINTADJ">#REF!</definedName>
    <definedName name="PRINTADS">#REF!</definedName>
    <definedName name="PRINTBENEFITS">#REF!</definedName>
    <definedName name="PRINTBILL">#REF!</definedName>
    <definedName name="PRINTFICA">#REF!</definedName>
    <definedName name="PRINTGC">#REF!</definedName>
    <definedName name="PRINTINPUT">#REF!</definedName>
    <definedName name="PRINTLABOR">#REF!</definedName>
    <definedName name="PRINTMAIN">#REF!</definedName>
    <definedName name="PRINTNORM">#REF!</definedName>
    <definedName name="PRINTREVC">#REF!</definedName>
    <definedName name="PRINTSCH35B">#REF!</definedName>
    <definedName name="PRINTSUMMARY">#REF!</definedName>
    <definedName name="productlist">'[31]Product List'!$A$1:$E$23153</definedName>
    <definedName name="proj_cust_pmts">'[8]Payment Calculation'!$C$25</definedName>
    <definedName name="PROPTAX">#REF!</definedName>
    <definedName name="qryFTECategbyCountry">#REF!</definedName>
    <definedName name="Quest">#REF!</definedName>
    <definedName name="RATEBASE">'[6]Rev Def Sum'!#REF!</definedName>
    <definedName name="rates">#REF!</definedName>
    <definedName name="RECLASS">#REF!</definedName>
    <definedName name="RECON2">#REF!</definedName>
    <definedName name="RECONCILATION">#REF!</definedName>
    <definedName name="_xlnm.Recorder">#REF!</definedName>
    <definedName name="RefFunction">[20]Assumptions!$F$34:$F$39</definedName>
    <definedName name="RefGrade">[20]Assumptions!$F$7:$F$16</definedName>
    <definedName name="RefJobTitle">[20]Assumptions!$F$18:$F$31</definedName>
    <definedName name="REVALLOC">'[7]ATTACH REH-5A REV'!$A$1:$J$39</definedName>
    <definedName name="RISK">#REF!</definedName>
    <definedName name="Rollups">#REF!</definedName>
    <definedName name="Rusty" hidden="1">{"'Server Configuration'!$A$1:$DB$281"}</definedName>
    <definedName name="S35A">#REF!</definedName>
    <definedName name="S35B">#REF!</definedName>
    <definedName name="SAS_GasCost">[16]Input!#REF!</definedName>
    <definedName name="SCH_17_1of2">#REF!</definedName>
    <definedName name="SCH_17_2of2">#REF!</definedName>
    <definedName name="sch35a">#REF!</definedName>
    <definedName name="sch35b">#REF!</definedName>
    <definedName name="SCHEDULE_12">#REF!</definedName>
    <definedName name="Sep_08_Man_Fee">#REF!</definedName>
    <definedName name="SGA">#REF!</definedName>
    <definedName name="SHEET1">#REF!</definedName>
    <definedName name="SHEET10">#REF!</definedName>
    <definedName name="SHEET108">#REF!</definedName>
    <definedName name="SHEET108_2">#REF!</definedName>
    <definedName name="SHEET11">#REF!</definedName>
    <definedName name="SHEET12">#REF!</definedName>
    <definedName name="SHEET13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HEET7">#REF!</definedName>
    <definedName name="SHEET8">#REF!</definedName>
    <definedName name="SHEET9">#REF!</definedName>
    <definedName name="SMK">'[17]B-1 p.1 Summary (Base)'!$J$8</definedName>
    <definedName name="SPECIFIC">#REF!</definedName>
    <definedName name="STATETAX_PAY_MO">#REF!</definedName>
    <definedName name="STATETAX_PAY_WK">#REF!</definedName>
    <definedName name="STORAGE">#REF!</definedName>
    <definedName name="STUDY">#REF!</definedName>
    <definedName name="SUM6406E">#REF!</definedName>
    <definedName name="SUM6406P">#REF!</definedName>
    <definedName name="SUM6503E">#REF!</definedName>
    <definedName name="SUM6503P">#REF!</definedName>
    <definedName name="SUM6703E">#REF!</definedName>
    <definedName name="SUM6703P">#REF!</definedName>
    <definedName name="SUM7203E">#REF!</definedName>
    <definedName name="SUM7203P">#REF!</definedName>
    <definedName name="SUM8703E">#REF!</definedName>
    <definedName name="SUM8703P">#REF!</definedName>
    <definedName name="SUMM5">#REF!</definedName>
    <definedName name="SUMMARY">#REF!</definedName>
    <definedName name="SummaryTable">#REF!</definedName>
    <definedName name="TABLE">#REF!</definedName>
    <definedName name="TaxRate">'[32]Tax Rates'!$A$1:$F$24</definedName>
    <definedName name="Teldata">#REF!</definedName>
    <definedName name="TEMP">#REF!</definedName>
    <definedName name="test">'[26]Input Sheet'!#REF!</definedName>
    <definedName name="test1">'[26]Input Sheet'!#REF!</definedName>
    <definedName name="tol">0.001</definedName>
    <definedName name="TOTALONM">#REF!</definedName>
    <definedName name="Totals">'[33]Complete Listing incl LCN'!#REF!</definedName>
    <definedName name="TY">[16]B!#REF!</definedName>
    <definedName name="TYDESC">[16]B!$A$3</definedName>
    <definedName name="UNEMPLOY_TAX">#REF!</definedName>
    <definedName name="Usage_per_Cust">[8]Inputs!$B$12</definedName>
    <definedName name="usd">[34]Assumptions!$C$13</definedName>
    <definedName name="USF">#REF!</definedName>
    <definedName name="VOL_COMP2">#REF!</definedName>
    <definedName name="VOL_COMPARISON">#REF!</definedName>
    <definedName name="WCSUM">#REF!</definedName>
    <definedName name="wit">'[18]Operating Income Summary C-1'!$M$9</definedName>
    <definedName name="Witness">[16]Input!$B$8</definedName>
    <definedName name="WORKAREA">'[7]ATTACH REH-5A REV'!$B$52:$K$169</definedName>
    <definedName name="WorkingDaysPerYear">210</definedName>
    <definedName name="Xref">'[35]xref acct'!$A$3:$C$167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36" l="1"/>
  <c r="J10" i="36" l="1"/>
  <c r="F9" i="36"/>
  <c r="F11" i="36" s="1"/>
  <c r="I4" i="36"/>
  <c r="A4" i="36"/>
  <c r="A5" i="36" s="1"/>
  <c r="A6" i="36" s="1"/>
  <c r="A7" i="36" s="1"/>
  <c r="A8" i="36" s="1"/>
  <c r="A9" i="36" s="1"/>
  <c r="A10" i="36" s="1"/>
  <c r="A11" i="36" s="1"/>
  <c r="I3" i="36"/>
  <c r="C20" i="34" l="1"/>
  <c r="C21" i="34"/>
  <c r="C22" i="34"/>
  <c r="C23" i="34"/>
  <c r="C24" i="34"/>
  <c r="C20" i="35" l="1"/>
  <c r="C21" i="35"/>
  <c r="C22" i="35"/>
  <c r="C23" i="35"/>
  <c r="C24" i="35"/>
  <c r="G36" i="35" l="1"/>
  <c r="E36" i="35"/>
  <c r="G35" i="35"/>
  <c r="G34" i="35"/>
  <c r="G33" i="35"/>
  <c r="G32" i="35"/>
  <c r="L25" i="35"/>
  <c r="M24" i="35"/>
  <c r="G24" i="35"/>
  <c r="H24" i="35" s="1"/>
  <c r="E22" i="35"/>
  <c r="E21" i="35"/>
  <c r="M21" i="35" s="1"/>
  <c r="M20" i="35"/>
  <c r="F20" i="35"/>
  <c r="G20" i="35" s="1"/>
  <c r="D20" i="35"/>
  <c r="C19" i="35"/>
  <c r="E19" i="35" s="1"/>
  <c r="K18" i="35"/>
  <c r="K22" i="35" s="1"/>
  <c r="F12" i="35"/>
  <c r="C12" i="35"/>
  <c r="P8" i="5" s="1"/>
  <c r="P11" i="35"/>
  <c r="P10" i="35"/>
  <c r="G10" i="35"/>
  <c r="H10" i="35" s="1"/>
  <c r="J10" i="35" s="1"/>
  <c r="D35" i="35" s="1"/>
  <c r="P9" i="35"/>
  <c r="G9" i="35"/>
  <c r="H9" i="35" s="1"/>
  <c r="J9" i="35" s="1"/>
  <c r="D34" i="35" s="1"/>
  <c r="P8" i="35"/>
  <c r="G8" i="35"/>
  <c r="H8" i="35" s="1"/>
  <c r="J8" i="35" s="1"/>
  <c r="D33" i="35" s="1"/>
  <c r="P7" i="35"/>
  <c r="G7" i="35"/>
  <c r="H7" i="35" s="1"/>
  <c r="J7" i="35" s="1"/>
  <c r="D32" i="35" s="1"/>
  <c r="P6" i="35"/>
  <c r="G6" i="35"/>
  <c r="H6" i="35" s="1"/>
  <c r="J6" i="35" s="1"/>
  <c r="K21" i="35" l="1"/>
  <c r="N24" i="35"/>
  <c r="P24" i="35" s="1"/>
  <c r="P12" i="35"/>
  <c r="G11" i="35" s="1"/>
  <c r="H11" i="35" s="1"/>
  <c r="J11" i="35" s="1"/>
  <c r="D36" i="35" s="1"/>
  <c r="F36" i="35" s="1"/>
  <c r="H36" i="35" s="1"/>
  <c r="M22" i="35"/>
  <c r="F22" i="35"/>
  <c r="F19" i="35"/>
  <c r="M19" i="35"/>
  <c r="D31" i="35"/>
  <c r="N20" i="35"/>
  <c r="H20" i="35"/>
  <c r="K20" i="35"/>
  <c r="O20" i="35" s="1"/>
  <c r="F21" i="35"/>
  <c r="E23" i="35"/>
  <c r="M23" i="35" s="1"/>
  <c r="K23" i="35"/>
  <c r="C25" i="35"/>
  <c r="K19" i="35"/>
  <c r="G6" i="27"/>
  <c r="G6" i="34"/>
  <c r="G6" i="18"/>
  <c r="G12" i="35" l="1"/>
  <c r="C20" i="26" s="1"/>
  <c r="F23" i="35"/>
  <c r="D37" i="35"/>
  <c r="P20" i="35"/>
  <c r="R20" i="35" s="1"/>
  <c r="E32" i="35" s="1"/>
  <c r="F32" i="35" s="1"/>
  <c r="H32" i="35" s="1"/>
  <c r="J12" i="35"/>
  <c r="E25" i="35"/>
  <c r="G21" i="35"/>
  <c r="N21" i="35" s="1"/>
  <c r="M25" i="35"/>
  <c r="G23" i="35"/>
  <c r="N23" i="35" s="1"/>
  <c r="F25" i="35"/>
  <c r="G19" i="35"/>
  <c r="H19" i="35" s="1"/>
  <c r="H12" i="35"/>
  <c r="P10" i="5" s="1"/>
  <c r="G22" i="35"/>
  <c r="N22" i="35" s="1"/>
  <c r="D20" i="34"/>
  <c r="G36" i="34"/>
  <c r="E36" i="34"/>
  <c r="G35" i="34"/>
  <c r="G34" i="34"/>
  <c r="G33" i="34"/>
  <c r="G32" i="34"/>
  <c r="L25" i="34"/>
  <c r="M24" i="34"/>
  <c r="G24" i="34"/>
  <c r="N24" i="34" s="1"/>
  <c r="P24" i="34" s="1"/>
  <c r="E22" i="34"/>
  <c r="E21" i="34"/>
  <c r="M20" i="34"/>
  <c r="F20" i="34"/>
  <c r="G20" i="34" s="1"/>
  <c r="C19" i="34"/>
  <c r="E19" i="34" s="1"/>
  <c r="K18" i="34"/>
  <c r="K22" i="34" s="1"/>
  <c r="F12" i="34"/>
  <c r="C12" i="34"/>
  <c r="O8" i="5" s="1"/>
  <c r="P11" i="34"/>
  <c r="P10" i="34"/>
  <c r="G10" i="34"/>
  <c r="H10" i="34" s="1"/>
  <c r="J10" i="34" s="1"/>
  <c r="D35" i="34" s="1"/>
  <c r="P9" i="34"/>
  <c r="G9" i="34"/>
  <c r="H9" i="34" s="1"/>
  <c r="J9" i="34" s="1"/>
  <c r="D34" i="34" s="1"/>
  <c r="P8" i="34"/>
  <c r="G8" i="34"/>
  <c r="H8" i="34" s="1"/>
  <c r="J8" i="34" s="1"/>
  <c r="D33" i="34" s="1"/>
  <c r="P7" i="34"/>
  <c r="G7" i="34"/>
  <c r="H7" i="34" s="1"/>
  <c r="J7" i="34" s="1"/>
  <c r="D32" i="34" s="1"/>
  <c r="P6" i="34"/>
  <c r="H6" i="34"/>
  <c r="J6" i="34" s="1"/>
  <c r="H22" i="35" l="1"/>
  <c r="O22" i="35" s="1"/>
  <c r="P22" i="35" s="1"/>
  <c r="R22" i="35" s="1"/>
  <c r="E34" i="35" s="1"/>
  <c r="F34" i="35" s="1"/>
  <c r="H34" i="35" s="1"/>
  <c r="H21" i="35"/>
  <c r="O21" i="35" s="1"/>
  <c r="P21" i="35" s="1"/>
  <c r="R21" i="35" s="1"/>
  <c r="E33" i="35" s="1"/>
  <c r="F33" i="35" s="1"/>
  <c r="H33" i="35" s="1"/>
  <c r="O19" i="35"/>
  <c r="N19" i="35"/>
  <c r="G25" i="35"/>
  <c r="H23" i="35"/>
  <c r="O23" i="35" s="1"/>
  <c r="P23" i="35" s="1"/>
  <c r="R23" i="35" s="1"/>
  <c r="E35" i="35" s="1"/>
  <c r="F35" i="35" s="1"/>
  <c r="H35" i="35" s="1"/>
  <c r="P12" i="34"/>
  <c r="G11" i="34" s="1"/>
  <c r="H11" i="34" s="1"/>
  <c r="J11" i="34" s="1"/>
  <c r="D36" i="34" s="1"/>
  <c r="F36" i="34" s="1"/>
  <c r="H36" i="34" s="1"/>
  <c r="K21" i="34"/>
  <c r="H20" i="34"/>
  <c r="N20" i="34"/>
  <c r="M22" i="34"/>
  <c r="F22" i="34"/>
  <c r="F19" i="34"/>
  <c r="D31" i="34"/>
  <c r="K20" i="34"/>
  <c r="F21" i="34"/>
  <c r="E23" i="34"/>
  <c r="M23" i="34" s="1"/>
  <c r="K23" i="34"/>
  <c r="H24" i="34"/>
  <c r="C25" i="34"/>
  <c r="K19" i="34"/>
  <c r="F23" i="34" l="1"/>
  <c r="G12" i="34"/>
  <c r="C19" i="26" s="1"/>
  <c r="D37" i="34"/>
  <c r="O25" i="35"/>
  <c r="N25" i="35"/>
  <c r="P19" i="35"/>
  <c r="H25" i="35"/>
  <c r="H12" i="34"/>
  <c r="O10" i="5" s="1"/>
  <c r="G21" i="34"/>
  <c r="N21" i="34" s="1"/>
  <c r="G19" i="34"/>
  <c r="H19" i="34" s="1"/>
  <c r="F25" i="34"/>
  <c r="O20" i="34"/>
  <c r="P20" i="34" s="1"/>
  <c r="R20" i="34" s="1"/>
  <c r="E32" i="34" s="1"/>
  <c r="F32" i="34" s="1"/>
  <c r="H32" i="34" s="1"/>
  <c r="G23" i="34"/>
  <c r="N23" i="34" s="1"/>
  <c r="M25" i="34"/>
  <c r="J12" i="34"/>
  <c r="E25" i="34"/>
  <c r="G22" i="34"/>
  <c r="N22" i="34" s="1"/>
  <c r="R19" i="35" l="1"/>
  <c r="P25" i="35"/>
  <c r="H21" i="34"/>
  <c r="O21" i="34" s="1"/>
  <c r="P21" i="34" s="1"/>
  <c r="R21" i="34" s="1"/>
  <c r="E33" i="34" s="1"/>
  <c r="F33" i="34" s="1"/>
  <c r="H33" i="34" s="1"/>
  <c r="O19" i="34"/>
  <c r="G25" i="34"/>
  <c r="N19" i="34"/>
  <c r="H22" i="34"/>
  <c r="O22" i="34" s="1"/>
  <c r="P22" i="34" s="1"/>
  <c r="R22" i="34" s="1"/>
  <c r="E34" i="34" s="1"/>
  <c r="F34" i="34" s="1"/>
  <c r="H34" i="34" s="1"/>
  <c r="H23" i="34"/>
  <c r="O23" i="34" s="1"/>
  <c r="P23" i="34" s="1"/>
  <c r="R23" i="34" s="1"/>
  <c r="E35" i="34" s="1"/>
  <c r="F35" i="34" s="1"/>
  <c r="H35" i="34" s="1"/>
  <c r="D20" i="31"/>
  <c r="R25" i="35" l="1"/>
  <c r="E31" i="35"/>
  <c r="P19" i="34"/>
  <c r="O25" i="34"/>
  <c r="H25" i="34"/>
  <c r="N25" i="34"/>
  <c r="E37" i="35" l="1"/>
  <c r="F31" i="35"/>
  <c r="P25" i="34"/>
  <c r="R19" i="34"/>
  <c r="E31" i="34" s="1"/>
  <c r="F37" i="35" l="1"/>
  <c r="H31" i="35"/>
  <c r="H37" i="35" s="1"/>
  <c r="P11" i="5" s="1"/>
  <c r="P12" i="5" s="1"/>
  <c r="P15" i="5" s="1"/>
  <c r="P17" i="5" s="1"/>
  <c r="R25" i="34"/>
  <c r="E37" i="34" l="1"/>
  <c r="F31" i="34"/>
  <c r="F37" i="34" l="1"/>
  <c r="H31" i="34"/>
  <c r="H37" i="34" s="1"/>
  <c r="O11" i="5" s="1"/>
  <c r="O12" i="5" s="1"/>
  <c r="O15" i="5" l="1"/>
  <c r="G36" i="31"/>
  <c r="E36" i="31"/>
  <c r="G35" i="31"/>
  <c r="G34" i="31"/>
  <c r="G33" i="31"/>
  <c r="G32" i="31"/>
  <c r="L25" i="31"/>
  <c r="M24" i="31"/>
  <c r="G24" i="31"/>
  <c r="H24" i="31" s="1"/>
  <c r="C24" i="31"/>
  <c r="C23" i="31"/>
  <c r="C22" i="31"/>
  <c r="E22" i="31" s="1"/>
  <c r="M22" i="31" s="1"/>
  <c r="C21" i="31"/>
  <c r="E21" i="31" s="1"/>
  <c r="M20" i="31"/>
  <c r="F20" i="31"/>
  <c r="G20" i="31" s="1"/>
  <c r="N20" i="31" s="1"/>
  <c r="C19" i="31"/>
  <c r="E19" i="31" s="1"/>
  <c r="K18" i="31"/>
  <c r="K22" i="31" s="1"/>
  <c r="F12" i="31"/>
  <c r="C12" i="31"/>
  <c r="N8" i="5" s="1"/>
  <c r="P11" i="31"/>
  <c r="P10" i="31"/>
  <c r="G10" i="31"/>
  <c r="H10" i="31" s="1"/>
  <c r="J10" i="31" s="1"/>
  <c r="D35" i="31" s="1"/>
  <c r="P9" i="31"/>
  <c r="G9" i="31"/>
  <c r="H9" i="31" s="1"/>
  <c r="J9" i="31" s="1"/>
  <c r="D34" i="31" s="1"/>
  <c r="P8" i="31"/>
  <c r="G8" i="31"/>
  <c r="H8" i="31" s="1"/>
  <c r="J8" i="31" s="1"/>
  <c r="D33" i="31" s="1"/>
  <c r="P7" i="31"/>
  <c r="G7" i="31"/>
  <c r="H7" i="31" s="1"/>
  <c r="J7" i="31" s="1"/>
  <c r="D32" i="31" s="1"/>
  <c r="P6" i="31"/>
  <c r="G6" i="31"/>
  <c r="H6" i="31" s="1"/>
  <c r="O17" i="5" l="1"/>
  <c r="K20" i="31"/>
  <c r="K23" i="31"/>
  <c r="K19" i="31"/>
  <c r="P12" i="31"/>
  <c r="G11" i="31" s="1"/>
  <c r="J6" i="31"/>
  <c r="F21" i="31"/>
  <c r="F19" i="31"/>
  <c r="C25" i="31"/>
  <c r="H20" i="31"/>
  <c r="K21" i="31"/>
  <c r="F22" i="31"/>
  <c r="N24" i="31"/>
  <c r="P24" i="31" s="1"/>
  <c r="E23" i="31"/>
  <c r="M23" i="31" s="1"/>
  <c r="W4" i="4"/>
  <c r="W3" i="4"/>
  <c r="W2" i="4"/>
  <c r="H11" i="31" l="1"/>
  <c r="G12" i="31"/>
  <c r="C18" i="26" s="1"/>
  <c r="O20" i="31"/>
  <c r="P20" i="31" s="1"/>
  <c r="R20" i="31" s="1"/>
  <c r="E32" i="31" s="1"/>
  <c r="F32" i="31" s="1"/>
  <c r="H32" i="31" s="1"/>
  <c r="G22" i="31"/>
  <c r="N22" i="31" s="1"/>
  <c r="E25" i="31"/>
  <c r="D31" i="31"/>
  <c r="G19" i="31"/>
  <c r="F23" i="31"/>
  <c r="F25" i="31" s="1"/>
  <c r="G21" i="31"/>
  <c r="N21" i="31" s="1"/>
  <c r="J11" i="31" l="1"/>
  <c r="H12" i="31"/>
  <c r="N10" i="5" s="1"/>
  <c r="N19" i="31"/>
  <c r="H21" i="31"/>
  <c r="O21" i="31" s="1"/>
  <c r="P21" i="31" s="1"/>
  <c r="R21" i="31" s="1"/>
  <c r="E33" i="31" s="1"/>
  <c r="F33" i="31" s="1"/>
  <c r="H33" i="31" s="1"/>
  <c r="H22" i="31"/>
  <c r="O22" i="31" s="1"/>
  <c r="P22" i="31" s="1"/>
  <c r="R22" i="31" s="1"/>
  <c r="E34" i="31" s="1"/>
  <c r="F34" i="31" s="1"/>
  <c r="H34" i="31" s="1"/>
  <c r="G23" i="31"/>
  <c r="N23" i="31" s="1"/>
  <c r="H19" i="31"/>
  <c r="O19" i="31" s="1"/>
  <c r="P19" i="31" s="1"/>
  <c r="M25" i="31"/>
  <c r="D36" i="31" l="1"/>
  <c r="J12" i="31"/>
  <c r="H23" i="31"/>
  <c r="O23" i="31" s="1"/>
  <c r="P23" i="31" s="1"/>
  <c r="R23" i="31" s="1"/>
  <c r="E35" i="31" s="1"/>
  <c r="F35" i="31" s="1"/>
  <c r="H35" i="31" s="1"/>
  <c r="N25" i="31"/>
  <c r="G25" i="31"/>
  <c r="F36" i="31" l="1"/>
  <c r="H36" i="31" s="1"/>
  <c r="D37" i="31"/>
  <c r="O25" i="31"/>
  <c r="H25" i="31"/>
  <c r="P25" i="31" l="1"/>
  <c r="R19" i="31"/>
  <c r="E31" i="31" l="1"/>
  <c r="R25" i="31"/>
  <c r="E37" i="31" l="1"/>
  <c r="F31" i="31"/>
  <c r="F37" i="31" l="1"/>
  <c r="H31" i="31"/>
  <c r="H37" i="31" s="1"/>
  <c r="N11" i="5" s="1"/>
  <c r="N12" i="5" s="1"/>
  <c r="N15" i="5" s="1"/>
  <c r="N17" i="5" s="1"/>
  <c r="G36" i="27"/>
  <c r="E36" i="27"/>
  <c r="G35" i="27"/>
  <c r="G34" i="27"/>
  <c r="G33" i="27"/>
  <c r="G32" i="27"/>
  <c r="L25" i="27"/>
  <c r="M24" i="27"/>
  <c r="G24" i="27"/>
  <c r="N24" i="27" s="1"/>
  <c r="C24" i="27"/>
  <c r="C23" i="27"/>
  <c r="E23" i="27" s="1"/>
  <c r="M23" i="27" s="1"/>
  <c r="C22" i="27"/>
  <c r="E22" i="27" s="1"/>
  <c r="M22" i="27" s="1"/>
  <c r="C21" i="27"/>
  <c r="C20" i="27"/>
  <c r="C19" i="27"/>
  <c r="E19" i="27" s="1"/>
  <c r="K18" i="27"/>
  <c r="K22" i="27" s="1"/>
  <c r="F12" i="27"/>
  <c r="C12" i="27"/>
  <c r="M8" i="5" s="1"/>
  <c r="P11" i="27"/>
  <c r="P10" i="27"/>
  <c r="G10" i="27"/>
  <c r="H10" i="27" s="1"/>
  <c r="J10" i="27" s="1"/>
  <c r="D35" i="27" s="1"/>
  <c r="P9" i="27"/>
  <c r="G9" i="27"/>
  <c r="H9" i="27" s="1"/>
  <c r="J9" i="27" s="1"/>
  <c r="D34" i="27" s="1"/>
  <c r="P8" i="27"/>
  <c r="G8" i="27"/>
  <c r="H8" i="27" s="1"/>
  <c r="J8" i="27" s="1"/>
  <c r="D33" i="27" s="1"/>
  <c r="P7" i="27"/>
  <c r="G7" i="27"/>
  <c r="H7" i="27" s="1"/>
  <c r="J7" i="27" s="1"/>
  <c r="D32" i="27" s="1"/>
  <c r="P6" i="27"/>
  <c r="K19" i="27" l="1"/>
  <c r="F20" i="27"/>
  <c r="G20" i="27" s="1"/>
  <c r="N20" i="27" s="1"/>
  <c r="D20" i="27"/>
  <c r="H24" i="27"/>
  <c r="K23" i="27"/>
  <c r="K20" i="27"/>
  <c r="P12" i="27"/>
  <c r="G11" i="27" s="1"/>
  <c r="H11" i="27" s="1"/>
  <c r="J11" i="27" s="1"/>
  <c r="D36" i="27" s="1"/>
  <c r="F36" i="27" s="1"/>
  <c r="H36" i="27" s="1"/>
  <c r="P24" i="27"/>
  <c r="F19" i="27"/>
  <c r="H6" i="27"/>
  <c r="H20" i="27"/>
  <c r="E21" i="27"/>
  <c r="K21" i="27"/>
  <c r="F22" i="27"/>
  <c r="C25" i="27"/>
  <c r="F23" i="27"/>
  <c r="E47" i="18"/>
  <c r="E48" i="18" s="1"/>
  <c r="O20" i="27" l="1"/>
  <c r="P20" i="27" s="1"/>
  <c r="R20" i="27" s="1"/>
  <c r="E32" i="27" s="1"/>
  <c r="F32" i="27" s="1"/>
  <c r="H32" i="27" s="1"/>
  <c r="G12" i="27"/>
  <c r="C17" i="26" s="1"/>
  <c r="G23" i="27"/>
  <c r="N23" i="27" s="1"/>
  <c r="G22" i="27"/>
  <c r="N22" i="27" s="1"/>
  <c r="G19" i="27"/>
  <c r="H19" i="27" s="1"/>
  <c r="O19" i="27" s="1"/>
  <c r="E25" i="27"/>
  <c r="F21" i="27"/>
  <c r="J6" i="27"/>
  <c r="D31" i="27" s="1"/>
  <c r="H12" i="27"/>
  <c r="M10" i="5" s="1"/>
  <c r="H22" i="27" l="1"/>
  <c r="O22" i="27" s="1"/>
  <c r="G21" i="27"/>
  <c r="N21" i="27" s="1"/>
  <c r="N19" i="27"/>
  <c r="M25" i="27"/>
  <c r="F25" i="27"/>
  <c r="H23" i="27"/>
  <c r="O23" i="27" s="1"/>
  <c r="P23" i="27" s="1"/>
  <c r="R23" i="27" s="1"/>
  <c r="E35" i="27" s="1"/>
  <c r="F35" i="27" s="1"/>
  <c r="H35" i="27" s="1"/>
  <c r="D37" i="27"/>
  <c r="J12" i="27"/>
  <c r="P22" i="27"/>
  <c r="R22" i="27" s="1"/>
  <c r="E34" i="27" s="1"/>
  <c r="F34" i="27" s="1"/>
  <c r="H34" i="27" s="1"/>
  <c r="H21" i="27" l="1"/>
  <c r="N25" i="27"/>
  <c r="P19" i="27"/>
  <c r="G25" i="27"/>
  <c r="R19" i="27" l="1"/>
  <c r="E31" i="27" s="1"/>
  <c r="O21" i="27"/>
  <c r="H25" i="27"/>
  <c r="C40" i="26"/>
  <c r="C31" i="26"/>
  <c r="P21" i="27" l="1"/>
  <c r="O25" i="27"/>
  <c r="F31" i="27" l="1"/>
  <c r="R21" i="27"/>
  <c r="P25" i="27"/>
  <c r="E33" i="27" l="1"/>
  <c r="R25" i="27"/>
  <c r="H31" i="27"/>
  <c r="F33" i="27" l="1"/>
  <c r="E37" i="27"/>
  <c r="G36" i="18"/>
  <c r="E36" i="18"/>
  <c r="G35" i="18"/>
  <c r="G34" i="18"/>
  <c r="G33" i="18"/>
  <c r="G32" i="18"/>
  <c r="L25" i="18"/>
  <c r="M24" i="18"/>
  <c r="G24" i="18"/>
  <c r="N24" i="18" s="1"/>
  <c r="P24" i="18" s="1"/>
  <c r="C24" i="18"/>
  <c r="C23" i="18"/>
  <c r="C22" i="18"/>
  <c r="E22" i="18" s="1"/>
  <c r="M22" i="18" s="1"/>
  <c r="C21" i="18"/>
  <c r="E21" i="18" s="1"/>
  <c r="C20" i="18"/>
  <c r="C19" i="18"/>
  <c r="K18" i="18"/>
  <c r="K21" i="18" s="1"/>
  <c r="F12" i="18"/>
  <c r="C12" i="18"/>
  <c r="L8" i="5" s="1"/>
  <c r="P11" i="18"/>
  <c r="P10" i="18"/>
  <c r="G10" i="18"/>
  <c r="H10" i="18" s="1"/>
  <c r="J10" i="18" s="1"/>
  <c r="D35" i="18" s="1"/>
  <c r="P9" i="18"/>
  <c r="G9" i="18"/>
  <c r="H9" i="18" s="1"/>
  <c r="J9" i="18" s="1"/>
  <c r="D34" i="18" s="1"/>
  <c r="P8" i="18"/>
  <c r="G8" i="18"/>
  <c r="H8" i="18" s="1"/>
  <c r="J8" i="18" s="1"/>
  <c r="D33" i="18" s="1"/>
  <c r="P7" i="18"/>
  <c r="G7" i="18"/>
  <c r="H7" i="18" s="1"/>
  <c r="J7" i="18" s="1"/>
  <c r="D32" i="18" s="1"/>
  <c r="P6" i="18"/>
  <c r="K20" i="18" l="1"/>
  <c r="H33" i="27"/>
  <c r="H37" i="27" s="1"/>
  <c r="M11" i="5" s="1"/>
  <c r="F37" i="27"/>
  <c r="K19" i="18"/>
  <c r="K22" i="18"/>
  <c r="P12" i="18"/>
  <c r="G11" i="18" s="1"/>
  <c r="H11" i="18" s="1"/>
  <c r="J11" i="18" s="1"/>
  <c r="D36" i="18" s="1"/>
  <c r="F36" i="18" s="1"/>
  <c r="H36" i="18" s="1"/>
  <c r="F21" i="18"/>
  <c r="E23" i="18"/>
  <c r="M23" i="18" s="1"/>
  <c r="K23" i="18"/>
  <c r="H24" i="18"/>
  <c r="C25" i="18"/>
  <c r="E19" i="18"/>
  <c r="F19" i="18" s="1"/>
  <c r="H6" i="18"/>
  <c r="F22" i="18"/>
  <c r="M12" i="5" l="1"/>
  <c r="M15" i="5" s="1"/>
  <c r="M17" i="5" s="1"/>
  <c r="G12" i="18"/>
  <c r="C16" i="26" s="1"/>
  <c r="G19" i="18"/>
  <c r="H19" i="18" s="1"/>
  <c r="O19" i="18" s="1"/>
  <c r="H12" i="18"/>
  <c r="L10" i="5" s="1"/>
  <c r="J6" i="18"/>
  <c r="G22" i="18"/>
  <c r="N22" i="18" s="1"/>
  <c r="G21" i="18"/>
  <c r="N21" i="18" s="1"/>
  <c r="F23" i="18"/>
  <c r="D31" i="18" l="1"/>
  <c r="D37" i="18" s="1"/>
  <c r="J12" i="18"/>
  <c r="H21" i="18"/>
  <c r="O21" i="18" s="1"/>
  <c r="P21" i="18" s="1"/>
  <c r="R21" i="18" s="1"/>
  <c r="E33" i="18" s="1"/>
  <c r="F33" i="18" s="1"/>
  <c r="H33" i="18" s="1"/>
  <c r="H22" i="18"/>
  <c r="O22" i="18" s="1"/>
  <c r="P22" i="18" s="1"/>
  <c r="R22" i="18" s="1"/>
  <c r="E34" i="18" s="1"/>
  <c r="F34" i="18" s="1"/>
  <c r="H34" i="18" s="1"/>
  <c r="N19" i="18"/>
  <c r="P19" i="18" s="1"/>
  <c r="G23" i="18"/>
  <c r="N23" i="18" s="1"/>
  <c r="M25" i="18"/>
  <c r="R19" i="18" l="1"/>
  <c r="H23" i="18"/>
  <c r="O23" i="18" s="1"/>
  <c r="P23" i="18" s="1"/>
  <c r="R23" i="18" l="1"/>
  <c r="E35" i="18" s="1"/>
  <c r="F35" i="18" s="1"/>
  <c r="H35" i="18" s="1"/>
  <c r="E31" i="18"/>
  <c r="F31" i="18" l="1"/>
  <c r="H31" i="18" s="1"/>
  <c r="G36" i="17"/>
  <c r="E36" i="17"/>
  <c r="G35" i="17"/>
  <c r="G34" i="17"/>
  <c r="G33" i="17"/>
  <c r="G32" i="17"/>
  <c r="L25" i="17"/>
  <c r="G24" i="17"/>
  <c r="P24" i="17" s="1"/>
  <c r="C24" i="17"/>
  <c r="C23" i="17"/>
  <c r="C22" i="17"/>
  <c r="C21" i="17"/>
  <c r="E21" i="17" s="1"/>
  <c r="M20" i="17"/>
  <c r="C20" i="17"/>
  <c r="D20" i="17" s="1"/>
  <c r="C19" i="17"/>
  <c r="K18" i="17"/>
  <c r="K21" i="17" s="1"/>
  <c r="F12" i="17"/>
  <c r="C12" i="17"/>
  <c r="P11" i="17"/>
  <c r="P10" i="17"/>
  <c r="G10" i="17"/>
  <c r="H10" i="17" s="1"/>
  <c r="J10" i="17" s="1"/>
  <c r="D35" i="17" s="1"/>
  <c r="P9" i="17"/>
  <c r="G9" i="17"/>
  <c r="H9" i="17" s="1"/>
  <c r="J9" i="17" s="1"/>
  <c r="D34" i="17" s="1"/>
  <c r="P8" i="17"/>
  <c r="G8" i="17"/>
  <c r="H8" i="17" s="1"/>
  <c r="J8" i="17" s="1"/>
  <c r="D33" i="17" s="1"/>
  <c r="P7" i="17"/>
  <c r="G7" i="17"/>
  <c r="H7" i="17" s="1"/>
  <c r="J7" i="17" s="1"/>
  <c r="D32" i="17" s="1"/>
  <c r="P6" i="17"/>
  <c r="G6" i="17"/>
  <c r="F20" i="17" l="1"/>
  <c r="K20" i="17"/>
  <c r="K22" i="17"/>
  <c r="K19" i="17"/>
  <c r="K23" i="17"/>
  <c r="K8" i="5"/>
  <c r="P12" i="17"/>
  <c r="G11" i="17" s="1"/>
  <c r="H11" i="17" s="1"/>
  <c r="J11" i="17" s="1"/>
  <c r="D36" i="17" s="1"/>
  <c r="F36" i="17" s="1"/>
  <c r="H36" i="17" s="1"/>
  <c r="F21" i="17"/>
  <c r="E19" i="17"/>
  <c r="F19" i="17" s="1"/>
  <c r="H24" i="17"/>
  <c r="C25" i="17"/>
  <c r="E23" i="17"/>
  <c r="H6" i="17"/>
  <c r="G20" i="17"/>
  <c r="E22" i="17"/>
  <c r="G12" i="17" l="1"/>
  <c r="C15" i="26" s="1"/>
  <c r="H20" i="17"/>
  <c r="O20" i="17" s="1"/>
  <c r="P20" i="17" s="1"/>
  <c r="R20" i="17" s="1"/>
  <c r="E32" i="17" s="1"/>
  <c r="F32" i="17" s="1"/>
  <c r="H32" i="17" s="1"/>
  <c r="G21" i="17"/>
  <c r="F22" i="17"/>
  <c r="G19" i="17"/>
  <c r="H19" i="17" s="1"/>
  <c r="F23" i="17"/>
  <c r="H12" i="17"/>
  <c r="K10" i="5" s="1"/>
  <c r="J6" i="17"/>
  <c r="E25" i="17"/>
  <c r="O19" i="17" l="1"/>
  <c r="G22" i="17"/>
  <c r="H22" i="17" s="1"/>
  <c r="O22" i="17" s="1"/>
  <c r="M25" i="17"/>
  <c r="G23" i="17"/>
  <c r="D31" i="17"/>
  <c r="D37" i="17" s="1"/>
  <c r="J12" i="17"/>
  <c r="N25" i="17"/>
  <c r="F25" i="17"/>
  <c r="H21" i="17"/>
  <c r="O21" i="17" s="1"/>
  <c r="P21" i="17" s="1"/>
  <c r="R21" i="17" s="1"/>
  <c r="E33" i="17" s="1"/>
  <c r="F33" i="17" s="1"/>
  <c r="H33" i="17" s="1"/>
  <c r="G25" i="17" l="1"/>
  <c r="H23" i="17"/>
  <c r="O23" i="17" s="1"/>
  <c r="O25" i="17" s="1"/>
  <c r="P22" i="17"/>
  <c r="R22" i="17" s="1"/>
  <c r="E34" i="17" s="1"/>
  <c r="F34" i="17" s="1"/>
  <c r="H34" i="17" s="1"/>
  <c r="P19" i="17"/>
  <c r="G36" i="13"/>
  <c r="E36" i="13"/>
  <c r="G35" i="13"/>
  <c r="G34" i="13"/>
  <c r="G33" i="13"/>
  <c r="G32" i="13"/>
  <c r="L25" i="13"/>
  <c r="M24" i="13"/>
  <c r="G24" i="13"/>
  <c r="N24" i="13" s="1"/>
  <c r="C24" i="13"/>
  <c r="C23" i="13"/>
  <c r="C22" i="13"/>
  <c r="C21" i="13"/>
  <c r="E21" i="13" s="1"/>
  <c r="C20" i="13"/>
  <c r="F20" i="13" s="1"/>
  <c r="C19" i="13"/>
  <c r="K18" i="13"/>
  <c r="K21" i="13" s="1"/>
  <c r="F12" i="13"/>
  <c r="C12" i="13"/>
  <c r="P11" i="13"/>
  <c r="P10" i="13"/>
  <c r="G10" i="13"/>
  <c r="H10" i="13" s="1"/>
  <c r="J10" i="13" s="1"/>
  <c r="D35" i="13" s="1"/>
  <c r="P9" i="13"/>
  <c r="G9" i="13"/>
  <c r="H9" i="13" s="1"/>
  <c r="J9" i="13" s="1"/>
  <c r="D34" i="13" s="1"/>
  <c r="P8" i="13"/>
  <c r="G8" i="13"/>
  <c r="H8" i="13" s="1"/>
  <c r="J8" i="13" s="1"/>
  <c r="D33" i="13" s="1"/>
  <c r="P7" i="13"/>
  <c r="G7" i="13"/>
  <c r="H7" i="13" s="1"/>
  <c r="J7" i="13" s="1"/>
  <c r="D32" i="13" s="1"/>
  <c r="P6" i="13"/>
  <c r="G6" i="13"/>
  <c r="P24" i="13" l="1"/>
  <c r="H25" i="17"/>
  <c r="P23" i="17"/>
  <c r="R23" i="17" s="1"/>
  <c r="E35" i="17" s="1"/>
  <c r="F35" i="17" s="1"/>
  <c r="H35" i="17" s="1"/>
  <c r="K19" i="13"/>
  <c r="K23" i="13"/>
  <c r="K20" i="13"/>
  <c r="K22" i="13"/>
  <c r="R19" i="17"/>
  <c r="J8" i="5"/>
  <c r="P12" i="13"/>
  <c r="G11" i="13" s="1"/>
  <c r="H11" i="13" s="1"/>
  <c r="J11" i="13" s="1"/>
  <c r="D36" i="13" s="1"/>
  <c r="F36" i="13" s="1"/>
  <c r="H36" i="13" s="1"/>
  <c r="D20" i="13"/>
  <c r="F21" i="13"/>
  <c r="E19" i="13"/>
  <c r="H24" i="13"/>
  <c r="C25" i="13"/>
  <c r="E23" i="13"/>
  <c r="M23" i="13" s="1"/>
  <c r="H6" i="13"/>
  <c r="G20" i="13"/>
  <c r="E22" i="13"/>
  <c r="M22" i="13" s="1"/>
  <c r="F23" i="13" l="1"/>
  <c r="P25" i="17"/>
  <c r="R25" i="17"/>
  <c r="E31" i="17"/>
  <c r="G12" i="13"/>
  <c r="C14" i="26" s="1"/>
  <c r="H12" i="13"/>
  <c r="J10" i="5" s="1"/>
  <c r="J6" i="13"/>
  <c r="E25" i="13"/>
  <c r="G21" i="13"/>
  <c r="N21" i="13" s="1"/>
  <c r="G23" i="13"/>
  <c r="N23" i="13" s="1"/>
  <c r="H20" i="13"/>
  <c r="O20" i="13" s="1"/>
  <c r="P20" i="13" s="1"/>
  <c r="R20" i="13" s="1"/>
  <c r="E32" i="13" s="1"/>
  <c r="F32" i="13" s="1"/>
  <c r="H32" i="13" s="1"/>
  <c r="F22" i="13"/>
  <c r="F19" i="13"/>
  <c r="H23" i="13" l="1"/>
  <c r="O23" i="13" s="1"/>
  <c r="P23" i="13" s="1"/>
  <c r="R23" i="13" s="1"/>
  <c r="E35" i="13" s="1"/>
  <c r="F35" i="13" s="1"/>
  <c r="H35" i="13" s="1"/>
  <c r="E37" i="17"/>
  <c r="F31" i="17"/>
  <c r="H21" i="13"/>
  <c r="O21" i="13" s="1"/>
  <c r="P21" i="13" s="1"/>
  <c r="R21" i="13" s="1"/>
  <c r="E33" i="13" s="1"/>
  <c r="F33" i="13" s="1"/>
  <c r="H33" i="13" s="1"/>
  <c r="M25" i="13"/>
  <c r="F25" i="13"/>
  <c r="G19" i="13"/>
  <c r="G22" i="13"/>
  <c r="N22" i="13" s="1"/>
  <c r="D31" i="13"/>
  <c r="D37" i="13" s="1"/>
  <c r="J12" i="13"/>
  <c r="G36" i="12"/>
  <c r="E36" i="12"/>
  <c r="G35" i="12"/>
  <c r="G34" i="12"/>
  <c r="G33" i="12"/>
  <c r="G32" i="12"/>
  <c r="L25" i="12"/>
  <c r="M24" i="12"/>
  <c r="G24" i="12"/>
  <c r="H24" i="12" s="1"/>
  <c r="C24" i="12"/>
  <c r="C23" i="12"/>
  <c r="C22" i="12"/>
  <c r="E22" i="12" s="1"/>
  <c r="C21" i="12"/>
  <c r="E21" i="12" s="1"/>
  <c r="F21" i="12" s="1"/>
  <c r="C20" i="12"/>
  <c r="D20" i="12" s="1"/>
  <c r="C19" i="12"/>
  <c r="K18" i="12"/>
  <c r="K22" i="12" s="1"/>
  <c r="F12" i="12"/>
  <c r="C12" i="12"/>
  <c r="I8" i="5" s="1"/>
  <c r="P11" i="12"/>
  <c r="P10" i="12"/>
  <c r="G10" i="12"/>
  <c r="H10" i="12" s="1"/>
  <c r="J10" i="12" s="1"/>
  <c r="D35" i="12" s="1"/>
  <c r="P9" i="12"/>
  <c r="G9" i="12"/>
  <c r="H9" i="12" s="1"/>
  <c r="J9" i="12" s="1"/>
  <c r="D34" i="12" s="1"/>
  <c r="P8" i="12"/>
  <c r="G8" i="12"/>
  <c r="H8" i="12" s="1"/>
  <c r="J8" i="12" s="1"/>
  <c r="D33" i="12" s="1"/>
  <c r="P7" i="12"/>
  <c r="G7" i="12"/>
  <c r="H7" i="12" s="1"/>
  <c r="J7" i="12" s="1"/>
  <c r="D32" i="12" s="1"/>
  <c r="P6" i="12"/>
  <c r="G6" i="12"/>
  <c r="H6" i="12" s="1"/>
  <c r="H22" i="13" l="1"/>
  <c r="O22" i="13" s="1"/>
  <c r="P22" i="13" s="1"/>
  <c r="R22" i="13" s="1"/>
  <c r="E34" i="13" s="1"/>
  <c r="F34" i="13" s="1"/>
  <c r="H34" i="13" s="1"/>
  <c r="N24" i="12"/>
  <c r="P24" i="12" s="1"/>
  <c r="F37" i="17"/>
  <c r="H31" i="17"/>
  <c r="H37" i="17" s="1"/>
  <c r="K11" i="5" s="1"/>
  <c r="K12" i="5" s="1"/>
  <c r="K15" i="5" s="1"/>
  <c r="K17" i="5" s="1"/>
  <c r="G25" i="13"/>
  <c r="H19" i="13"/>
  <c r="P12" i="12"/>
  <c r="G11" i="12" s="1"/>
  <c r="H11" i="12" s="1"/>
  <c r="J11" i="12" s="1"/>
  <c r="D36" i="12" s="1"/>
  <c r="F36" i="12" s="1"/>
  <c r="H36" i="12" s="1"/>
  <c r="J6" i="12"/>
  <c r="M22" i="12"/>
  <c r="F22" i="12"/>
  <c r="G21" i="12"/>
  <c r="N21" i="12" s="1"/>
  <c r="E19" i="12"/>
  <c r="F19" i="12" s="1"/>
  <c r="E23" i="12"/>
  <c r="M23" i="12" s="1"/>
  <c r="K23" i="12"/>
  <c r="C25" i="12"/>
  <c r="K21" i="12"/>
  <c r="K20" i="12"/>
  <c r="K19" i="12"/>
  <c r="H25" i="13" l="1"/>
  <c r="O19" i="13"/>
  <c r="O25" i="13" s="1"/>
  <c r="N25" i="13"/>
  <c r="G12" i="12"/>
  <c r="C13" i="26" s="1"/>
  <c r="H12" i="12"/>
  <c r="I10" i="5" s="1"/>
  <c r="F23" i="12"/>
  <c r="F20" i="12"/>
  <c r="G19" i="12"/>
  <c r="E25" i="12"/>
  <c r="H21" i="12"/>
  <c r="O21" i="12" s="1"/>
  <c r="P21" i="12" s="1"/>
  <c r="R21" i="12" s="1"/>
  <c r="E33" i="12" s="1"/>
  <c r="F33" i="12" s="1"/>
  <c r="H33" i="12" s="1"/>
  <c r="G22" i="12"/>
  <c r="N22" i="12" s="1"/>
  <c r="D31" i="12"/>
  <c r="D37" i="12" s="1"/>
  <c r="J12" i="12"/>
  <c r="P19" i="13" l="1"/>
  <c r="G20" i="12"/>
  <c r="H22" i="12"/>
  <c r="O22" i="12" s="1"/>
  <c r="P22" i="12" s="1"/>
  <c r="R22" i="12" s="1"/>
  <c r="E34" i="12" s="1"/>
  <c r="F34" i="12" s="1"/>
  <c r="H34" i="12" s="1"/>
  <c r="F25" i="12"/>
  <c r="G23" i="12"/>
  <c r="N23" i="12" s="1"/>
  <c r="H23" i="12"/>
  <c r="O23" i="12" s="1"/>
  <c r="M25" i="12"/>
  <c r="H19" i="12"/>
  <c r="P25" i="13" l="1"/>
  <c r="R19" i="13"/>
  <c r="N25" i="12"/>
  <c r="G25" i="12"/>
  <c r="O19" i="12"/>
  <c r="P19" i="12" s="1"/>
  <c r="P23" i="12"/>
  <c r="R23" i="12" s="1"/>
  <c r="E35" i="12" s="1"/>
  <c r="F35" i="12" s="1"/>
  <c r="H35" i="12" s="1"/>
  <c r="H20" i="12"/>
  <c r="O20" i="12" s="1"/>
  <c r="P20" i="12" s="1"/>
  <c r="R20" i="12" s="1"/>
  <c r="E32" i="12" s="1"/>
  <c r="F32" i="12" s="1"/>
  <c r="H32" i="12" s="1"/>
  <c r="G36" i="11"/>
  <c r="E36" i="11"/>
  <c r="G35" i="11"/>
  <c r="G34" i="11"/>
  <c r="G33" i="11"/>
  <c r="G32" i="11"/>
  <c r="L25" i="11"/>
  <c r="M24" i="11"/>
  <c r="G24" i="11"/>
  <c r="N24" i="11" s="1"/>
  <c r="C24" i="11"/>
  <c r="C23" i="11"/>
  <c r="E23" i="11" s="1"/>
  <c r="M23" i="11" s="1"/>
  <c r="C22" i="11"/>
  <c r="C21" i="11"/>
  <c r="E21" i="11" s="1"/>
  <c r="C20" i="11"/>
  <c r="E20" i="11" s="1"/>
  <c r="M20" i="11" s="1"/>
  <c r="C19" i="11"/>
  <c r="E19" i="11" s="1"/>
  <c r="K18" i="11"/>
  <c r="K21" i="11" s="1"/>
  <c r="F12" i="11"/>
  <c r="C12" i="11"/>
  <c r="H8" i="5" s="1"/>
  <c r="P11" i="11"/>
  <c r="P10" i="11"/>
  <c r="G10" i="11"/>
  <c r="H10" i="11" s="1"/>
  <c r="J10" i="11" s="1"/>
  <c r="D35" i="11" s="1"/>
  <c r="P9" i="11"/>
  <c r="G9" i="11"/>
  <c r="H9" i="11" s="1"/>
  <c r="J9" i="11" s="1"/>
  <c r="D34" i="11" s="1"/>
  <c r="P8" i="11"/>
  <c r="G8" i="11"/>
  <c r="H8" i="11" s="1"/>
  <c r="J8" i="11" s="1"/>
  <c r="D33" i="11" s="1"/>
  <c r="P7" i="11"/>
  <c r="G7" i="11"/>
  <c r="H7" i="11" s="1"/>
  <c r="J7" i="11" s="1"/>
  <c r="D32" i="11" s="1"/>
  <c r="P6" i="11"/>
  <c r="G6" i="11"/>
  <c r="P24" i="11" l="1"/>
  <c r="K19" i="11"/>
  <c r="K23" i="11"/>
  <c r="R25" i="13"/>
  <c r="E31" i="13"/>
  <c r="K22" i="11"/>
  <c r="K20" i="11"/>
  <c r="P25" i="12"/>
  <c r="R19" i="12"/>
  <c r="O25" i="12"/>
  <c r="H25" i="12"/>
  <c r="P12" i="11"/>
  <c r="G11" i="11" s="1"/>
  <c r="H11" i="11" s="1"/>
  <c r="J11" i="11" s="1"/>
  <c r="D36" i="11" s="1"/>
  <c r="F36" i="11" s="1"/>
  <c r="H36" i="11" s="1"/>
  <c r="F21" i="11"/>
  <c r="F20" i="11"/>
  <c r="H24" i="11"/>
  <c r="C25" i="11"/>
  <c r="H6" i="11"/>
  <c r="F19" i="11"/>
  <c r="E22" i="11"/>
  <c r="M22" i="11" s="1"/>
  <c r="F23" i="11"/>
  <c r="E37" i="13" l="1"/>
  <c r="F31" i="13"/>
  <c r="H31" i="13" s="1"/>
  <c r="E31" i="12"/>
  <c r="R25" i="12"/>
  <c r="G12" i="11"/>
  <c r="C12" i="26" s="1"/>
  <c r="G23" i="11"/>
  <c r="N23" i="11" s="1"/>
  <c r="M25" i="11"/>
  <c r="F22" i="11"/>
  <c r="F25" i="11" s="1"/>
  <c r="G19" i="11"/>
  <c r="H19" i="11" s="1"/>
  <c r="G20" i="11"/>
  <c r="E25" i="11"/>
  <c r="J6" i="11"/>
  <c r="H12" i="11"/>
  <c r="H10" i="5" s="1"/>
  <c r="G21" i="11"/>
  <c r="N21" i="11" s="1"/>
  <c r="G10" i="6"/>
  <c r="G9" i="6"/>
  <c r="G7" i="6"/>
  <c r="P11" i="3"/>
  <c r="P10" i="3"/>
  <c r="P9" i="3"/>
  <c r="G10" i="3"/>
  <c r="G9" i="3"/>
  <c r="G10" i="10"/>
  <c r="G9" i="10"/>
  <c r="G8" i="10"/>
  <c r="G7" i="10"/>
  <c r="G6" i="10"/>
  <c r="G10" i="8"/>
  <c r="G9" i="8"/>
  <c r="G7" i="8"/>
  <c r="F37" i="13" l="1"/>
  <c r="H37" i="13"/>
  <c r="J11" i="5" s="1"/>
  <c r="J12" i="5" s="1"/>
  <c r="J15" i="5" s="1"/>
  <c r="J17" i="5" s="1"/>
  <c r="E37" i="12"/>
  <c r="F31" i="12"/>
  <c r="H21" i="11"/>
  <c r="O21" i="11" s="1"/>
  <c r="P21" i="11" s="1"/>
  <c r="R21" i="11" s="1"/>
  <c r="E33" i="11" s="1"/>
  <c r="F33" i="11" s="1"/>
  <c r="H33" i="11" s="1"/>
  <c r="H20" i="11"/>
  <c r="O20" i="11" s="1"/>
  <c r="P20" i="11" s="1"/>
  <c r="R20" i="11" s="1"/>
  <c r="E32" i="11" s="1"/>
  <c r="F32" i="11" s="1"/>
  <c r="H32" i="11" s="1"/>
  <c r="D31" i="11"/>
  <c r="D37" i="11" s="1"/>
  <c r="J12" i="11"/>
  <c r="O19" i="11"/>
  <c r="G22" i="11"/>
  <c r="N22" i="11" s="1"/>
  <c r="N19" i="11"/>
  <c r="H23" i="11"/>
  <c r="O23" i="11" s="1"/>
  <c r="P23" i="11" s="1"/>
  <c r="R23" i="11" s="1"/>
  <c r="E35" i="11" s="1"/>
  <c r="F35" i="11" s="1"/>
  <c r="H35" i="11" s="1"/>
  <c r="H31" i="12" l="1"/>
  <c r="H37" i="12" s="1"/>
  <c r="I11" i="5" s="1"/>
  <c r="I12" i="5" s="1"/>
  <c r="I15" i="5" s="1"/>
  <c r="I17" i="5" s="1"/>
  <c r="F37" i="12"/>
  <c r="N25" i="11"/>
  <c r="P19" i="11"/>
  <c r="G25" i="11"/>
  <c r="H22" i="11"/>
  <c r="G36" i="10"/>
  <c r="E36" i="10"/>
  <c r="G35" i="10"/>
  <c r="G34" i="10"/>
  <c r="G33" i="10"/>
  <c r="G32" i="10"/>
  <c r="L25" i="10"/>
  <c r="M24" i="10"/>
  <c r="G24" i="10"/>
  <c r="N24" i="10" s="1"/>
  <c r="P24" i="10" s="1"/>
  <c r="C24" i="10"/>
  <c r="C23" i="10"/>
  <c r="E23" i="10" s="1"/>
  <c r="M23" i="10" s="1"/>
  <c r="C22" i="10"/>
  <c r="C20" i="10"/>
  <c r="E20" i="10" s="1"/>
  <c r="M20" i="10" s="1"/>
  <c r="C19" i="10"/>
  <c r="K18" i="10"/>
  <c r="K21" i="10" s="1"/>
  <c r="F12" i="10"/>
  <c r="P11" i="10"/>
  <c r="P10" i="10"/>
  <c r="H10" i="10"/>
  <c r="J10" i="10" s="1"/>
  <c r="D35" i="10" s="1"/>
  <c r="P9" i="10"/>
  <c r="H9" i="10"/>
  <c r="J9" i="10" s="1"/>
  <c r="D34" i="10" s="1"/>
  <c r="P8" i="10"/>
  <c r="P7" i="10"/>
  <c r="H7" i="10"/>
  <c r="J7" i="10" s="1"/>
  <c r="D32" i="10" s="1"/>
  <c r="P6" i="10"/>
  <c r="K23" i="10" l="1"/>
  <c r="K20" i="10"/>
  <c r="K19" i="10"/>
  <c r="R19" i="11"/>
  <c r="O22" i="11"/>
  <c r="H25" i="11"/>
  <c r="P12" i="10"/>
  <c r="H6" i="10"/>
  <c r="H8" i="10"/>
  <c r="J8" i="10" s="1"/>
  <c r="D33" i="10" s="1"/>
  <c r="C12" i="10"/>
  <c r="G8" i="5" s="1"/>
  <c r="E19" i="10"/>
  <c r="F19" i="10" s="1"/>
  <c r="H24" i="10"/>
  <c r="C21" i="10"/>
  <c r="E22" i="10"/>
  <c r="M22" i="10" s="1"/>
  <c r="K22" i="10"/>
  <c r="F23" i="10"/>
  <c r="F20" i="10"/>
  <c r="F22" i="10" l="1"/>
  <c r="G11" i="10"/>
  <c r="G12" i="10" s="1"/>
  <c r="C11" i="26" s="1"/>
  <c r="O25" i="11"/>
  <c r="P22" i="11"/>
  <c r="E31" i="11"/>
  <c r="E21" i="10"/>
  <c r="J6" i="10"/>
  <c r="G20" i="10"/>
  <c r="N20" i="10" s="1"/>
  <c r="C25" i="10"/>
  <c r="G22" i="10"/>
  <c r="N22" i="10" s="1"/>
  <c r="G23" i="10"/>
  <c r="N23" i="10" s="1"/>
  <c r="G19" i="10"/>
  <c r="H23" i="10" l="1"/>
  <c r="O23" i="10" s="1"/>
  <c r="H11" i="10"/>
  <c r="F31" i="11"/>
  <c r="H31" i="11" s="1"/>
  <c r="R22" i="11"/>
  <c r="P25" i="11"/>
  <c r="E25" i="10"/>
  <c r="H20" i="10"/>
  <c r="O20" i="10" s="1"/>
  <c r="P20" i="10" s="1"/>
  <c r="R20" i="10" s="1"/>
  <c r="E32" i="10" s="1"/>
  <c r="F32" i="10" s="1"/>
  <c r="H32" i="10" s="1"/>
  <c r="N19" i="10"/>
  <c r="M25" i="10"/>
  <c r="H19" i="10"/>
  <c r="H22" i="10"/>
  <c r="O22" i="10" s="1"/>
  <c r="P22" i="10" s="1"/>
  <c r="R22" i="10" s="1"/>
  <c r="E34" i="10" s="1"/>
  <c r="F34" i="10" s="1"/>
  <c r="H34" i="10" s="1"/>
  <c r="F21" i="10"/>
  <c r="P23" i="10"/>
  <c r="R23" i="10" s="1"/>
  <c r="E35" i="10" s="1"/>
  <c r="F35" i="10" s="1"/>
  <c r="H35" i="10" s="1"/>
  <c r="D31" i="10"/>
  <c r="J11" i="10" l="1"/>
  <c r="H12" i="10"/>
  <c r="G10" i="5" s="1"/>
  <c r="E34" i="11"/>
  <c r="R25" i="11"/>
  <c r="G21" i="10"/>
  <c r="H21" i="10" s="1"/>
  <c r="O21" i="10" s="1"/>
  <c r="F25" i="10"/>
  <c r="O19" i="10"/>
  <c r="D36" i="10" l="1"/>
  <c r="J12" i="10"/>
  <c r="F34" i="11"/>
  <c r="H34" i="11" s="1"/>
  <c r="E37" i="11"/>
  <c r="H25" i="10"/>
  <c r="O25" i="10"/>
  <c r="P19" i="10"/>
  <c r="N21" i="10"/>
  <c r="G25" i="10"/>
  <c r="G24" i="8"/>
  <c r="P7" i="6"/>
  <c r="P7" i="8"/>
  <c r="F36" i="10" l="1"/>
  <c r="H36" i="10" s="1"/>
  <c r="D37" i="10"/>
  <c r="H37" i="11"/>
  <c r="H11" i="5" s="1"/>
  <c r="H12" i="5" s="1"/>
  <c r="H15" i="5" s="1"/>
  <c r="H17" i="5" s="1"/>
  <c r="F37" i="11"/>
  <c r="P21" i="10"/>
  <c r="R21" i="10" s="1"/>
  <c r="E33" i="10" s="1"/>
  <c r="F33" i="10" s="1"/>
  <c r="H33" i="10" s="1"/>
  <c r="N25" i="10"/>
  <c r="R19" i="10"/>
  <c r="R25" i="10" l="1"/>
  <c r="E31" i="10"/>
  <c r="P25" i="10"/>
  <c r="C8" i="8"/>
  <c r="G8" i="8" l="1"/>
  <c r="H8" i="8" s="1"/>
  <c r="J8" i="8" s="1"/>
  <c r="D33" i="8" s="1"/>
  <c r="P8" i="8"/>
  <c r="E37" i="10"/>
  <c r="F31" i="10"/>
  <c r="H31" i="10" s="1"/>
  <c r="C6" i="8"/>
  <c r="G36" i="8"/>
  <c r="E36" i="8"/>
  <c r="G35" i="8"/>
  <c r="G34" i="8"/>
  <c r="G33" i="8"/>
  <c r="G32" i="8"/>
  <c r="L25" i="8"/>
  <c r="N24" i="8"/>
  <c r="M24" i="8"/>
  <c r="P24" i="8" s="1"/>
  <c r="H24" i="8"/>
  <c r="C23" i="8"/>
  <c r="C22" i="8"/>
  <c r="E22" i="8" s="1"/>
  <c r="C20" i="8"/>
  <c r="E20" i="8" s="1"/>
  <c r="K18" i="8"/>
  <c r="K21" i="8" s="1"/>
  <c r="F12" i="8"/>
  <c r="C12" i="8"/>
  <c r="F8" i="5" s="1"/>
  <c r="C24" i="8"/>
  <c r="P10" i="8"/>
  <c r="H10" i="8"/>
  <c r="J10" i="8" s="1"/>
  <c r="D35" i="8" s="1"/>
  <c r="P9" i="8"/>
  <c r="H9" i="8"/>
  <c r="J9" i="8" s="1"/>
  <c r="D34" i="8" s="1"/>
  <c r="H7" i="8"/>
  <c r="J7" i="8" s="1"/>
  <c r="D32" i="8" s="1"/>
  <c r="C19" i="8" l="1"/>
  <c r="E19" i="8" s="1"/>
  <c r="F19" i="8" s="1"/>
  <c r="G19" i="8" s="1"/>
  <c r="H19" i="8" s="1"/>
  <c r="G6" i="8"/>
  <c r="P6" i="8"/>
  <c r="E23" i="8"/>
  <c r="M23" i="8" s="1"/>
  <c r="K20" i="8"/>
  <c r="K23" i="8"/>
  <c r="K19" i="8"/>
  <c r="F37" i="10"/>
  <c r="H37" i="10"/>
  <c r="G11" i="5" s="1"/>
  <c r="G12" i="5" s="1"/>
  <c r="G15" i="5" s="1"/>
  <c r="G17" i="5" s="1"/>
  <c r="C21" i="8"/>
  <c r="E21" i="8" s="1"/>
  <c r="M22" i="8"/>
  <c r="K22" i="8"/>
  <c r="F20" i="8"/>
  <c r="G20" i="8" s="1"/>
  <c r="P11" i="8"/>
  <c r="F22" i="8"/>
  <c r="G22" i="8" s="1"/>
  <c r="F23" i="8" l="1"/>
  <c r="G23" i="8" s="1"/>
  <c r="P12" i="8"/>
  <c r="G11" i="8" s="1"/>
  <c r="H6" i="8"/>
  <c r="N22" i="8"/>
  <c r="C25" i="8"/>
  <c r="N23" i="8"/>
  <c r="E25" i="8"/>
  <c r="G12" i="8" l="1"/>
  <c r="C10" i="26" s="1"/>
  <c r="H20" i="8"/>
  <c r="O20" i="8" s="1"/>
  <c r="P20" i="8" s="1"/>
  <c r="R20" i="8" s="1"/>
  <c r="E32" i="8" s="1"/>
  <c r="F32" i="8" s="1"/>
  <c r="H32" i="8" s="1"/>
  <c r="M25" i="8"/>
  <c r="J6" i="8"/>
  <c r="H23" i="8"/>
  <c r="O23" i="8" s="1"/>
  <c r="P23" i="8" s="1"/>
  <c r="R23" i="8" s="1"/>
  <c r="E35" i="8" s="1"/>
  <c r="F35" i="8" s="1"/>
  <c r="H35" i="8" s="1"/>
  <c r="F21" i="8"/>
  <c r="G21" i="8" s="1"/>
  <c r="H22" i="8"/>
  <c r="O22" i="8" s="1"/>
  <c r="P22" i="8" s="1"/>
  <c r="R22" i="8" s="1"/>
  <c r="E34" i="8" s="1"/>
  <c r="F34" i="8" s="1"/>
  <c r="H34" i="8" s="1"/>
  <c r="H11" i="8" l="1"/>
  <c r="H21" i="8"/>
  <c r="F25" i="8"/>
  <c r="D31" i="8"/>
  <c r="O19" i="8"/>
  <c r="C11" i="6"/>
  <c r="C8" i="3"/>
  <c r="C7" i="3"/>
  <c r="G7" i="3" s="1"/>
  <c r="C6" i="3"/>
  <c r="G6" i="3" s="1"/>
  <c r="H6" i="3" s="1"/>
  <c r="P6" i="3" l="1"/>
  <c r="P7" i="3"/>
  <c r="P8" i="3"/>
  <c r="G8" i="3"/>
  <c r="J11" i="8"/>
  <c r="H12" i="8"/>
  <c r="F10" i="5" s="1"/>
  <c r="O21" i="8"/>
  <c r="O25" i="8" s="1"/>
  <c r="H25" i="8"/>
  <c r="P19" i="8"/>
  <c r="N21" i="8"/>
  <c r="G25" i="8"/>
  <c r="D36" i="8" l="1"/>
  <c r="J12" i="8"/>
  <c r="P21" i="8"/>
  <c r="R21" i="8" s="1"/>
  <c r="E33" i="8" s="1"/>
  <c r="F33" i="8" s="1"/>
  <c r="H33" i="8" s="1"/>
  <c r="N25" i="8"/>
  <c r="R19" i="8"/>
  <c r="P11" i="6"/>
  <c r="P10" i="6"/>
  <c r="P9" i="6"/>
  <c r="F36" i="8" l="1"/>
  <c r="H36" i="8" s="1"/>
  <c r="D37" i="8"/>
  <c r="P25" i="8"/>
  <c r="E31" i="8"/>
  <c r="R25" i="8"/>
  <c r="E37" i="8" l="1"/>
  <c r="F31" i="8"/>
  <c r="H31" i="8" s="1"/>
  <c r="F37" i="8" l="1"/>
  <c r="H37" i="8"/>
  <c r="F11" i="5" s="1"/>
  <c r="F12" i="5" s="1"/>
  <c r="F15" i="5" s="1"/>
  <c r="F17" i="5" s="1"/>
  <c r="P12" i="3"/>
  <c r="G11" i="3" s="1"/>
  <c r="E20" i="6"/>
  <c r="C8" i="6" l="1"/>
  <c r="G8" i="6" l="1"/>
  <c r="P8" i="6"/>
  <c r="C6" i="6"/>
  <c r="C24" i="6"/>
  <c r="C23" i="6"/>
  <c r="C22" i="6"/>
  <c r="C21" i="6"/>
  <c r="C20" i="6"/>
  <c r="D20" i="6" s="1"/>
  <c r="E36" i="6"/>
  <c r="G6" i="6" l="1"/>
  <c r="P6" i="6"/>
  <c r="P12" i="6" s="1"/>
  <c r="G11" i="6" s="1"/>
  <c r="H11" i="6" s="1"/>
  <c r="J11" i="6" s="1"/>
  <c r="D36" i="6" s="1"/>
  <c r="C12" i="6"/>
  <c r="E8" i="5" s="1"/>
  <c r="C19" i="6"/>
  <c r="G36" i="6"/>
  <c r="G35" i="6"/>
  <c r="G34" i="6"/>
  <c r="G33" i="6"/>
  <c r="G32" i="6"/>
  <c r="L25" i="6"/>
  <c r="N24" i="6"/>
  <c r="M24" i="6"/>
  <c r="H24" i="6"/>
  <c r="E21" i="6"/>
  <c r="K18" i="6"/>
  <c r="F12" i="6"/>
  <c r="H10" i="6"/>
  <c r="J10" i="6" s="1"/>
  <c r="D35" i="6" s="1"/>
  <c r="H9" i="6"/>
  <c r="J9" i="6" s="1"/>
  <c r="D34" i="6" s="1"/>
  <c r="H8" i="6"/>
  <c r="J8" i="6" s="1"/>
  <c r="D33" i="6" s="1"/>
  <c r="H7" i="6"/>
  <c r="J7" i="6" s="1"/>
  <c r="D32" i="6" s="1"/>
  <c r="P24" i="6" l="1"/>
  <c r="K20" i="6"/>
  <c r="K19" i="6"/>
  <c r="K21" i="6"/>
  <c r="K22" i="6"/>
  <c r="K23" i="6"/>
  <c r="F21" i="6"/>
  <c r="C25" i="6"/>
  <c r="E19" i="6"/>
  <c r="F19" i="6" s="1"/>
  <c r="F20" i="6"/>
  <c r="E23" i="6"/>
  <c r="M23" i="6" s="1"/>
  <c r="E22" i="6"/>
  <c r="M22" i="6" s="1"/>
  <c r="F23" i="6" l="1"/>
  <c r="G12" i="3"/>
  <c r="C8" i="26" s="1"/>
  <c r="F22" i="6"/>
  <c r="G22" i="6" s="1"/>
  <c r="H6" i="6"/>
  <c r="G12" i="6"/>
  <c r="C9" i="26" s="1"/>
  <c r="G23" i="6"/>
  <c r="G20" i="6"/>
  <c r="G21" i="6"/>
  <c r="G19" i="6"/>
  <c r="H19" i="6" s="1"/>
  <c r="O19" i="6" s="1"/>
  <c r="E25" i="6"/>
  <c r="K18" i="3"/>
  <c r="C21" i="26" l="1"/>
  <c r="G5" i="36" s="1"/>
  <c r="F25" i="6"/>
  <c r="H23" i="6"/>
  <c r="O23" i="6" s="1"/>
  <c r="P23" i="6" s="1"/>
  <c r="R23" i="6" s="1"/>
  <c r="E35" i="6" s="1"/>
  <c r="H21" i="6"/>
  <c r="H12" i="6"/>
  <c r="E10" i="5" s="1"/>
  <c r="J6" i="6"/>
  <c r="M25" i="6"/>
  <c r="G25" i="6"/>
  <c r="N25" i="6"/>
  <c r="H20" i="6"/>
  <c r="O20" i="6" s="1"/>
  <c r="P20" i="6" s="1"/>
  <c r="R20" i="6" s="1"/>
  <c r="E32" i="6" s="1"/>
  <c r="H22" i="6"/>
  <c r="O22" i="6" s="1"/>
  <c r="P22" i="6" s="1"/>
  <c r="R22" i="6" s="1"/>
  <c r="E34" i="6" s="1"/>
  <c r="G36" i="3"/>
  <c r="G35" i="3"/>
  <c r="G34" i="3"/>
  <c r="G33" i="3"/>
  <c r="G32" i="3"/>
  <c r="I5" i="36" l="1"/>
  <c r="J12" i="6"/>
  <c r="D31" i="6"/>
  <c r="O21" i="6"/>
  <c r="P21" i="6" s="1"/>
  <c r="R21" i="6" s="1"/>
  <c r="E33" i="6" s="1"/>
  <c r="P19" i="6"/>
  <c r="H25" i="6"/>
  <c r="F34" i="5"/>
  <c r="C34" i="5"/>
  <c r="D31" i="5" l="1"/>
  <c r="D30" i="5"/>
  <c r="O25" i="6"/>
  <c r="P25" i="6"/>
  <c r="R19" i="6"/>
  <c r="D33" i="5"/>
  <c r="D32" i="5"/>
  <c r="R25" i="6" l="1"/>
  <c r="E31" i="6"/>
  <c r="D34" i="5"/>
  <c r="C20" i="3" l="1"/>
  <c r="C21" i="3"/>
  <c r="E21" i="3" s="1"/>
  <c r="F21" i="3" s="1"/>
  <c r="C22" i="3"/>
  <c r="E22" i="3" s="1"/>
  <c r="F22" i="3" s="1"/>
  <c r="C23" i="3"/>
  <c r="E23" i="3" s="1"/>
  <c r="F23" i="3" s="1"/>
  <c r="C24" i="3"/>
  <c r="L25" i="3"/>
  <c r="K19" i="3"/>
  <c r="H11" i="3"/>
  <c r="J11" i="3" s="1"/>
  <c r="D36" i="3" s="1"/>
  <c r="H9" i="3"/>
  <c r="J9" i="3" s="1"/>
  <c r="D34" i="3" s="1"/>
  <c r="H8" i="3"/>
  <c r="J8" i="3" s="1"/>
  <c r="D33" i="3" s="1"/>
  <c r="F12" i="3"/>
  <c r="H10" i="3"/>
  <c r="J10" i="3" s="1"/>
  <c r="D35" i="3" s="1"/>
  <c r="E20" i="3" l="1"/>
  <c r="F20" i="3" s="1"/>
  <c r="F36" i="3"/>
  <c r="H36" i="3" s="1"/>
  <c r="F36" i="6"/>
  <c r="H36" i="6" s="1"/>
  <c r="C19" i="3"/>
  <c r="C25" i="3" s="1"/>
  <c r="K22" i="3"/>
  <c r="K20" i="3"/>
  <c r="K23" i="3"/>
  <c r="K21" i="3"/>
  <c r="C12" i="3"/>
  <c r="D8" i="5" s="1"/>
  <c r="H7" i="3"/>
  <c r="J7" i="3" s="1"/>
  <c r="D32" i="3" s="1"/>
  <c r="E19" i="3" l="1"/>
  <c r="F19" i="3" s="1"/>
  <c r="G19" i="3" s="1"/>
  <c r="G20" i="3"/>
  <c r="G22" i="3"/>
  <c r="J6" i="3"/>
  <c r="D31" i="3" s="1"/>
  <c r="G21" i="3"/>
  <c r="G23" i="3"/>
  <c r="H12" i="3"/>
  <c r="D10" i="5" s="1"/>
  <c r="C42" i="26" s="1"/>
  <c r="C44" i="26" l="1"/>
  <c r="E25" i="3"/>
  <c r="D37" i="3"/>
  <c r="D37" i="6"/>
  <c r="H24" i="3"/>
  <c r="P24" i="3" s="1"/>
  <c r="H22" i="3"/>
  <c r="H20" i="3"/>
  <c r="F25" i="3"/>
  <c r="M25" i="3"/>
  <c r="H23" i="3"/>
  <c r="H21" i="3"/>
  <c r="J12" i="3"/>
  <c r="C47" i="26" l="1"/>
  <c r="Q18" i="5" s="1"/>
  <c r="G6" i="36"/>
  <c r="O21" i="3"/>
  <c r="P21" i="3" s="1"/>
  <c r="R21" i="3" s="1"/>
  <c r="O20" i="3"/>
  <c r="P20" i="3" s="1"/>
  <c r="R20" i="3" s="1"/>
  <c r="O23" i="3"/>
  <c r="P23" i="3" s="1"/>
  <c r="R23" i="3" s="1"/>
  <c r="O22" i="3"/>
  <c r="P22" i="3" s="1"/>
  <c r="R22" i="3" s="1"/>
  <c r="G25" i="3"/>
  <c r="H19" i="3"/>
  <c r="O19" i="3" s="1"/>
  <c r="P19" i="3" s="1"/>
  <c r="R19" i="3" s="1"/>
  <c r="E31" i="3" s="1"/>
  <c r="I6" i="36" l="1"/>
  <c r="E33" i="3"/>
  <c r="F33" i="3" s="1"/>
  <c r="H33" i="3" s="1"/>
  <c r="F33" i="6"/>
  <c r="H33" i="6" s="1"/>
  <c r="E35" i="3"/>
  <c r="F35" i="3" s="1"/>
  <c r="H35" i="3" s="1"/>
  <c r="F35" i="6"/>
  <c r="H35" i="6" s="1"/>
  <c r="E34" i="3"/>
  <c r="F34" i="3" s="1"/>
  <c r="H34" i="3" s="1"/>
  <c r="F34" i="6"/>
  <c r="H34" i="6" s="1"/>
  <c r="E32" i="3"/>
  <c r="F32" i="3" s="1"/>
  <c r="H32" i="3" s="1"/>
  <c r="F32" i="6"/>
  <c r="H32" i="6" s="1"/>
  <c r="H25" i="3"/>
  <c r="O25" i="3"/>
  <c r="N25" i="3"/>
  <c r="P25" i="3" l="1"/>
  <c r="F31" i="3" l="1"/>
  <c r="F31" i="6"/>
  <c r="E37" i="6"/>
  <c r="R25" i="3"/>
  <c r="H31" i="3" l="1"/>
  <c r="H37" i="3" s="1"/>
  <c r="D11" i="5" s="1"/>
  <c r="E37" i="3"/>
  <c r="F37" i="3"/>
  <c r="F37" i="6"/>
  <c r="H31" i="6"/>
  <c r="H37" i="6" s="1"/>
  <c r="D12" i="5" l="1"/>
  <c r="E11" i="5"/>
  <c r="E12" i="5" s="1"/>
  <c r="E15" i="5" s="1"/>
  <c r="D15" i="5" l="1"/>
  <c r="E17" i="5"/>
  <c r="E25" i="18"/>
  <c r="D20" i="18"/>
  <c r="F20" i="18"/>
  <c r="F25" i="18" s="1"/>
  <c r="D17" i="5" l="1"/>
  <c r="G20" i="18"/>
  <c r="N20" i="18" s="1"/>
  <c r="N25" i="18" s="1"/>
  <c r="G25" i="18" l="1"/>
  <c r="H20" i="18"/>
  <c r="O20" i="18" s="1"/>
  <c r="H25" i="18" l="1"/>
  <c r="O25" i="18"/>
  <c r="P20" i="18"/>
  <c r="P25" i="18" l="1"/>
  <c r="R20" i="18"/>
  <c r="R25" i="18" l="1"/>
  <c r="E32" i="18"/>
  <c r="F32" i="18" l="1"/>
  <c r="E37" i="18"/>
  <c r="F37" i="18" l="1"/>
  <c r="H32" i="18"/>
  <c r="H37" i="18" s="1"/>
  <c r="L11" i="5" s="1"/>
  <c r="L12" i="5" s="1"/>
  <c r="L15" i="5" l="1"/>
  <c r="Q12" i="5"/>
  <c r="L17" i="5" l="1"/>
  <c r="Q17" i="5" s="1"/>
  <c r="Q15" i="5"/>
  <c r="G7" i="36" s="1"/>
  <c r="I7" i="36" l="1"/>
  <c r="Q16" i="5"/>
  <c r="G8" i="36" s="1"/>
  <c r="Q19" i="5"/>
  <c r="Q24" i="5" s="1"/>
  <c r="E32" i="5" l="1"/>
  <c r="G32" i="5" s="1"/>
  <c r="E30" i="5"/>
  <c r="E33" i="5"/>
  <c r="G33" i="5" s="1"/>
  <c r="E31" i="5"/>
  <c r="G31" i="5" s="1"/>
  <c r="I8" i="36"/>
  <c r="G9" i="36"/>
  <c r="I9" i="36"/>
  <c r="I11" i="36" l="1"/>
  <c r="J11" i="36" s="1"/>
  <c r="J9" i="36"/>
  <c r="G30" i="5"/>
  <c r="E3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6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 shapeId="0" xr:uid="{00000000-0006-0000-0200-000002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 shapeId="0" xr:uid="{00000000-0006-0000-0200-000003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 shapeId="0" xr:uid="{00000000-0006-0000-0200-000004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 shapeId="0" xr:uid="{00000000-0006-0000-0200-000005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6" authorId="0" shapeId="0" xr:uid="{00000000-0006-0000-0B00-000001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 shapeId="0" xr:uid="{00000000-0006-0000-0B00-000002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 shapeId="0" xr:uid="{00000000-0006-0000-0B00-000003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 shapeId="0" xr:uid="{00000000-0006-0000-0B00-000004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 shapeId="0" xr:uid="{00000000-0006-0000-0B00-000005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6" authorId="0" shapeId="0" xr:uid="{00000000-0006-0000-0D00-000001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 shapeId="0" xr:uid="{00000000-0006-0000-0D00-000002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 shapeId="0" xr:uid="{00000000-0006-0000-0D00-000003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 shapeId="0" xr:uid="{00000000-0006-0000-0D00-000004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 shapeId="0" xr:uid="{00000000-0006-0000-0D00-000005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6" authorId="0" shapeId="0" xr:uid="{00000000-0006-0000-0E00-000001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 shapeId="0" xr:uid="{00000000-0006-0000-0E00-000002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 shapeId="0" xr:uid="{00000000-0006-0000-0E00-000003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 shapeId="0" xr:uid="{00000000-0006-0000-0E00-000004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 shapeId="0" xr:uid="{00000000-0006-0000-0E00-000005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6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 shapeId="0" xr:uid="{00000000-0006-0000-0300-000002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 shapeId="0" xr:uid="{00000000-0006-0000-0300-000003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 shapeId="0" xr:uid="{00000000-0006-0000-0300-000004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 shapeId="0" xr:uid="{00000000-0006-0000-0300-000005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6" authorId="0" shapeId="0" xr:uid="{00000000-0006-0000-0400-000001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 shapeId="0" xr:uid="{00000000-0006-0000-0400-000002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 shapeId="0" xr:uid="{00000000-0006-0000-0400-000003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 shapeId="0" xr:uid="{00000000-0006-0000-0400-000004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 shapeId="0" xr:uid="{00000000-0006-0000-0400-000005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6" authorId="0" shapeId="0" xr:uid="{00000000-0006-0000-0500-000001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 shapeId="0" xr:uid="{00000000-0006-0000-0500-000002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 shapeId="0" xr:uid="{00000000-0006-0000-0500-000003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 shapeId="0" xr:uid="{00000000-0006-0000-0500-000004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 shapeId="0" xr:uid="{00000000-0006-0000-0500-000005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6" authorId="0" shapeId="0" xr:uid="{00000000-0006-0000-0600-000001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 shapeId="0" xr:uid="{00000000-0006-0000-0600-000002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 shapeId="0" xr:uid="{00000000-0006-0000-0600-000003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 shapeId="0" xr:uid="{00000000-0006-0000-0600-000004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 shapeId="0" xr:uid="{00000000-0006-0000-0600-000005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6" authorId="0" shapeId="0" xr:uid="{00000000-0006-0000-0700-000001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 shapeId="0" xr:uid="{00000000-0006-0000-0700-000002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 shapeId="0" xr:uid="{00000000-0006-0000-0700-000003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 shapeId="0" xr:uid="{00000000-0006-0000-0700-000004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 shapeId="0" xr:uid="{00000000-0006-0000-0700-000005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6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 shapeId="0" xr:uid="{00000000-0006-0000-0800-000002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 shapeId="0" xr:uid="{00000000-0006-0000-0800-000003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 shapeId="0" xr:uid="{00000000-0006-0000-0800-000004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 shapeId="0" xr:uid="{00000000-0006-0000-0800-000005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6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 shapeId="0" xr:uid="{00000000-0006-0000-0900-000002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 shapeId="0" xr:uid="{00000000-0006-0000-0900-000003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 shapeId="0" xr:uid="{00000000-0006-0000-0900-000004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 shapeId="0" xr:uid="{00000000-0006-0000-0900-000005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6" authorId="0" shapeId="0" xr:uid="{00000000-0006-0000-0A00-000001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7" authorId="0" shapeId="0" xr:uid="{00000000-0006-0000-0A00-000002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8" authorId="0" shapeId="0" xr:uid="{00000000-0006-0000-0A00-000003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9" authorId="0" shapeId="0" xr:uid="{00000000-0006-0000-0A00-000004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  <comment ref="G10" authorId="0" shapeId="0" xr:uid="{00000000-0006-0000-0A00-000005000000}">
      <text>
        <r>
          <rPr>
            <b/>
            <sz val="10"/>
            <color indexed="81"/>
            <rFont val="Tahoma"/>
            <family val="2"/>
          </rPr>
          <t xml:space="preserve"> :</t>
        </r>
        <r>
          <rPr>
            <sz val="10"/>
            <color indexed="81"/>
            <rFont val="Tahoma"/>
            <family val="2"/>
          </rPr>
          <t xml:space="preserve">
Calculating a half year-of depr expense</t>
        </r>
      </text>
    </comment>
  </commentList>
</comments>
</file>

<file path=xl/sharedStrings.xml><?xml version="1.0" encoding="utf-8"?>
<sst xmlns="http://schemas.openxmlformats.org/spreadsheetml/2006/main" count="1170" uniqueCount="141">
  <si>
    <t>Line Number</t>
  </si>
  <si>
    <t>Schedule</t>
  </si>
  <si>
    <t>Forecasted Period Calendar 2022</t>
  </si>
  <si>
    <t>Less: Costs Recovered Through a Forecasted  PRP in 2022</t>
  </si>
  <si>
    <t>Forecasted Base Revenue Requirements with PRP Revenue Requirement Removed</t>
  </si>
  <si>
    <t>Difference</t>
  </si>
  <si>
    <t>Cost of gas</t>
  </si>
  <si>
    <t>Operations &amp; maintenance expense</t>
  </si>
  <si>
    <t>Depreciation expense</t>
  </si>
  <si>
    <t>Taxes other than income taxes</t>
  </si>
  <si>
    <t>Return</t>
  </si>
  <si>
    <t>Income tax liability</t>
  </si>
  <si>
    <t>Total revenue requirements</t>
  </si>
  <si>
    <t>Revenues at present rates</t>
  </si>
  <si>
    <t>*</t>
  </si>
  <si>
    <t>Revenue deficiency</t>
  </si>
  <si>
    <t>* Amout included in revenue at present rates reflective of current PRP charges applied to test year billings.</t>
  </si>
  <si>
    <t>Delta Natural Gas Company, Inc.</t>
  </si>
  <si>
    <t>Pipe Replacement Program Filing</t>
  </si>
  <si>
    <r>
      <t xml:space="preserve">Program Year Ended: </t>
    </r>
    <r>
      <rPr>
        <b/>
        <u/>
        <sz val="11"/>
        <color theme="1"/>
        <rFont val="Calibri"/>
        <family val="2"/>
        <scheme val="minor"/>
      </rPr>
      <t>December 31, 2022</t>
    </r>
  </si>
  <si>
    <r>
      <t xml:space="preserve">Rates Effective: </t>
    </r>
    <r>
      <rPr>
        <b/>
        <u/>
        <sz val="11"/>
        <color theme="1"/>
        <rFont val="Calibri"/>
        <family val="2"/>
        <scheme val="minor"/>
      </rPr>
      <t>May 1, 2023</t>
    </r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</si>
  <si>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</si>
  <si>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</si>
  <si>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</si>
  <si>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</si>
  <si>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</si>
  <si>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</si>
  <si>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</si>
  <si>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</si>
  <si>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</si>
  <si>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</si>
  <si>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</si>
  <si>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</si>
  <si>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</si>
  <si>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Total</t>
  </si>
  <si>
    <t>Total annual expenditures under the PRP (Schedule II)</t>
  </si>
  <si>
    <t>Less:</t>
  </si>
  <si>
    <t>Accumulated depreciation</t>
  </si>
  <si>
    <t>Accumulated deferred income taxes</t>
  </si>
  <si>
    <t>Net PRP Rate Base, as of December 31, 2022</t>
  </si>
  <si>
    <t>WACOC, per case no 2010-00116</t>
  </si>
  <si>
    <t>Allowed Return</t>
  </si>
  <si>
    <t>Tax expansion factor, w PSC (per Case No. 2010-00116)</t>
  </si>
  <si>
    <t>Return, grossed up for income taxes</t>
  </si>
  <si>
    <t>Cost of Service Items (Schedule III)</t>
  </si>
  <si>
    <t>Current Year PRP Adjustment</t>
  </si>
  <si>
    <t>Balancing Adjustment</t>
  </si>
  <si>
    <t>Prior Year PRP Adjustment</t>
  </si>
  <si>
    <t>Less: Actual Collections of Prior Year PRP Adjustment May 2022 through February 2023</t>
  </si>
  <si>
    <t>Less: Estimated Collections March 2023 and April 2023</t>
  </si>
  <si>
    <t>Total PRP Adjustment</t>
  </si>
  <si>
    <t>Average</t>
  </si>
  <si>
    <t># of Customers</t>
  </si>
  <si>
    <t>Calculated Net Revenue</t>
  </si>
  <si>
    <t>Allocated</t>
  </si>
  <si>
    <t>for the 12 months</t>
  </si>
  <si>
    <t>Monthly</t>
  </si>
  <si>
    <t>@ Proposed Rates</t>
  </si>
  <si>
    <t>Class</t>
  </si>
  <si>
    <t>PRP</t>
  </si>
  <si>
    <t>ended</t>
  </si>
  <si>
    <t>in Case No. 2021-00185</t>
  </si>
  <si>
    <t>Allocation</t>
  </si>
  <si>
    <t>Adjustment</t>
  </si>
  <si>
    <t>December 31, 2022</t>
  </si>
  <si>
    <t>Rate</t>
  </si>
  <si>
    <t>Residential</t>
  </si>
  <si>
    <t>Small Non-Residential</t>
  </si>
  <si>
    <t>Large Non-Residential</t>
  </si>
  <si>
    <t>Interruptible</t>
  </si>
  <si>
    <t xml:space="preserve">Calendar Year </t>
  </si>
  <si>
    <t xml:space="preserve"> </t>
  </si>
  <si>
    <t>PRP Worksheet</t>
  </si>
  <si>
    <t>A</t>
  </si>
  <si>
    <t>Book Depr</t>
  </si>
  <si>
    <t xml:space="preserve"> Book Depreciation Reserve</t>
  </si>
  <si>
    <t>Book</t>
  </si>
  <si>
    <t>Year</t>
  </si>
  <si>
    <t>Depreciation</t>
  </si>
  <si>
    <t>Net Book</t>
  </si>
  <si>
    <t>COR</t>
  </si>
  <si>
    <t>Investment</t>
  </si>
  <si>
    <t>Beginning</t>
  </si>
  <si>
    <t>Expense</t>
  </si>
  <si>
    <t>Ending</t>
  </si>
  <si>
    <t>Value</t>
  </si>
  <si>
    <t>Depr</t>
  </si>
  <si>
    <t>Distribution Mains</t>
  </si>
  <si>
    <t>Transmission Mains</t>
  </si>
  <si>
    <t>Services</t>
  </si>
  <si>
    <t>Gathering Lines</t>
  </si>
  <si>
    <t>Storage Lines</t>
  </si>
  <si>
    <t>Cost of Removal</t>
  </si>
  <si>
    <t>various</t>
  </si>
  <si>
    <t>Qualifying Tax</t>
  </si>
  <si>
    <t>MACRS</t>
  </si>
  <si>
    <t>Tax Depreciation Reserve</t>
  </si>
  <si>
    <t>Tax</t>
  </si>
  <si>
    <t>Bonus</t>
  </si>
  <si>
    <t>Depreciable</t>
  </si>
  <si>
    <t>YEAR</t>
  </si>
  <si>
    <t>Percentage</t>
  </si>
  <si>
    <t>Additions</t>
  </si>
  <si>
    <t>Base</t>
  </si>
  <si>
    <t>Tax Life</t>
  </si>
  <si>
    <t>NA</t>
  </si>
  <si>
    <t xml:space="preserve">Cumulative </t>
  </si>
  <si>
    <t>Net Book Value</t>
  </si>
  <si>
    <t>Timing</t>
  </si>
  <si>
    <t>Statutory</t>
  </si>
  <si>
    <t>Deferred</t>
  </si>
  <si>
    <t>Income Taxes</t>
  </si>
  <si>
    <t>Depreciation rate for lines 1-5 exclude cost of removal rate. Provision for cost of removal on PRP assets is reflected on line 6.</t>
  </si>
  <si>
    <t xml:space="preserve">                    -  </t>
  </si>
  <si>
    <t>B</t>
  </si>
  <si>
    <t>In December, 2017, tax law was enacted to reduce the federal corporate income tax rate to 21%.</t>
  </si>
  <si>
    <t>Delta remeasured its deferred income taxes using the 21% federal rate as of December 31, 2017, including deferred taxes on PRP assets.</t>
  </si>
  <si>
    <t xml:space="preserve">The reduction in deferred taxes is being returned to customers through Case No. 2018-00040. </t>
  </si>
  <si>
    <t xml:space="preserve">PRP assets for years subsequent to 2017 have been measured at the reduced tax rate. </t>
  </si>
  <si>
    <t>In December, 2017, tax law was enacted to reduce the federal corporate income tax rate to 21%. (See effective tax rate calculation below.)</t>
  </si>
  <si>
    <t>Effective Tax Rate Calculation</t>
  </si>
  <si>
    <t>Statutory federal income tax rate</t>
  </si>
  <si>
    <t>State income taxes, net of federal benefit</t>
  </si>
  <si>
    <t xml:space="preserve">Effective income tax rate </t>
  </si>
  <si>
    <t xml:space="preserve">Year 1 for PRP assets assumes a half year of depreciation expense. </t>
  </si>
  <si>
    <t>Schedule III</t>
  </si>
  <si>
    <t>Cost of Service Impact from PRP</t>
  </si>
  <si>
    <t>Increased depreciation expense (Schedule II)</t>
  </si>
  <si>
    <t>Operating expense reductions</t>
  </si>
  <si>
    <t>Maintenance of Transmission and Distribution Mains, per Case 2010-0116</t>
  </si>
  <si>
    <t>Current Year Actual Expense</t>
  </si>
  <si>
    <t>Decrease in Operating Expense</t>
  </si>
  <si>
    <t>Increased property tax expense</t>
  </si>
  <si>
    <t>December 31, 2021</t>
  </si>
  <si>
    <t>Net Book Value, PSC Report Page 110</t>
  </si>
  <si>
    <t>2022 Property Tax Expense</t>
  </si>
  <si>
    <t>Average ad valorem tax rate</t>
  </si>
  <si>
    <t>PRP Net Book Value</t>
  </si>
  <si>
    <t>PRP Property Tax</t>
  </si>
  <si>
    <t>Total increased cost of service</t>
  </si>
  <si>
    <t>Property tax expense for current year is based on plant balances at the end of the prior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</si>
</sst>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00%"/>
    <numFmt numFmtId="168" formatCode="_(* #,##0.00000_);_(* \(#,##0.00000\);_(* &quot;-&quot;??_);_(@_)"/>
    <numFmt numFmtId="169" formatCode="0.000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u val="singleAccounting"/>
      <sz val="11"/>
      <name val="Times New Roman"/>
      <family val="1"/>
    </font>
    <font>
      <sz val="11"/>
      <name val="Times New Roman"/>
      <family val="1"/>
    </font>
    <font>
      <u val="doubleAccounting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30">
    <xf numFmtId="0" fontId="0" fillId="0" borderId="0" xfId="0"/>
    <xf numFmtId="169" fontId="0" fillId="0" borderId="0" xfId="2" applyNumberFormat="1" applyFont="1"/>
    <xf numFmtId="10" fontId="4" fillId="0" borderId="0" xfId="0" applyNumberFormat="1" applyFont="1" applyFill="1"/>
    <xf numFmtId="164" fontId="4" fillId="0" borderId="1" xfId="1" applyNumberFormat="1" applyFont="1" applyFill="1" applyBorder="1" applyAlignment="1">
      <alignment horizontal="center"/>
    </xf>
    <xf numFmtId="0" fontId="0" fillId="0" borderId="0" xfId="0" applyFill="1"/>
    <xf numFmtId="164" fontId="0" fillId="0" borderId="0" xfId="0" applyNumberFormat="1" applyFill="1"/>
    <xf numFmtId="164" fontId="0" fillId="0" borderId="1" xfId="0" applyNumberFormat="1" applyFill="1" applyBorder="1"/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0" fontId="0" fillId="0" borderId="0" xfId="2" applyNumberFormat="1" applyFont="1" applyFill="1"/>
    <xf numFmtId="0" fontId="9" fillId="0" borderId="0" xfId="0" applyFont="1" applyFill="1" applyAlignment="1">
      <alignment horizontal="right"/>
    </xf>
    <xf numFmtId="164" fontId="0" fillId="0" borderId="1" xfId="0" applyNumberForma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5" fontId="0" fillId="0" borderId="0" xfId="3" applyNumberFormat="1" applyFont="1" applyFill="1"/>
    <xf numFmtId="164" fontId="0" fillId="0" borderId="0" xfId="1" applyNumberFormat="1" applyFont="1" applyFill="1"/>
    <xf numFmtId="0" fontId="0" fillId="0" borderId="0" xfId="0" applyFill="1"/>
    <xf numFmtId="0" fontId="0" fillId="0" borderId="0" xfId="0" applyFill="1" applyBorder="1"/>
    <xf numFmtId="164" fontId="0" fillId="0" borderId="1" xfId="1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0" fontId="0" fillId="0" borderId="1" xfId="2" applyNumberFormat="1" applyFont="1" applyFill="1" applyBorder="1"/>
    <xf numFmtId="0" fontId="0" fillId="0" borderId="0" xfId="0" applyFill="1"/>
    <xf numFmtId="0" fontId="2" fillId="0" borderId="0" xfId="0" applyFont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165" fontId="0" fillId="0" borderId="1" xfId="1" applyNumberFormat="1" applyFont="1" applyFill="1" applyBorder="1" applyAlignment="1">
      <alignment vertical="center"/>
    </xf>
    <xf numFmtId="165" fontId="2" fillId="0" borderId="0" xfId="3" applyNumberFormat="1" applyFont="1" applyFill="1" applyAlignment="1">
      <alignment vertical="center"/>
    </xf>
    <xf numFmtId="164" fontId="1" fillId="0" borderId="0" xfId="1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165" fontId="0" fillId="0" borderId="0" xfId="0" applyNumberFormat="1" applyFill="1" applyBorder="1" applyAlignment="1">
      <alignment vertical="center"/>
    </xf>
    <xf numFmtId="165" fontId="2" fillId="0" borderId="0" xfId="0" applyNumberFormat="1" applyFont="1" applyFill="1" applyAlignment="1">
      <alignment vertical="center"/>
    </xf>
    <xf numFmtId="0" fontId="2" fillId="0" borderId="0" xfId="0" quotePrefix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165" fontId="4" fillId="0" borderId="0" xfId="3" applyNumberFormat="1" applyFont="1" applyFill="1" applyAlignment="1">
      <alignment vertical="center"/>
    </xf>
    <xf numFmtId="166" fontId="0" fillId="0" borderId="0" xfId="2" applyNumberFormat="1" applyFont="1" applyFill="1" applyAlignment="1">
      <alignment vertical="center"/>
    </xf>
    <xf numFmtId="44" fontId="0" fillId="0" borderId="0" xfId="0" applyNumberFormat="1" applyFill="1" applyBorder="1" applyAlignment="1">
      <alignment vertical="center"/>
    </xf>
    <xf numFmtId="166" fontId="0" fillId="0" borderId="0" xfId="2" applyNumberFormat="1" applyFont="1" applyFill="1" applyBorder="1" applyAlignment="1">
      <alignment vertical="center"/>
    </xf>
    <xf numFmtId="166" fontId="0" fillId="0" borderId="1" xfId="2" applyNumberFormat="1" applyFont="1" applyFill="1" applyBorder="1" applyAlignment="1">
      <alignment vertical="center"/>
    </xf>
    <xf numFmtId="44" fontId="0" fillId="0" borderId="1" xfId="0" applyNumberForma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9" fontId="3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6" fontId="4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9" fontId="0" fillId="0" borderId="0" xfId="0" applyNumberForma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166" fontId="8" fillId="0" borderId="0" xfId="0" applyNumberFormat="1" applyFont="1" applyFill="1" applyAlignment="1">
      <alignment vertical="center"/>
    </xf>
    <xf numFmtId="164" fontId="0" fillId="0" borderId="0" xfId="0" applyNumberFormat="1" applyFill="1" applyBorder="1" applyAlignment="1">
      <alignment vertical="center"/>
    </xf>
    <xf numFmtId="9" fontId="4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43" fontId="0" fillId="0" borderId="1" xfId="0" applyNumberFormat="1" applyFill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0" fontId="0" fillId="0" borderId="0" xfId="0" applyNumberFormat="1" applyFill="1" applyAlignment="1">
      <alignment vertical="center"/>
    </xf>
    <xf numFmtId="10" fontId="4" fillId="0" borderId="0" xfId="0" applyNumberFormat="1" applyFont="1" applyFill="1" applyAlignment="1">
      <alignment vertical="center"/>
    </xf>
    <xf numFmtId="10" fontId="0" fillId="0" borderId="1" xfId="0" applyNumberFormat="1" applyFill="1" applyBorder="1" applyAlignment="1">
      <alignment vertical="center"/>
    </xf>
    <xf numFmtId="0" fontId="0" fillId="0" borderId="0" xfId="0"/>
    <xf numFmtId="0" fontId="10" fillId="0" borderId="0" xfId="0" applyFont="1"/>
    <xf numFmtId="10" fontId="0" fillId="0" borderId="0" xfId="2" applyNumberFormat="1" applyFont="1"/>
    <xf numFmtId="10" fontId="0" fillId="0" borderId="1" xfId="2" applyNumberFormat="1" applyFont="1" applyBorder="1"/>
    <xf numFmtId="0" fontId="9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vertical="center"/>
    </xf>
    <xf numFmtId="165" fontId="0" fillId="0" borderId="2" xfId="0" applyNumberFormat="1" applyFill="1" applyBorder="1" applyAlignment="1">
      <alignment vertical="center"/>
    </xf>
    <xf numFmtId="165" fontId="0" fillId="0" borderId="1" xfId="3" applyNumberFormat="1" applyFont="1" applyFill="1" applyBorder="1" applyAlignment="1">
      <alignment vertical="center"/>
    </xf>
    <xf numFmtId="15" fontId="0" fillId="0" borderId="0" xfId="0" quotePrefix="1" applyNumberFormat="1" applyFont="1" applyFill="1" applyAlignment="1">
      <alignment vertical="center"/>
    </xf>
    <xf numFmtId="169" fontId="0" fillId="0" borderId="0" xfId="2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69" fontId="0" fillId="0" borderId="0" xfId="0" applyNumberFormat="1"/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2" fillId="0" borderId="1" xfId="1" quotePrefix="1" applyNumberFormat="1" applyFont="1" applyFill="1" applyBorder="1" applyAlignment="1">
      <alignment horizontal="center" vertical="center"/>
    </xf>
    <xf numFmtId="165" fontId="0" fillId="0" borderId="0" xfId="3" applyNumberFormat="1" applyFont="1" applyFill="1" applyAlignment="1">
      <alignment vertical="center"/>
    </xf>
    <xf numFmtId="164" fontId="0" fillId="0" borderId="0" xfId="1" applyNumberFormat="1" applyFont="1" applyFill="1" applyAlignment="1">
      <alignment vertical="center"/>
    </xf>
    <xf numFmtId="164" fontId="0" fillId="0" borderId="1" xfId="1" applyNumberFormat="1" applyFont="1" applyFill="1" applyBorder="1" applyAlignment="1">
      <alignment vertical="center"/>
    </xf>
    <xf numFmtId="167" fontId="0" fillId="0" borderId="1" xfId="2" applyNumberFormat="1" applyFont="1" applyFill="1" applyBorder="1" applyAlignment="1">
      <alignment vertical="center"/>
    </xf>
    <xf numFmtId="168" fontId="0" fillId="0" borderId="1" xfId="1" applyNumberFormat="1" applyFont="1" applyFill="1" applyBorder="1" applyAlignment="1">
      <alignment vertical="center"/>
    </xf>
    <xf numFmtId="165" fontId="0" fillId="0" borderId="0" xfId="0" applyNumberFormat="1" applyFill="1" applyAlignment="1">
      <alignment vertical="center"/>
    </xf>
    <xf numFmtId="165" fontId="1" fillId="0" borderId="0" xfId="3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4" fontId="0" fillId="0" borderId="0" xfId="0" applyNumberFormat="1" applyFill="1" applyAlignment="1">
      <alignment vertical="center"/>
    </xf>
    <xf numFmtId="10" fontId="0" fillId="0" borderId="0" xfId="2" applyNumberFormat="1" applyFont="1" applyFill="1" applyAlignment="1">
      <alignment vertical="center"/>
    </xf>
    <xf numFmtId="165" fontId="0" fillId="0" borderId="0" xfId="3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/>
    <xf numFmtId="164" fontId="4" fillId="0" borderId="1" xfId="1" applyNumberFormat="1" applyFont="1" applyFill="1" applyBorder="1"/>
    <xf numFmtId="164" fontId="3" fillId="0" borderId="0" xfId="1" applyNumberFormat="1" applyFont="1" applyFill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2" fillId="0" borderId="0" xfId="1" applyNumberFormat="1" applyFont="1" applyAlignment="1">
      <alignment horizontal="center" vertical="center"/>
    </xf>
    <xf numFmtId="44" fontId="0" fillId="0" borderId="0" xfId="3" applyFont="1" applyFill="1" applyAlignment="1">
      <alignment vertical="center"/>
    </xf>
    <xf numFmtId="0" fontId="14" fillId="0" borderId="0" xfId="4" applyFont="1" applyAlignment="1">
      <alignment horizontal="center" wrapText="1"/>
    </xf>
    <xf numFmtId="0" fontId="14" fillId="0" borderId="0" xfId="4" applyFont="1" applyAlignment="1">
      <alignment horizontal="center"/>
    </xf>
    <xf numFmtId="0" fontId="14" fillId="0" borderId="0" xfId="4" applyFont="1"/>
    <xf numFmtId="0" fontId="14" fillId="2" borderId="0" xfId="4" applyFont="1" applyFill="1" applyAlignment="1">
      <alignment horizontal="center"/>
    </xf>
    <xf numFmtId="165" fontId="14" fillId="0" borderId="0" xfId="3" applyNumberFormat="1" applyFont="1" applyFill="1"/>
    <xf numFmtId="165" fontId="14" fillId="0" borderId="0" xfId="4" applyNumberFormat="1" applyFont="1"/>
    <xf numFmtId="164" fontId="14" fillId="0" borderId="0" xfId="5" applyNumberFormat="1" applyFont="1" applyFill="1"/>
    <xf numFmtId="164" fontId="14" fillId="0" borderId="0" xfId="5" applyNumberFormat="1" applyFont="1"/>
    <xf numFmtId="164" fontId="13" fillId="0" borderId="0" xfId="5" applyNumberFormat="1" applyFont="1" applyFill="1"/>
    <xf numFmtId="166" fontId="14" fillId="0" borderId="0" xfId="6" applyNumberFormat="1" applyFont="1" applyFill="1"/>
    <xf numFmtId="165" fontId="14" fillId="0" borderId="0" xfId="3" applyNumberFormat="1" applyFont="1"/>
    <xf numFmtId="164" fontId="14" fillId="0" borderId="0" xfId="4" applyNumberFormat="1" applyFont="1"/>
    <xf numFmtId="165" fontId="15" fillId="0" borderId="0" xfId="3" applyNumberFormat="1" applyFont="1" applyFill="1"/>
    <xf numFmtId="164" fontId="15" fillId="0" borderId="0" xfId="5" applyNumberFormat="1" applyFont="1" applyFill="1"/>
    <xf numFmtId="10" fontId="15" fillId="0" borderId="0" xfId="6" applyNumberFormat="1" applyFont="1" applyFill="1"/>
    <xf numFmtId="10" fontId="0" fillId="0" borderId="0" xfId="2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164" fontId="14" fillId="0" borderId="3" xfId="5" applyNumberFormat="1" applyFont="1" applyFill="1" applyBorder="1" applyAlignment="1">
      <alignment horizontal="center" wrapText="1"/>
    </xf>
    <xf numFmtId="43" fontId="14" fillId="0" borderId="3" xfId="5" applyFont="1" applyFill="1" applyBorder="1" applyAlignment="1">
      <alignment horizontal="center" wrapText="1"/>
    </xf>
    <xf numFmtId="43" fontId="13" fillId="0" borderId="3" xfId="5" applyFont="1" applyFill="1" applyBorder="1" applyAlignment="1">
      <alignment horizontal="center" wrapText="1"/>
    </xf>
  </cellXfs>
  <cellStyles count="7">
    <cellStyle name="Comma" xfId="1" builtinId="3"/>
    <cellStyle name="Comma 2" xfId="5" xr:uid="{00000000-0005-0000-0000-000001000000}"/>
    <cellStyle name="Currency" xfId="3" builtinId="4"/>
    <cellStyle name="Normal" xfId="0" builtinId="0"/>
    <cellStyle name="Normal 2" xfId="4" xr:uid="{00000000-0005-0000-0000-000004000000}"/>
    <cellStyle name="Percent" xfId="2" builtinId="5"/>
    <cellStyle name="Percent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9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4.xml"/><Relationship Id="rId34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25.xml"/><Relationship Id="rId47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33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2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23.xml"/><Relationship Id="rId45" Type="http://schemas.openxmlformats.org/officeDocument/2006/relationships/externalLink" Target="externalLinks/externalLink28.xml"/><Relationship Id="rId53" Type="http://schemas.openxmlformats.org/officeDocument/2006/relationships/theme" Target="theme/theme1.xml"/><Relationship Id="rId58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externalLink" Target="externalLinks/externalLink18.xml"/><Relationship Id="rId43" Type="http://schemas.openxmlformats.org/officeDocument/2006/relationships/externalLink" Target="externalLinks/externalLink26.xml"/><Relationship Id="rId48" Type="http://schemas.openxmlformats.org/officeDocument/2006/relationships/externalLink" Target="externalLinks/externalLink31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4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38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29.xml"/><Relationship Id="rId59" Type="http://schemas.openxmlformats.org/officeDocument/2006/relationships/customXml" Target="../customXml/item3.xml"/><Relationship Id="rId20" Type="http://schemas.openxmlformats.org/officeDocument/2006/relationships/externalLink" Target="externalLinks/externalLink3.xml"/><Relationship Id="rId41" Type="http://schemas.openxmlformats.org/officeDocument/2006/relationships/externalLink" Target="externalLinks/externalLink24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19.xml"/><Relationship Id="rId49" Type="http://schemas.openxmlformats.org/officeDocument/2006/relationships/externalLink" Target="externalLinks/externalLink32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4.xml"/><Relationship Id="rId44" Type="http://schemas.openxmlformats.org/officeDocument/2006/relationships/externalLink" Target="externalLinks/externalLink27.xml"/><Relationship Id="rId52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TS1&amp;TS2\DataFar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Models/IT/IT%20Financial%20Model%20Tool/Nisource%20-%20MTC%20Financial%20Management%20Tool%20v20%20(11.1.0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Models/IT/IT%20Financial%20Model%20Tool/2006-08-08%20Nisource%20-%20IT%20Financial%20Management%20Tool_Amendment%203%20Updat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loyd%20Spann/My%20Documents/Excel/2004/BCBSRI/Governance%20Financial%20Management/Service%20Credits/BCBSRI%20Service%20Level%20Credit%20Tracking%20Draft_v11_LDS_0128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MD/Rate%20Case/2008/Class%20Cost%20of%20Service/Sep%2012.%202008/Demand.Commodity%20Stu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rate/CMD/ratecase/1995/EXH10.WK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PayorConsolidated/Accounts/Blue%20Cross/Financials/2003/05/PYR_SVC_BLUERI_AP%20IMAG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-%202016\Schedules\Schedule%20M%20(Revenues)\Sch%20M%20-%20Revenue%20and%20Rate%20Design%20(Forecasted)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ischerRCC/Documents/(Final)%20-%20CKY%20Cost%20of%20Service%20Schedules%20A%20-%20K%20(Base%20Period%20TME%208-31-16,%20Forecast%20Period%20TME%2012-31-17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at65791/Local%20Settings/Temporary%20Internet%20Files/Content.Outlook/PQT8T9TM/Schedule%20C%20&amp;%20D%20-%20Operating%20Income/Sch%20C%20&amp;%20D%20-%20Operating%20Income%20Forecaste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Models/IT/IT%20Financial%20Model%20Tool/Financial%20Models/Nisource%20-%20Customer%20Contact%20Center%20Financial%20Management%20Tool%20v1%20(10.18.0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otes/data/Schedule%20E%20-%20Income%20Taxes/E-1%20Income%20Tax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BMS%20People%20Analysis2.ppt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Documents%20and%20Settings\Catharine%20Lacy\My%20Documents\Work%20Projects\Columbia3\PGA-ACA\(WORKINGCOPY)PGA-EffectiveNovember29,2005\(WORKINGCOPY)PGA-EffectiveNovember29,20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nts%20and%20Settings\MMeade\Desktop\BT%20quote%20template-%20May%202004%20V1.02%20-%20TEST%20FIL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KY/Rate%20Case%20-%202009/Rate%20Case%20Schedules/Base/Schedule%20C%20-%20Operating%20Income/Operating%20Incom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NU%20Return%20on%20Rate%20Base/2003/2003%203rd%20Qtr/NH%20Return%20on%20Rate%20Base%20ReportFiled%20-%2009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KY/Ratecase%20-%202007/Schedules/Workpapers/Payroll%20Tax%20Adjustmen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urcing%20Initiative\ADM%20Support\APR04IMSS,%20v2.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taylor/LOCALS~1/Temp/notesC9812B/CMD%20-%20Cost%20of%20Service%2011-30-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arlouJ/Local%20Settings/Temporary%20Internet%20Files/OLK8/208522/0901Wellpoin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KY\Rate%20Case%20-%202009\Rate%20Case%20Schedules\Historic\Schedules%20A%20-%20L%20-%20Cost%20of%20Service%20and%20Rate%20Base\As%20Filed\CKY%20Cost%20of%20Service%20Schedules%20A%20thru%20L%20December%2031,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ttfs01\data\Documents%20and%20Settings\guajpae1\Local%20Settings\Temporary%20Internet%20Files\OLK17\03%202005%20StorageClosePackag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notes/data/Schedule%20B%20-%20Rate%20Base%20&amp;%20Balance%20Sheet/B-2%20Plant%20&amp;%20Propert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apgbmk001\Data1\DOCUME~1\npatel\LOCALS~1\Temp\IPBS%20Quotation%20Tool%20v2.1%20-%20November%20Issue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ttfs01\data\Users\cmachesney\AppData\Local\Microsoft\Windows\Temporary%20Internet%20Files\Content.Outlook\BE4EFS30\Plant%20DD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rler/My%20Documents/Cendant/Denver%20Resource%20Baselines/Asset%20Tracking%2010_16_01.Lee1%20Rev%20PC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701433~1\LOCALS~1\Temp\PB06BaseSept2004BMSGlobalOutsourceallocations_MA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parkegj\LOCALS~1\Temp\d.My%20Documents.Notes.Data\2004%20GIS\Submitted%20Files\20458p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121726/AppData/Local/Temp/notesC9812B/CMD%202013%20Rate%20Case%20-%20Cost%20of%20Serv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gv/RATECASE/2006%20Rate%20Case%20TME%2012-31-05,%20Proforma%209-30-06/Revenue/TS1&amp;TS2splitworksheet-2005-(4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MD\Rate%20Case\2016\Cost%20of%20Service\CMD%202016%20Rate%20Case%20-%20Cost%20of%20Service%20model%20(WORKING)%20Updated%20for%2012-31-15%20Plant%20Data%2001-14-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wnhamfpp032\ratecomm\Cgv\RATECASE\2006%20Rate%20Case%20TME%2012-31-05,%20Proforma%209-30-06\Revenue\TS1&amp;TS2splitworksheet-2005-(4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PA/Rate%20Case/2008/Forecasted/Adjustments%20-%20O&amp;M%20Expense/Projected%20CAP%20for%20PA%20rate%20case%20test%20year%209-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PA\Rate%20Case\2016\Revenue\CPA%202016%20Rate%20Case%20Exh%20003%20Sch%2001%20Thru%2010%20and%20pgs%2006-10%20(Draf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&amp;B"/>
      <sheetName val="PGA 95 B&amp;B Monica"/>
      <sheetName val="Demand Data"/>
      <sheetName val="Demand Summary"/>
      <sheetName val="ACAvsCGVStorage&amp;Peaking"/>
      <sheetName val="TRANSPORTS-revised"/>
      <sheetName val="TS1&amp;TS2data"/>
      <sheetName val="B&amp;B Tol LVTS"/>
      <sheetName val="B&amp;B Tol TS1"/>
      <sheetName val="B&amp;B Tol TS2"/>
      <sheetName val="B&amp;B Tol All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Pivot"/>
      <sheetName val="A (Input) Inv MO Service Charge"/>
      <sheetName val="B (Input) MO Volumes"/>
      <sheetName val="C (Input) MO ARC RRC Charges"/>
      <sheetName val="D (Output) Volume Analysis"/>
      <sheetName val="E (Calc) MO ARC-RRC Charge"/>
      <sheetName val="F (Valid) MO Service Charge"/>
      <sheetName val="G (Valid) MO ARC-RRC Charge"/>
      <sheetName val="H (Ref) Mnthly Svc Fees"/>
      <sheetName val="I (Ref) Mnthly Baseline Units"/>
      <sheetName val="I(a) (Ref) Mnth Baseline Unit %"/>
      <sheetName val="J (Ref)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R (Input) SLA Achieved"/>
      <sheetName val="S (Calc) Service Credit"/>
      <sheetName val="T (Calc) Srvice Credt True Up"/>
      <sheetName val="U (Valid) Service Credit Sum"/>
      <sheetName val="V (Ref) At Risk"/>
      <sheetName val="W (Ref) Pool Allocation"/>
      <sheetName val="X (Ref) Original SLA"/>
      <sheetName val="(Ref) Invoice Detail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J (Ref) - ARC RRC Rates"/>
      <sheetName val="K Graph (Input)"/>
      <sheetName val="L Graph (Data)"/>
      <sheetName val="M Graph (Baseline)"/>
      <sheetName val="N Graph (RU)"/>
      <sheetName val="New Graph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Q (Ref) SLA Consolidation"/>
      <sheetName val="R (Ref) SLA Updated"/>
      <sheetName val="(Ref) IT Tower (Original)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LCs Due &amp; Recd"/>
      <sheetName val="1 - Totals"/>
      <sheetName val="2 - All Towers"/>
      <sheetName val="3-Pie Chart"/>
      <sheetName val="4-Indiv Towers"/>
      <sheetName val="% Invoice"/>
      <sheetName val="DSUM Explanation"/>
      <sheetName val="DB Functions"/>
      <sheetName val="Membership"/>
      <sheetName val="Infrastructure"/>
      <sheetName val="Blue Card"/>
      <sheetName val="FEP"/>
      <sheetName val="Basic Claims"/>
      <sheetName val="Applications"/>
      <sheetName val="Claims"/>
      <sheetName val="Mo1"/>
      <sheetName val="Mo2"/>
      <sheetName val="Mo3"/>
      <sheetName val="Mo4"/>
      <sheetName val="Mo5"/>
      <sheetName val="Mo6"/>
      <sheetName val="Mo7"/>
      <sheetName val="Mo8"/>
      <sheetName val="Mo9"/>
      <sheetName val="Mo10"/>
      <sheetName val="Mo11"/>
      <sheetName val="Mo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lant"/>
      <sheetName val="Revenue"/>
      <sheetName val="O&amp;M"/>
      <sheetName val="Rate Base &amp; Taxes"/>
      <sheetName val="VLOOKUP"/>
      <sheetName val="Allocations"/>
      <sheetName val="Allocations II"/>
      <sheetName val="Title Page"/>
      <sheetName val="ROR @ Proforma - 1"/>
      <sheetName val="ROR @ Current - 2"/>
      <sheetName val="Gross Plant - 3"/>
      <sheetName val="Depr. Reserve - 4"/>
      <sheetName val="Depr. Expense - 5"/>
      <sheetName val="Operating Rev - 6"/>
      <sheetName val="Dist O&amp;M Expense - 7"/>
      <sheetName val="O&amp;M Expense - 8"/>
      <sheetName val="Taxes Other Than Inc - 9"/>
      <sheetName val="Rate Base - 10"/>
      <sheetName val="Income Tax - 11"/>
      <sheetName val="Allocation Factors - 12"/>
      <sheetName val="Allocation Factors - 13"/>
      <sheetName val="Customer Charge a1"/>
      <sheetName val="Cust-Based Gas Plant a2"/>
      <sheetName val="Customer Charge b1"/>
      <sheetName val="Cust-Based Gas Plant b2"/>
      <sheetName val="Conversion Factors"/>
      <sheetName val="A&amp;E"/>
      <sheetName val="Metric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</v>
          </cell>
          <cell r="B2" t="str">
            <v>DESIGN DAY</v>
          </cell>
          <cell r="C2" t="str">
            <v>NON-COINCIDENT PEAK</v>
          </cell>
          <cell r="D2" t="str">
            <v>11c</v>
          </cell>
          <cell r="E2">
            <v>61900</v>
          </cell>
          <cell r="F2">
            <v>30100</v>
          </cell>
          <cell r="G2">
            <v>21100</v>
          </cell>
          <cell r="H2">
            <v>600</v>
          </cell>
          <cell r="I2">
            <v>10100.000000000002</v>
          </cell>
          <cell r="N2">
            <v>0.48626817447495962</v>
          </cell>
          <cell r="O2">
            <v>0.34087237479806137</v>
          </cell>
          <cell r="P2">
            <v>9.6930533117932146E-3</v>
          </cell>
          <cell r="Q2">
            <v>0.16316639741518582</v>
          </cell>
          <cell r="S2">
            <v>1</v>
          </cell>
        </row>
        <row r="3">
          <cell r="A3">
            <v>2</v>
          </cell>
          <cell r="B3" t="str">
            <v>THROUGHPUT EXCL. TRANSPORTATION</v>
          </cell>
          <cell r="E3">
            <v>3653023.1999999997</v>
          </cell>
          <cell r="F3">
            <v>2196082</v>
          </cell>
          <cell r="G3">
            <v>1401215.8</v>
          </cell>
          <cell r="H3">
            <v>55725.4</v>
          </cell>
          <cell r="I3">
            <v>0</v>
          </cell>
          <cell r="N3">
            <v>0.60116836925645589</v>
          </cell>
          <cell r="O3">
            <v>0.38357703285322692</v>
          </cell>
          <cell r="P3">
            <v>1.5254597890317259E-2</v>
          </cell>
          <cell r="Q3">
            <v>0</v>
          </cell>
          <cell r="S3">
            <v>1</v>
          </cell>
        </row>
        <row r="4">
          <cell r="A4">
            <v>3</v>
          </cell>
          <cell r="B4" t="str">
            <v>TOTAL THROUGHPUT</v>
          </cell>
          <cell r="E4">
            <v>5959250</v>
          </cell>
          <cell r="F4">
            <v>2269801</v>
          </cell>
          <cell r="G4">
            <v>1467726.7</v>
          </cell>
          <cell r="H4">
            <v>55725.4</v>
          </cell>
          <cell r="I4">
            <v>2165996.9000000004</v>
          </cell>
          <cell r="N4">
            <v>0.38088702437387256</v>
          </cell>
          <cell r="O4">
            <v>0.24629386248269497</v>
          </cell>
          <cell r="P4">
            <v>9.3510760582288036E-3</v>
          </cell>
          <cell r="Q4">
            <v>0.36346803708520375</v>
          </cell>
          <cell r="S4">
            <v>1</v>
          </cell>
        </row>
        <row r="5">
          <cell r="A5">
            <v>4</v>
          </cell>
          <cell r="B5" t="str">
            <v>DIRECT ASSIGNMENT - GAS PURCHASE EXPENSE</v>
          </cell>
          <cell r="E5">
            <v>52718497</v>
          </cell>
          <cell r="F5">
            <v>31699928</v>
          </cell>
          <cell r="G5">
            <v>20272155</v>
          </cell>
          <cell r="H5">
            <v>746414</v>
          </cell>
          <cell r="I5">
            <v>0</v>
          </cell>
          <cell r="N5">
            <v>0.60130561005940664</v>
          </cell>
          <cell r="O5">
            <v>0.3845359058700023</v>
          </cell>
          <cell r="P5">
            <v>1.4158484070591011E-2</v>
          </cell>
          <cell r="Q5">
            <v>0</v>
          </cell>
          <cell r="S5">
            <v>1</v>
          </cell>
        </row>
        <row r="6">
          <cell r="A6">
            <v>5</v>
          </cell>
          <cell r="B6" t="str">
            <v>COMPOSITE ALLOCATORS #1 &amp; #3</v>
          </cell>
          <cell r="C6" t="str">
            <v>DEMAND/COMMODITY</v>
          </cell>
          <cell r="D6" t="str">
            <v>11b</v>
          </cell>
          <cell r="E6">
            <v>1.0000000000000002</v>
          </cell>
          <cell r="F6">
            <v>0.43357759942441609</v>
          </cell>
          <cell r="G6">
            <v>0.29358311864037817</v>
          </cell>
          <cell r="H6">
            <v>9.5220646850110099E-3</v>
          </cell>
          <cell r="I6">
            <v>0.2633172172501948</v>
          </cell>
          <cell r="N6">
            <v>0.43357759942441598</v>
          </cell>
          <cell r="O6">
            <v>0.29358311864037812</v>
          </cell>
          <cell r="P6">
            <v>9.5220646850110082E-3</v>
          </cell>
          <cell r="Q6">
            <v>0.26331721725019475</v>
          </cell>
          <cell r="S6">
            <v>1</v>
          </cell>
        </row>
        <row r="7">
          <cell r="A7">
            <v>6</v>
          </cell>
          <cell r="B7" t="str">
            <v>AVERAGE NO. OF CUSTOMERS</v>
          </cell>
          <cell r="E7">
            <v>32348.833333333332</v>
          </cell>
          <cell r="F7">
            <v>28628.833333333332</v>
          </cell>
          <cell r="G7">
            <v>3600.333333333333</v>
          </cell>
          <cell r="H7">
            <v>27</v>
          </cell>
          <cell r="I7">
            <v>92.666666666666671</v>
          </cell>
          <cell r="N7">
            <v>0.88500358075767804</v>
          </cell>
          <cell r="O7">
            <v>0.11129716166992111</v>
          </cell>
          <cell r="P7">
            <v>8.3465142998459508E-4</v>
          </cell>
          <cell r="Q7">
            <v>2.8646061424162646E-3</v>
          </cell>
          <cell r="S7">
            <v>1</v>
          </cell>
        </row>
        <row r="8">
          <cell r="A8">
            <v>7</v>
          </cell>
          <cell r="B8" t="str">
            <v>DIRECT ASSIGNMENT - CONSUMPTION TAX</v>
          </cell>
          <cell r="E8">
            <v>208890</v>
          </cell>
          <cell r="F8">
            <v>94651</v>
          </cell>
          <cell r="G8">
            <v>61203</v>
          </cell>
          <cell r="H8">
            <v>2324</v>
          </cell>
          <cell r="I8">
            <v>50712</v>
          </cell>
          <cell r="N8">
            <v>0.4531140791804299</v>
          </cell>
          <cell r="O8">
            <v>0.29299152664081574</v>
          </cell>
          <cell r="P8">
            <v>1.1125472736847145E-2</v>
          </cell>
          <cell r="Q8">
            <v>0.24276892144190723</v>
          </cell>
          <cell r="S8">
            <v>1</v>
          </cell>
        </row>
        <row r="9">
          <cell r="A9">
            <v>8</v>
          </cell>
          <cell r="B9" t="str">
            <v>CURRENT REVENUE EXCL FORFEITED DIS &amp; OTHER</v>
          </cell>
          <cell r="E9">
            <v>69810883</v>
          </cell>
          <cell r="F9">
            <v>41382846.399999999</v>
          </cell>
          <cell r="G9">
            <v>25296454</v>
          </cell>
          <cell r="H9">
            <v>835580.7</v>
          </cell>
          <cell r="I9">
            <v>2296001.9</v>
          </cell>
          <cell r="N9">
            <v>0.59278503037986208</v>
          </cell>
          <cell r="O9">
            <v>0.36235688352487966</v>
          </cell>
          <cell r="P9">
            <v>1.1969203999324862E-2</v>
          </cell>
          <cell r="Q9">
            <v>3.2888882095933381E-2</v>
          </cell>
          <cell r="S9">
            <v>1</v>
          </cell>
        </row>
        <row r="10">
          <cell r="A10">
            <v>9</v>
          </cell>
          <cell r="B10" t="str">
            <v>DIRECT ASSIGNMENT - CUSTOMER DEPOSITS</v>
          </cell>
          <cell r="E10">
            <v>341775</v>
          </cell>
          <cell r="F10">
            <v>223584</v>
          </cell>
          <cell r="G10">
            <v>118191</v>
          </cell>
          <cell r="H10">
            <v>0</v>
          </cell>
          <cell r="I10">
            <v>0</v>
          </cell>
          <cell r="N10">
            <v>0.6541847706824665</v>
          </cell>
          <cell r="O10">
            <v>0.34581522931753345</v>
          </cell>
          <cell r="P10">
            <v>0</v>
          </cell>
          <cell r="Q10">
            <v>0</v>
          </cell>
          <cell r="S10">
            <v>1</v>
          </cell>
        </row>
        <row r="11">
          <cell r="A11">
            <v>10</v>
          </cell>
          <cell r="B11" t="str">
            <v>DIRECT ASSIGNMENT - FRANCHISE TAX BASED ON GROSS RECEIPTS</v>
          </cell>
          <cell r="E11">
            <v>326619.34039999999</v>
          </cell>
          <cell r="F11">
            <v>183990.008</v>
          </cell>
          <cell r="G11">
            <v>94900.96639999999</v>
          </cell>
          <cell r="H11">
            <v>1789.9260000000011</v>
          </cell>
          <cell r="I11">
            <v>45938.44</v>
          </cell>
          <cell r="N11">
            <v>0.56331632956784949</v>
          </cell>
          <cell r="O11">
            <v>0.29055525702727186</v>
          </cell>
          <cell r="P11">
            <v>5.480159251463607E-3</v>
          </cell>
          <cell r="Q11">
            <v>0.14064825415341511</v>
          </cell>
          <cell r="S11">
            <v>1</v>
          </cell>
        </row>
        <row r="12">
          <cell r="A12">
            <v>11</v>
          </cell>
          <cell r="B12" t="str">
            <v>DIST. PLANT EXCL ACCTS 375.70, 375.71, &amp; 387</v>
          </cell>
          <cell r="E12">
            <v>100881778.80000001</v>
          </cell>
          <cell r="F12">
            <v>59268813.399999999</v>
          </cell>
          <cell r="G12">
            <v>24033605</v>
          </cell>
          <cell r="H12">
            <v>798509.4</v>
          </cell>
          <cell r="I12">
            <v>16780851</v>
          </cell>
          <cell r="N12">
            <v>0.58750761639028504</v>
          </cell>
          <cell r="O12">
            <v>0.23823534126660342</v>
          </cell>
          <cell r="P12">
            <v>7.9152985752071209E-3</v>
          </cell>
          <cell r="Q12">
            <v>0.16634174376790428</v>
          </cell>
          <cell r="S12">
            <v>1</v>
          </cell>
        </row>
        <row r="13">
          <cell r="A13">
            <v>12</v>
          </cell>
          <cell r="B13" t="str">
            <v>GROSS PLANT</v>
          </cell>
          <cell r="E13">
            <v>107211465.59999999</v>
          </cell>
          <cell r="F13">
            <v>62654477.600000001</v>
          </cell>
          <cell r="G13">
            <v>25879233</v>
          </cell>
          <cell r="H13">
            <v>854459.6</v>
          </cell>
          <cell r="I13">
            <v>17823295.400000002</v>
          </cell>
          <cell r="N13">
            <v>0.58440090571805414</v>
          </cell>
          <cell r="O13">
            <v>0.24138493821690654</v>
          </cell>
          <cell r="P13">
            <v>7.9698528064893834E-3</v>
          </cell>
          <cell r="Q13">
            <v>0.16624430325855002</v>
          </cell>
          <cell r="S13">
            <v>1</v>
          </cell>
        </row>
        <row r="14">
          <cell r="A14">
            <v>13</v>
          </cell>
          <cell r="B14" t="str">
            <v>DIRECT PLANT - MAINS</v>
          </cell>
          <cell r="E14">
            <v>58076733</v>
          </cell>
          <cell r="F14">
            <v>25180770.5</v>
          </cell>
          <cell r="G14">
            <v>17050348.399999999</v>
          </cell>
          <cell r="H14">
            <v>553010.4</v>
          </cell>
          <cell r="I14">
            <v>15292603.699999999</v>
          </cell>
          <cell r="N14">
            <v>0.43357759982814459</v>
          </cell>
          <cell r="O14">
            <v>0.29358311873362436</v>
          </cell>
          <cell r="P14">
            <v>9.522064541750308E-3</v>
          </cell>
          <cell r="Q14">
            <v>0.26331721689648074</v>
          </cell>
          <cell r="S14">
            <v>1</v>
          </cell>
        </row>
        <row r="15">
          <cell r="A15">
            <v>14</v>
          </cell>
          <cell r="B15" t="str">
            <v>COMPOSITE DIRECT PLANT - ACCTS 376 &amp; 380</v>
          </cell>
          <cell r="E15">
            <v>90324477</v>
          </cell>
          <cell r="F15">
            <v>53337142.399999999</v>
          </cell>
          <cell r="G15">
            <v>20690703.099999998</v>
          </cell>
          <cell r="H15">
            <v>617441.5</v>
          </cell>
          <cell r="I15">
            <v>15679190</v>
          </cell>
          <cell r="N15">
            <v>0.59050596440209668</v>
          </cell>
          <cell r="O15">
            <v>0.229070832040356</v>
          </cell>
          <cell r="P15">
            <v>6.8358159438886099E-3</v>
          </cell>
          <cell r="Q15">
            <v>0.17358738761365869</v>
          </cell>
          <cell r="S15">
            <v>1</v>
          </cell>
        </row>
        <row r="16">
          <cell r="A16">
            <v>15</v>
          </cell>
          <cell r="B16" t="str">
            <v>DIRECT ASSIGNMENT - SERVICES</v>
          </cell>
          <cell r="E16">
            <v>1.0009999999999999</v>
          </cell>
          <cell r="F16">
            <v>0.874</v>
          </cell>
          <cell r="G16">
            <v>0.113</v>
          </cell>
          <cell r="H16">
            <v>2E-3</v>
          </cell>
          <cell r="I16">
            <v>1.2E-2</v>
          </cell>
          <cell r="N16">
            <v>0.8731268731268732</v>
          </cell>
          <cell r="O16">
            <v>0.11288711288711291</v>
          </cell>
          <cell r="P16">
            <v>1.9980019980019984E-3</v>
          </cell>
          <cell r="Q16">
            <v>1.198801198801199E-2</v>
          </cell>
          <cell r="S16">
            <v>1</v>
          </cell>
        </row>
        <row r="17">
          <cell r="A17">
            <v>16</v>
          </cell>
          <cell r="B17" t="str">
            <v>DIRECT ASSIGNMENT - METERS</v>
          </cell>
          <cell r="E17">
            <v>1</v>
          </cell>
          <cell r="F17">
            <v>0.63100000000000001</v>
          </cell>
          <cell r="G17">
            <v>0.32100000000000001</v>
          </cell>
          <cell r="H17">
            <v>7.0000000000000001E-3</v>
          </cell>
          <cell r="I17">
            <v>4.1000000000000002E-2</v>
          </cell>
          <cell r="N17">
            <v>0.63100000000000001</v>
          </cell>
          <cell r="O17">
            <v>0.32100000000000001</v>
          </cell>
          <cell r="P17">
            <v>7.0000000000000001E-3</v>
          </cell>
          <cell r="Q17">
            <v>4.1000000000000002E-2</v>
          </cell>
          <cell r="S17">
            <v>1</v>
          </cell>
        </row>
        <row r="18">
          <cell r="A18">
            <v>17</v>
          </cell>
          <cell r="B18" t="str">
            <v>DIRECT ASSIGNMENT - IND M &amp; R</v>
          </cell>
          <cell r="E18">
            <v>1</v>
          </cell>
          <cell r="F18">
            <v>0</v>
          </cell>
          <cell r="G18">
            <v>0.32900000000000001</v>
          </cell>
          <cell r="H18">
            <v>0.184</v>
          </cell>
          <cell r="I18">
            <v>0.48699999999999999</v>
          </cell>
          <cell r="N18">
            <v>0</v>
          </cell>
          <cell r="O18">
            <v>0.32900000000000001</v>
          </cell>
          <cell r="P18">
            <v>0.184</v>
          </cell>
          <cell r="Q18">
            <v>0.48699999999999999</v>
          </cell>
          <cell r="S18">
            <v>1</v>
          </cell>
        </row>
        <row r="19">
          <cell r="A19">
            <v>18</v>
          </cell>
          <cell r="B19" t="str">
            <v>OTHER DISTRIBUTION O &amp; M EXPENSE</v>
          </cell>
          <cell r="E19">
            <v>1930041.3091895485</v>
          </cell>
          <cell r="F19">
            <v>1079046.1000000001</v>
          </cell>
          <cell r="G19">
            <v>533901.98</v>
          </cell>
          <cell r="H19">
            <v>21657.47</v>
          </cell>
          <cell r="I19">
            <v>295435.88000000006</v>
          </cell>
          <cell r="N19">
            <v>0.55907927714412842</v>
          </cell>
          <cell r="O19">
            <v>0.27662722940587886</v>
          </cell>
          <cell r="P19">
            <v>1.1221246870148223E-2</v>
          </cell>
          <cell r="Q19">
            <v>0.15307230917459366</v>
          </cell>
          <cell r="S19">
            <v>1</v>
          </cell>
        </row>
        <row r="20">
          <cell r="A20">
            <v>19</v>
          </cell>
          <cell r="B20" t="str">
            <v xml:space="preserve">O &amp; M EXCL GAS PUR, UNCOLLECTIBLES, &amp; A &amp; G </v>
          </cell>
          <cell r="E20">
            <v>3632896.7122915387</v>
          </cell>
          <cell r="F20">
            <v>2260664.3000000003</v>
          </cell>
          <cell r="G20">
            <v>897361.89000000025</v>
          </cell>
          <cell r="H20">
            <v>33336.47</v>
          </cell>
          <cell r="I20">
            <v>441533.77000000008</v>
          </cell>
          <cell r="N20">
            <v>0.6222759629667618</v>
          </cell>
          <cell r="O20">
            <v>0.24701002012082177</v>
          </cell>
          <cell r="P20">
            <v>9.176277951203354E-3</v>
          </cell>
          <cell r="Q20">
            <v>0.12153766125695653</v>
          </cell>
          <cell r="S20">
            <v>1</v>
          </cell>
        </row>
        <row r="21">
          <cell r="A21">
            <v>20</v>
          </cell>
          <cell r="B21" t="str">
            <v>MINIMUM SYSTEM MAINS</v>
          </cell>
          <cell r="C21" t="str">
            <v>CUSTOMER/DEMAND</v>
          </cell>
          <cell r="D21" t="str">
            <v>11a</v>
          </cell>
          <cell r="E21">
            <v>1</v>
          </cell>
          <cell r="F21">
            <v>0.75</v>
          </cell>
          <cell r="G21">
            <v>0.189</v>
          </cell>
          <cell r="H21">
            <v>3.8999999999999998E-3</v>
          </cell>
          <cell r="I21">
            <v>5.7099999999999998E-2</v>
          </cell>
          <cell r="N21">
            <v>0.75</v>
          </cell>
          <cell r="O21">
            <v>0.189</v>
          </cell>
          <cell r="P21">
            <v>3.8999999999999998E-3</v>
          </cell>
          <cell r="Q21">
            <v>5.7099999999999998E-2</v>
          </cell>
          <cell r="S21">
            <v>1</v>
          </cell>
        </row>
        <row r="22">
          <cell r="A22">
            <v>21</v>
          </cell>
          <cell r="B22" t="str">
            <v>DIRECT ASSIGNMENT - CUR REV BILLED THROUGH DIS</v>
          </cell>
          <cell r="E22">
            <v>64496162</v>
          </cell>
          <cell r="F22">
            <v>41364041</v>
          </cell>
          <cell r="G22">
            <v>23132121</v>
          </cell>
          <cell r="H22">
            <v>0</v>
          </cell>
          <cell r="I22">
            <v>0</v>
          </cell>
          <cell r="N22">
            <v>0.64134112352297801</v>
          </cell>
          <cell r="O22">
            <v>0.35865887647702199</v>
          </cell>
          <cell r="P22">
            <v>0</v>
          </cell>
          <cell r="Q22">
            <v>0</v>
          </cell>
          <cell r="S22">
            <v>1</v>
          </cell>
        </row>
        <row r="23">
          <cell r="A23">
            <v>22</v>
          </cell>
          <cell r="B23" t="str">
            <v>NOT USED</v>
          </cell>
          <cell r="C23" t="str">
            <v>AVERAGE &amp; EXCESS</v>
          </cell>
          <cell r="D23" t="str">
            <v>11d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N23" t="e">
            <v>#DIV/0!</v>
          </cell>
          <cell r="O23" t="e">
            <v>#DIV/0!</v>
          </cell>
          <cell r="P23" t="e">
            <v>#DIV/0!</v>
          </cell>
          <cell r="Q23" t="e">
            <v>#DIV/0!</v>
          </cell>
          <cell r="S23" t="e">
            <v>#DIV/0!</v>
          </cell>
        </row>
        <row r="24">
          <cell r="A24">
            <v>23</v>
          </cell>
          <cell r="B24" t="str">
            <v>NOT USED</v>
          </cell>
          <cell r="N24" t="e">
            <v>#DIV/0!</v>
          </cell>
          <cell r="O24" t="e">
            <v>#DIV/0!</v>
          </cell>
          <cell r="P24" t="e">
            <v>#DIV/0!</v>
          </cell>
          <cell r="Q24" t="e">
            <v>#DIV/0!</v>
          </cell>
          <cell r="S24" t="e">
            <v>#DIV/0!</v>
          </cell>
        </row>
        <row r="25">
          <cell r="A25">
            <v>24</v>
          </cell>
          <cell r="B25" t="str">
            <v>NOT USED</v>
          </cell>
          <cell r="N25" t="e">
            <v>#DIV/0!</v>
          </cell>
          <cell r="O25" t="e">
            <v>#DIV/0!</v>
          </cell>
          <cell r="P25" t="e">
            <v>#DIV/0!</v>
          </cell>
          <cell r="Q25" t="e">
            <v>#DIV/0!</v>
          </cell>
          <cell r="S25" t="e">
            <v>#DIV/0!</v>
          </cell>
        </row>
        <row r="26">
          <cell r="A26">
            <v>25</v>
          </cell>
          <cell r="B26" t="str">
            <v>NOT USED</v>
          </cell>
          <cell r="N26" t="e">
            <v>#DIV/0!</v>
          </cell>
          <cell r="O26" t="e">
            <v>#DIV/0!</v>
          </cell>
          <cell r="P26" t="e">
            <v>#DIV/0!</v>
          </cell>
          <cell r="Q26" t="e">
            <v>#DIV/0!</v>
          </cell>
          <cell r="S26" t="e">
            <v>#DIV/0!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10"/>
    </sheetNames>
    <sheetDataSet>
      <sheetData sheetId="0" refreshError="1">
        <row r="1">
          <cell r="H1" t="str">
            <v>Exhibit No. 10</v>
          </cell>
        </row>
        <row r="2">
          <cell r="H2" t="str">
            <v>Sheet 1 of</v>
          </cell>
        </row>
        <row r="3">
          <cell r="H3" t="str">
            <v>14 Sheets</v>
          </cell>
        </row>
        <row r="4">
          <cell r="H4" t="str">
            <v>Witness:  R.D. Gibbons</v>
          </cell>
        </row>
        <row r="5">
          <cell r="D5" t="str">
            <v>COLUMBIA GAS OF MARYLAND, INC.</v>
          </cell>
        </row>
        <row r="7">
          <cell r="D7" t="str">
            <v>SUMMARY OF CASH WORKING CAPITAL ALLOWANCE</v>
          </cell>
        </row>
        <row r="9">
          <cell r="D9" t="str">
            <v>FOR THE TWELVE MONTHS ENDED SEPTEMBER 30, 1996</v>
          </cell>
        </row>
        <row r="11">
          <cell r="A11" t="str">
            <v>Line</v>
          </cell>
          <cell r="H11" t="str">
            <v>Pro Forma</v>
          </cell>
        </row>
        <row r="12">
          <cell r="A12" t="str">
            <v>No.</v>
          </cell>
          <cell r="D12" t="str">
            <v>Description</v>
          </cell>
          <cell r="H12" t="str">
            <v>at Proposed Rates</v>
          </cell>
        </row>
        <row r="15">
          <cell r="A15" t="str">
            <v>1</v>
          </cell>
          <cell r="C15" t="str">
            <v>(1) Cash working capital allowance resulting from</v>
          </cell>
        </row>
        <row r="16">
          <cell r="A16" t="str">
            <v>2</v>
          </cell>
          <cell r="C16" t="str">
            <v xml:space="preserve">    the lag in the collection of revenue being</v>
          </cell>
        </row>
        <row r="17">
          <cell r="A17" t="str">
            <v>3</v>
          </cell>
          <cell r="C17" t="str">
            <v xml:space="preserve">    greater than the lag in the payment of expenses</v>
          </cell>
          <cell r="H17">
            <v>966607</v>
          </cell>
        </row>
        <row r="19">
          <cell r="A19" t="str">
            <v>4</v>
          </cell>
          <cell r="C19" t="str">
            <v>(2) Minimum bank balances to compensate banking</v>
          </cell>
        </row>
        <row r="20">
          <cell r="A20" t="str">
            <v>5</v>
          </cell>
          <cell r="C20" t="str">
            <v xml:space="preserve">    institutions for banking services:</v>
          </cell>
        </row>
        <row r="22">
          <cell r="A22" t="str">
            <v>6</v>
          </cell>
          <cell r="C22" t="str">
            <v xml:space="preserve">      General Fund (average daily balance)</v>
          </cell>
          <cell r="H22">
            <v>22002</v>
          </cell>
        </row>
        <row r="23">
          <cell r="A23" t="str">
            <v>7</v>
          </cell>
          <cell r="C23" t="str">
            <v xml:space="preserve">      Local Offices Working Fund</v>
          </cell>
          <cell r="H23">
            <v>980</v>
          </cell>
        </row>
        <row r="25">
          <cell r="A25" t="str">
            <v>8</v>
          </cell>
          <cell r="C25" t="str">
            <v xml:space="preserve">      Total Minimum Bank Balances</v>
          </cell>
          <cell r="H25">
            <v>22982</v>
          </cell>
        </row>
        <row r="28">
          <cell r="A28" t="str">
            <v>9</v>
          </cell>
          <cell r="C28" t="str">
            <v>TOTAL CASH WORKING CAPITAL ALLOWANCE</v>
          </cell>
          <cell r="H28">
            <v>989589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"/>
      <sheetName val="EX"/>
      <sheetName val="END FXrates"/>
      <sheetName val="AVG FXrat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M"/>
      <sheetName val="Sch D-2.1 Output"/>
      <sheetName val="Input"/>
      <sheetName val="A"/>
      <sheetName val="B"/>
      <sheetName val="C"/>
      <sheetName val="D pg 1"/>
      <sheetName val="D pg 2"/>
      <sheetName val="Sch M"/>
      <sheetName val="Sch M 2.1"/>
      <sheetName val="Sch M 2.2"/>
      <sheetName val="Sch M 2.3"/>
      <sheetName val="Rate Design MPB-1"/>
      <sheetName val="Late Payment MPB-2"/>
      <sheetName val="MPB-3"/>
      <sheetName val="MPB-4"/>
      <sheetName val="Macros"/>
    </sheetNames>
    <sheetDataSet>
      <sheetData sheetId="0"/>
      <sheetData sheetId="1"/>
      <sheetData sheetId="2">
        <row r="8">
          <cell r="B8" t="str">
            <v>Witness:  M. J. Bell</v>
          </cell>
        </row>
        <row r="10">
          <cell r="C10">
            <v>2.8155000000000001</v>
          </cell>
        </row>
        <row r="11">
          <cell r="C11">
            <v>2.2090999999999998</v>
          </cell>
        </row>
        <row r="14">
          <cell r="C14" t="str">
            <v>March 1, 2016</v>
          </cell>
        </row>
      </sheetData>
      <sheetData sheetId="3"/>
      <sheetData sheetId="4">
        <row r="1">
          <cell r="A1" t="str">
            <v>Columbia Gas of Kentucky, Inc.</v>
          </cell>
        </row>
        <row r="3">
          <cell r="A3" t="str">
            <v>For the 12 Months Ended December 31, 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A"/>
      <sheetName val="A- Financial Summary"/>
      <sheetName val="Index B"/>
      <sheetName val="B-1 p.1 Summary (Base)"/>
      <sheetName val="B-1 p.2 Summary (Forecast)"/>
      <sheetName val="B-2 p.1 Grouping (Base)"/>
      <sheetName val="B-2 p.2 Grouping (Forecast)"/>
      <sheetName val="B-2.1 Base Period GPA"/>
      <sheetName val="B-2.1 Forecast Period GPA"/>
      <sheetName val="WPB-2.1 Base Period"/>
      <sheetName val="WPB-2.1 13 mo avg"/>
      <sheetName val="Plant input detail "/>
      <sheetName val="Intangible Amort."/>
      <sheetName val="WPB2.2 Plant detail-w slippage"/>
      <sheetName val="WPB2.2a Intan Amort. w slippage"/>
      <sheetName val="B-2.2 Proposed Adj (Base)"/>
      <sheetName val="B-2.2 Proposed Adj (Forecast)"/>
      <sheetName val="B-2.3 Base Adds, Ret, Transfers"/>
      <sheetName val="B-2.3 Forecast Adds, Ret, Trans"/>
      <sheetName val="B-2.4 PP&amp;E Acquired (base)"/>
      <sheetName val="B-2.4 PP&amp;E Acquired (forecast)"/>
      <sheetName val="B-2.5 Leased Property (base)"/>
      <sheetName val="B-2.5 Leased Prop (forecast)"/>
      <sheetName val="B-2.6 Property Held (base)"/>
      <sheetName val="B-2.6 Property Held (forecast)"/>
      <sheetName val="B-2.7 PP&amp;E Excluded (base)"/>
      <sheetName val="B-2.7 PP&amp;E Excluded (forecast)"/>
      <sheetName val="B-3 Accum Dep&amp; Amort (Base)"/>
      <sheetName val="B-3 Accum Dep&amp;A (Forecast)"/>
      <sheetName val="WPB-3.1 AD&amp;A (Base)"/>
      <sheetName val="WPB-3.1 AD&amp;A (Forecast)"/>
      <sheetName val="B-3.1 Adj.  AD&amp;A (base)"/>
      <sheetName val="B-3.1 Adj.  AD&amp;A (Forecast)"/>
      <sheetName val="B-4 CWIP (In Service)"/>
      <sheetName val="B-5 Working Capital (Base)"/>
      <sheetName val="B-5 Working Capital (Forecast)"/>
      <sheetName val="B-5.1 Working Cap. (Base)"/>
      <sheetName val="B-5.1 Working Cap. (Forecast)"/>
      <sheetName val="WPB-5.1 M&amp;S and Prepayments"/>
      <sheetName val="WPB 5.3 Storage"/>
      <sheetName val="B-5.2 CWC (Base)"/>
      <sheetName val="B-5.2 CWC (Forecast)"/>
      <sheetName val="B-6 Def. Cr. &amp; ADIT (Base)"/>
      <sheetName val="B-6 Def. Cr. &amp; ADIT (Forecast)"/>
      <sheetName val="ADIT Calc-Do not print"/>
      <sheetName val="DNF - WPB-6 Acct. (forecast)"/>
      <sheetName val="WPB-6 Acct. 282 (forecast)"/>
      <sheetName val="WPB-6 Acct. 190 (forecast)"/>
      <sheetName val="WPB-6 Acct. 282 Adj (forecast)"/>
      <sheetName val="B-7 Juris Factor"/>
      <sheetName val="Operating Income Sum Index C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Adjusted Forecast Period"/>
      <sheetName val="Input O&amp;M FERC 8-16"/>
      <sheetName val="Input O&amp;M FERC 12-17"/>
      <sheetName val="Base TY Budget"/>
      <sheetName val="Forecast TY Budget &amp; D-2.4 Adj"/>
      <sheetName val="O&amp;M by CE Desc Variance"/>
      <sheetName val="Operating Income Sum Index D"/>
      <sheetName val="D-1"/>
      <sheetName val="D-2.1"/>
      <sheetName val="D-2.2"/>
      <sheetName val="D-2.3"/>
      <sheetName val="D-2.4"/>
      <sheetName val="Sch E Index"/>
      <sheetName val="E-1.1 Fed &amp; State Income Taxes"/>
      <sheetName val="Sch F Index"/>
      <sheetName val="F-1 Corp Due &amp; Memberships"/>
      <sheetName val="F-2 Charitable Contributions"/>
      <sheetName val="F-3 Country Club Dues"/>
      <sheetName val="F-4 Emp Recog &amp; Activities"/>
      <sheetName val="Party, Outing, Gift DO NOT USE"/>
      <sheetName val="Adv OLD FORMAT DO NOT USE"/>
      <sheetName val="F-5 Cust. Serv.&amp;Sales Expense"/>
      <sheetName val="F-6  Advertising"/>
      <sheetName val="Prof Serv OLD FORMAT DO NOT USE"/>
      <sheetName val="F-7 Professional Services Exp"/>
      <sheetName val="F-8 Rate Case Expense"/>
      <sheetName val="F-9 Civic,Political Activities"/>
      <sheetName val="Expense Reports"/>
      <sheetName val="Sch G Index"/>
      <sheetName val="G-1 Payroll Cost"/>
      <sheetName val="G-2 Payroll Analysis"/>
      <sheetName val="G-3 Executive Comp "/>
      <sheetName val="WPG-2"/>
      <sheetName val="Gross Conversion Factor Index H"/>
      <sheetName val="Gross Conversion Factor H-1"/>
      <sheetName val="INDEX - I"/>
      <sheetName val="I-1 Comp Income Statement"/>
      <sheetName val="I-2 Revenue Stats"/>
      <sheetName val="I-3 Sales Stats"/>
      <sheetName val="Cost of Capital Index J"/>
      <sheetName val="J-1 Cost of Capital Summary"/>
      <sheetName val="J-1 Base Period Cost of Capital"/>
      <sheetName val="J-1.1, J-1.2 13 MO AVG WACC"/>
      <sheetName val="J-2"/>
      <sheetName val="J-3"/>
      <sheetName val="J-4"/>
      <sheetName val="SCH K INDEX"/>
      <sheetName val="K - Comparative Financial Data"/>
      <sheetName val="SCH L - Tariff"/>
      <sheetName val="Sch. L"/>
      <sheetName val="SCH M"/>
    </sheetNames>
    <sheetDataSet>
      <sheetData sheetId="0">
        <row r="10">
          <cell r="A10" t="str">
            <v>COLUMBIA GAS OF KENTUCKY, INC.</v>
          </cell>
        </row>
        <row r="16">
          <cell r="C16" t="str">
            <v>FOR THE TWELVE MONTHS ENDED AUGUST 31, 2016</v>
          </cell>
        </row>
        <row r="18">
          <cell r="C18" t="str">
            <v>FOR THE TWELVE MONTHS ENDED DECEMBER 31, 2017</v>
          </cell>
        </row>
      </sheetData>
      <sheetData sheetId="1"/>
      <sheetData sheetId="2"/>
      <sheetData sheetId="3">
        <row r="2">
          <cell r="A2" t="str">
            <v>CASE NO. 2016 - 00162</v>
          </cell>
        </row>
        <row r="4">
          <cell r="A4" t="str">
            <v>AS OF AUGUST 31, 2016</v>
          </cell>
        </row>
        <row r="8">
          <cell r="J8" t="str">
            <v>WITNESS:  S. M. KATKO</v>
          </cell>
        </row>
      </sheetData>
      <sheetData sheetId="4">
        <row r="4">
          <cell r="A4" t="str">
            <v>AS OF DECEMBER 31, 2017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9">
          <cell r="M9" t="str">
            <v>WITNESS:  J. T. CROOM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 Index D"/>
      <sheetName val="Operating Income Summary C-1"/>
      <sheetName val="Adj Operating Income Sum C-2"/>
      <sheetName val="Oper Rev&amp;Exp by Accts C2.1A"/>
      <sheetName val="Oper Rev&amp;Exp by Accts C2.1B"/>
      <sheetName val="Total Co Accts Activ C2.2A"/>
      <sheetName val="Total Co Accts Activ C2.2B"/>
      <sheetName val="Input O&amp;M FERC 7-13"/>
      <sheetName val="Input O&amp;M FERC 11-14"/>
      <sheetName val="DO NOT USE - Accts Activ C2.2A"/>
      <sheetName val="DO NOT USE - Accts Activ C2.2B"/>
      <sheetName val="D-1"/>
      <sheetName val="D-2.1"/>
      <sheetName val="D-2.2"/>
      <sheetName val="D-2.3"/>
      <sheetName val="D-2.4"/>
      <sheetName val="Input O&amp;M CE Adjustments"/>
    </sheetNames>
    <sheetDataSet>
      <sheetData sheetId="0" refreshError="1"/>
      <sheetData sheetId="1" refreshError="1"/>
      <sheetData sheetId="2" refreshError="1">
        <row r="1">
          <cell r="A1" t="str">
            <v>COLUMBIA GAS OF KENTUCKY, INC.</v>
          </cell>
        </row>
        <row r="4">
          <cell r="A4" t="str">
            <v>FOR THE BASE PERIOD 12 MONTHS ENDED JULY 31, 2013 AND THE FORECAST PERIOD 12 MONTHS ENDED NOVEMBER 30, 2014</v>
          </cell>
        </row>
        <row r="9">
          <cell r="M9" t="str">
            <v>WITNESS:  S. M. KATKO</v>
          </cell>
        </row>
      </sheetData>
      <sheetData sheetId="3" refreshError="1"/>
      <sheetData sheetId="4" refreshError="1">
        <row r="4">
          <cell r="A4" t="str">
            <v>FOR THE TWELVE MONTHS ENDED JULY 31, 2013</v>
          </cell>
        </row>
      </sheetData>
      <sheetData sheetId="5" refreshError="1">
        <row r="4">
          <cell r="A4" t="str">
            <v>FOR THE TWELVE MONTHS ENDED NOVEMBER 30, 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Menu"/>
      <sheetName val="Financials Menu"/>
      <sheetName val="A (Input) Inv MO Service Charge"/>
      <sheetName val="B (Input) MO Volumes"/>
      <sheetName val="C (Input) MO ARC - RRC Charges"/>
      <sheetName val="D (Output)- Volume Analysis"/>
      <sheetName val="E (Calc) -MO ARC-RRC Charge"/>
      <sheetName val="F (Valid) - MO Service Charge"/>
      <sheetName val="G (Valid) - MO ARC-RRC Charge"/>
      <sheetName val="H (Ref) - Mnthly Svc Fees"/>
      <sheetName val="I (Ref) - Mnthly Baseline Units"/>
      <sheetName val="I(a) (Ref) Mnth Baseline %"/>
      <sheetName val="J (Ref) - ARC RRC Rates"/>
      <sheetName val="K Graph (Input)"/>
      <sheetName val="L Graph (Data)"/>
      <sheetName val="M Graph (Baseline)"/>
      <sheetName val="N Graph (RU)"/>
      <sheetName val="O Graph (Charges)"/>
      <sheetName val="SLA Menu"/>
      <sheetName val="K (Input) SLA Achieved"/>
      <sheetName val="L (Output) Service Credit"/>
      <sheetName val="M (Output) Srvice Credt True Up"/>
      <sheetName val="N (Valid) Service Credit Sum"/>
      <sheetName val="O (Ref) At Risk"/>
      <sheetName val="P (Ref) Pool Allocation"/>
      <sheetName val="(Ref) Invoice Detail "/>
      <sheetName val="Rate Sche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-1.1"/>
      <sheetName val="E-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S List"/>
      <sheetName val="Assumptions"/>
      <sheetName val="Analysi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Sources"/>
      <sheetName val="Input"/>
      <sheetName val="Cover"/>
      <sheetName val="Table of Contents"/>
      <sheetName val="Sheet 1- Summary"/>
      <sheetName val="Pg. 2 - Composite"/>
      <sheetName val="Pg. 3 - Daily Demand"/>
      <sheetName val="Pg. 4 - Ann. Demand"/>
      <sheetName val="Pg. 5 - Commodity"/>
      <sheetName val="Pg. 6 - Comm. Rates &amp; Vol."/>
      <sheetName val="Pg. 7 - TCO&amp;CGT Rates"/>
      <sheetName val="Pg. 8 - Transco Rates"/>
      <sheetName val="Pg. 9 - Sales"/>
      <sheetName val="Pg. 10 - Banking"/>
      <sheetName val="Pg. 11 - Misc."/>
      <sheetName val="Pg. 12 PDS"/>
      <sheetName val="Pg. 13 - Balancing Charge"/>
      <sheetName val="Pg. 14 - Variable Storage"/>
      <sheetName val="Pg. 15 - Total Gas Cost"/>
      <sheetName val="Pg 16- Comm. Actual"/>
      <sheetName val="Pg. 17 - Dem Actual"/>
      <sheetName val="Pg. 18 - Alloc"/>
      <sheetName val="Pg. 19 - EBS"/>
      <sheetName val="Pg. 20 - SIS"/>
      <sheetName val="Tabs"/>
    </sheetNames>
    <sheetDataSet>
      <sheetData sheetId="0"/>
      <sheetData sheetId="1">
        <row r="11">
          <cell r="B11">
            <v>1.0379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ter Configuration"/>
      <sheetName val="Location"/>
      <sheetName val="BT Order Form - Equipment"/>
      <sheetName val="BT Order Form - Services"/>
      <sheetName val="Maint Countries"/>
      <sheetName val="Clarification"/>
      <sheetName val="Cisco Price List"/>
      <sheetName val="Baseline Support"/>
      <sheetName val="Getronics in-Country Ent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ng Income Sum Index C"/>
      <sheetName val="Operating Income Summary C-1"/>
      <sheetName val="Adj Operating Income Sum C-2"/>
      <sheetName val="Oper Rev&amp;Exp by Accts C2.1p1-2"/>
      <sheetName val="Total Co Accts Activ C2.2p1-10"/>
    </sheetNames>
    <sheetDataSet>
      <sheetData sheetId="0" refreshError="1"/>
      <sheetData sheetId="1">
        <row r="4">
          <cell r="A4" t="str">
            <v>FOR THE TWELVE MONTHS ENDED JUNE 30, 2009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B"/>
      <sheetName val="526849-48"/>
      <sheetName val="106200"/>
      <sheetName val="Input"/>
      <sheetName val="Weather"/>
      <sheetName val="Calculations"/>
      <sheetName val="Cash Working Cap"/>
      <sheetName val="Debt and Equity"/>
      <sheetName val="issue nxt qtr"/>
      <sheetName val="NH Return on Rate Base ReportFi"/>
      <sheetName val="#REF"/>
    </sheetNames>
    <sheetDataSet>
      <sheetData sheetId="0" refreshError="1">
        <row r="2">
          <cell r="B2" t="str">
            <v>New Hampshire Division</v>
          </cell>
        </row>
        <row r="3">
          <cell r="B3" t="str">
            <v>Historical Rates of Return - Normalized</v>
          </cell>
        </row>
        <row r="4">
          <cell r="B4" t="str">
            <v>12 Months Ending  09/30/03</v>
          </cell>
        </row>
        <row r="7">
          <cell r="B7" t="str">
            <v>Cost of Service :</v>
          </cell>
          <cell r="D7" t="str">
            <v>Actuals</v>
          </cell>
          <cell r="E7" t="str">
            <v>Per Settlement</v>
          </cell>
        </row>
        <row r="9">
          <cell r="B9" t="str">
            <v xml:space="preserve">Revenues </v>
          </cell>
          <cell r="D9">
            <v>55676556.019999996</v>
          </cell>
          <cell r="E9">
            <v>47746999</v>
          </cell>
        </row>
        <row r="10">
          <cell r="B10" t="str">
            <v>Weather Adjustment ( After Tax )</v>
          </cell>
          <cell r="D10">
            <v>-579544.02674999996</v>
          </cell>
        </row>
        <row r="11">
          <cell r="B11" t="str">
            <v>Gas Costs</v>
          </cell>
          <cell r="D11">
            <v>-35263858.420000002</v>
          </cell>
          <cell r="E11">
            <v>-28866180</v>
          </cell>
        </row>
        <row r="12">
          <cell r="B12" t="str">
            <v>Normalized Revenues</v>
          </cell>
          <cell r="D12">
            <v>19833153.573249996</v>
          </cell>
          <cell r="E12">
            <v>18880819</v>
          </cell>
        </row>
        <row r="13">
          <cell r="F13">
            <v>513401</v>
          </cell>
        </row>
        <row r="14">
          <cell r="B14" t="str">
            <v>O&amp;M:</v>
          </cell>
        </row>
        <row r="15">
          <cell r="B15" t="str">
            <v>Other Production</v>
          </cell>
          <cell r="D15">
            <v>87642.079999999987</v>
          </cell>
          <cell r="E15">
            <v>94112</v>
          </cell>
        </row>
        <row r="16">
          <cell r="B16" t="str">
            <v>Distribution</v>
          </cell>
          <cell r="D16">
            <v>1613597.9500000002</v>
          </cell>
          <cell r="E16">
            <v>2435651</v>
          </cell>
        </row>
        <row r="17">
          <cell r="B17" t="str">
            <v>Customer Accounting</v>
          </cell>
          <cell r="D17">
            <v>1375486.29</v>
          </cell>
          <cell r="E17">
            <v>651787</v>
          </cell>
        </row>
        <row r="18">
          <cell r="B18" t="str">
            <v>Sales &amp; New Business</v>
          </cell>
          <cell r="D18">
            <v>786319.4</v>
          </cell>
          <cell r="E18">
            <v>362580</v>
          </cell>
        </row>
        <row r="19">
          <cell r="B19" t="str">
            <v>Admin. &amp; General</v>
          </cell>
          <cell r="D19">
            <v>5400521.0600000005</v>
          </cell>
          <cell r="E19">
            <v>4185559</v>
          </cell>
          <cell r="F19" t="str">
            <v>(a)</v>
          </cell>
        </row>
        <row r="20">
          <cell r="B20" t="str">
            <v>Subtotal O&amp;M</v>
          </cell>
          <cell r="D20">
            <v>9263566.7800000012</v>
          </cell>
          <cell r="E20">
            <v>7729689</v>
          </cell>
        </row>
        <row r="21">
          <cell r="F21" t="str">
            <v>523722</v>
          </cell>
        </row>
        <row r="22">
          <cell r="B22" t="str">
            <v>Federal &amp; State Income Tax</v>
          </cell>
          <cell r="D22">
            <v>2728469.0292175002</v>
          </cell>
          <cell r="E22">
            <v>2072231</v>
          </cell>
        </row>
        <row r="23">
          <cell r="B23" t="str">
            <v>Property Tax</v>
          </cell>
          <cell r="D23">
            <v>1325069.69</v>
          </cell>
          <cell r="E23">
            <v>1415023</v>
          </cell>
        </row>
        <row r="24">
          <cell r="B24" t="str">
            <v>Other Tax</v>
          </cell>
          <cell r="C24" t="str">
            <v>?</v>
          </cell>
          <cell r="D24">
            <v>198077.43999999994</v>
          </cell>
          <cell r="E24">
            <v>388546</v>
          </cell>
          <cell r="F24" t="str">
            <v>523603</v>
          </cell>
        </row>
        <row r="25">
          <cell r="B25" t="str">
            <v>Depreciation</v>
          </cell>
          <cell r="D25">
            <v>2980385.88</v>
          </cell>
          <cell r="E25">
            <v>2869213</v>
          </cell>
          <cell r="F25" t="str">
            <v>523611</v>
          </cell>
          <cell r="G25" t="str">
            <v>Pension &amp; Benefit Reserves</v>
          </cell>
        </row>
        <row r="26">
          <cell r="B26" t="str">
            <v>Amortization</v>
          </cell>
          <cell r="D26">
            <v>414129.72</v>
          </cell>
          <cell r="E26">
            <v>164759</v>
          </cell>
          <cell r="F26" t="str">
            <v>(a)</v>
          </cell>
        </row>
        <row r="27">
          <cell r="B27" t="str">
            <v>Operating Rents</v>
          </cell>
          <cell r="D27">
            <v>-404214.45</v>
          </cell>
          <cell r="E27">
            <v>-400982</v>
          </cell>
          <cell r="F27" t="str">
            <v>526300</v>
          </cell>
          <cell r="G27" t="str">
            <v>Total Rate Base</v>
          </cell>
        </row>
        <row r="28">
          <cell r="B28" t="str">
            <v>Interest on Customer Deposits</v>
          </cell>
          <cell r="D28">
            <v>19051.25</v>
          </cell>
          <cell r="E28">
            <v>18676</v>
          </cell>
        </row>
        <row r="29">
          <cell r="G29" t="str">
            <v>Utility Operating Income</v>
          </cell>
        </row>
        <row r="30">
          <cell r="B30" t="str">
            <v xml:space="preserve">     Subtotal Operating Expenses</v>
          </cell>
          <cell r="D30">
            <v>16524535.339217499</v>
          </cell>
          <cell r="E30">
            <v>14257155</v>
          </cell>
        </row>
        <row r="33">
          <cell r="G33" t="str">
            <v>Return on Rate Base</v>
          </cell>
        </row>
        <row r="35">
          <cell r="B35" t="str">
            <v>Total Operating Expenses</v>
          </cell>
          <cell r="D35">
            <v>16524535.339217499</v>
          </cell>
          <cell r="E35">
            <v>14257155</v>
          </cell>
          <cell r="G35" t="str">
            <v>Return on Common Equity</v>
          </cell>
        </row>
        <row r="37">
          <cell r="B37" t="str">
            <v>Utility Operating Income</v>
          </cell>
          <cell r="D37">
            <v>3308618.2340324968</v>
          </cell>
          <cell r="E37">
            <v>4623664</v>
          </cell>
        </row>
        <row r="40">
          <cell r="A40" t="str">
            <v xml:space="preserve"> </v>
          </cell>
          <cell r="B40" t="str">
            <v>Return Surplus (Deficiency)</v>
          </cell>
          <cell r="D40">
            <v>-1117794.9672567276</v>
          </cell>
        </row>
        <row r="41">
          <cell r="B41" t="str">
            <v>Revenue Surplus (Deficiency)</v>
          </cell>
          <cell r="D41">
            <v>-1879436.683071421</v>
          </cell>
        </row>
        <row r="45">
          <cell r="B45" t="str">
            <v>Notes:</v>
          </cell>
        </row>
        <row r="47">
          <cell r="B47" t="str">
            <v>Northern's last rate case, D601-182, was settled.  The per</v>
          </cell>
          <cell r="G47" t="str">
            <v>Debt</v>
          </cell>
        </row>
        <row r="48">
          <cell r="B48" t="str">
            <v>settlement numbers are from the Staff's schedules.</v>
          </cell>
          <cell r="G48" t="str">
            <v>Preferred Stock</v>
          </cell>
        </row>
        <row r="49">
          <cell r="G49" t="str">
            <v>Common Equity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2">
          <cell r="A2" t="str">
            <v>CASE NO. 2002-00145</v>
          </cell>
        </row>
        <row r="3">
          <cell r="A3" t="str">
            <v>ADJUSTMENT TO PAYROLL TAXES</v>
          </cell>
        </row>
        <row r="4">
          <cell r="A4" t="str">
            <v>FOR THE TWELVE MONTHS ENDED DECEMBER 31, 2001</v>
          </cell>
        </row>
        <row r="6">
          <cell r="F6" t="str">
            <v>WPD-2.10</v>
          </cell>
        </row>
        <row r="7">
          <cell r="F7" t="str">
            <v>SHEET 1 OF 1</v>
          </cell>
        </row>
        <row r="8">
          <cell r="F8" t="str">
            <v>REFERENCE: WPD-2.4</v>
          </cell>
        </row>
        <row r="11">
          <cell r="A11" t="str">
            <v>LINE</v>
          </cell>
          <cell r="E11" t="str">
            <v xml:space="preserve">TAXABLE @ </v>
          </cell>
          <cell r="G11" t="str">
            <v xml:space="preserve">TAXABLE @ </v>
          </cell>
        </row>
        <row r="12">
          <cell r="A12" t="str">
            <v>NO.</v>
          </cell>
          <cell r="C12" t="str">
            <v>DESCRIPTION</v>
          </cell>
          <cell r="E12" t="str">
            <v>OASDI &amp; HI</v>
          </cell>
          <cell r="G12" t="str">
            <v>HI ONLY</v>
          </cell>
        </row>
        <row r="13">
          <cell r="E13" t="str">
            <v>(1)</v>
          </cell>
          <cell r="G13" t="str">
            <v>(2)</v>
          </cell>
        </row>
        <row r="14">
          <cell r="E14" t="str">
            <v>$</v>
          </cell>
        </row>
        <row r="15">
          <cell r="A15">
            <v>1</v>
          </cell>
          <cell r="C15" t="str">
            <v>O&amp;M PAYROLL ADJUSTMENT [1]</v>
          </cell>
          <cell r="E15">
            <v>129205</v>
          </cell>
        </row>
        <row r="17">
          <cell r="A17">
            <v>2</v>
          </cell>
          <cell r="C17" t="str">
            <v>TAX RATE</v>
          </cell>
          <cell r="E17">
            <v>7.6499999999999999E-2</v>
          </cell>
        </row>
        <row r="19">
          <cell r="A19">
            <v>3</v>
          </cell>
          <cell r="C19" t="str">
            <v>SUBTOTAL</v>
          </cell>
          <cell r="E19">
            <v>9884</v>
          </cell>
        </row>
        <row r="21">
          <cell r="A21">
            <v>4</v>
          </cell>
          <cell r="C21" t="str">
            <v>INCREASE IN MAXIMUM SUBJECT TO SOCIAL SECURITY</v>
          </cell>
          <cell r="E21">
            <v>4500</v>
          </cell>
        </row>
        <row r="22">
          <cell r="A22">
            <v>5</v>
          </cell>
          <cell r="C22" t="str">
            <v>($84,900 - $80,400)</v>
          </cell>
        </row>
        <row r="24">
          <cell r="A24">
            <v>6</v>
          </cell>
          <cell r="C24" t="str">
            <v>NUMBER OF EMPLOYEES</v>
          </cell>
          <cell r="E24">
            <v>4</v>
          </cell>
        </row>
        <row r="26">
          <cell r="A26">
            <v>7</v>
          </cell>
          <cell r="C26" t="str">
            <v>INCREASE IN BASE</v>
          </cell>
          <cell r="E26">
            <v>18000</v>
          </cell>
        </row>
        <row r="28">
          <cell r="A28">
            <v>8</v>
          </cell>
          <cell r="C28" t="str">
            <v>TAX RATE</v>
          </cell>
          <cell r="E28">
            <v>6.2E-2</v>
          </cell>
        </row>
        <row r="30">
          <cell r="A30">
            <v>9</v>
          </cell>
          <cell r="C30" t="str">
            <v>SUBTOTAL</v>
          </cell>
          <cell r="E30">
            <v>1116</v>
          </cell>
        </row>
        <row r="32">
          <cell r="A32">
            <v>10</v>
          </cell>
          <cell r="C32" t="str">
            <v>TOTAL FICA ADJUSTMENT</v>
          </cell>
          <cell r="E32">
            <v>11000</v>
          </cell>
        </row>
        <row r="35">
          <cell r="C35" t="str">
            <v>NOTES:</v>
          </cell>
        </row>
        <row r="36">
          <cell r="C36" t="str">
            <v>[1]  SEE SHEET 1 OF WPD-2.4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Instructions"/>
      <sheetName val="Reconciliation"/>
      <sheetName val="US Detail"/>
      <sheetName val="AS"/>
      <sheetName val="Client Svcs"/>
      <sheetName val="GNS"/>
      <sheetName val="Tech Svcs"/>
      <sheetName val="Client Mgmt"/>
      <sheetName val="HQ"/>
      <sheetName val="INTL Other"/>
      <sheetName val="Total"/>
      <sheetName val="Analy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adj. Rev 2-A"/>
      <sheetName val="Bills 2-B"/>
      <sheetName val="Mcf 2-C"/>
      <sheetName val="Norm 2-D"/>
      <sheetName val="Adj. Exhibt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Lobbying Adj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Meter Reading Costs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In Ser Acct 101 Sum"/>
      <sheetName val="106 "/>
      <sheetName val="107 "/>
      <sheetName val="Depreciation Reserve "/>
      <sheetName val="Material &amp; Supplies"/>
      <sheetName val="Def Tx CIAC"/>
      <sheetName val="Def Tx Inv"/>
      <sheetName val="Customer Deposits"/>
      <sheetName val="Cust Adv  Const"/>
      <sheetName val="Def Inc Taxes"/>
      <sheetName val="Def Tx Hdqts Bldg"/>
      <sheetName val="Lead Lag"/>
      <sheetName val="Cost of Capital"/>
      <sheetName val="Annualized Labor 6-30-08 Wpa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"/>
      <sheetName val="Remit"/>
      <sheetName val="August Timesheets"/>
      <sheetName val="September Timesheets"/>
      <sheetName val="September Travel Detail"/>
      <sheetName val="HWS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chedule M Input"/>
      <sheetName val="Fin Sum Index A"/>
      <sheetName val="Overall Fin Sum Sch-A"/>
      <sheetName val="Rate Base Index B"/>
      <sheetName val="Rate Base Summary Sch B-1"/>
      <sheetName val="Plant in Service B-2"/>
      <sheetName val="PP&amp;E  by Accounts B-2.1"/>
      <sheetName val="PP&amp;E by Accts by Type B-2.1a"/>
      <sheetName val="Adj to PP&amp;E B-2.2"/>
      <sheetName val="PP&amp;E Add. Retire. Trans. B-2.3"/>
      <sheetName val="PP&amp;E Prop Merged Acquired B-2.4"/>
      <sheetName val="Leased Property B-2.5"/>
      <sheetName val="Property for Future Use B-2.6"/>
      <sheetName val="Property Excluded B-2.7"/>
      <sheetName val="Accum Depr &amp; Amort Summary B-3"/>
      <sheetName val="Adj. to Accum Dep &amp; Amort B-3.1"/>
      <sheetName val="Dep Accur Rates &amp; Acc Bal B-3.2"/>
      <sheetName val="CWIP B-4"/>
      <sheetName val="Allowance for Work Capital B-5"/>
      <sheetName val="WC Comp 13 Mon Avg Bal B-5.1"/>
      <sheetName val="WC Comp 1-8 O&amp;M Exp  B-5.2"/>
      <sheetName val="Def Cr &amp; Accum Def Inc Tax B-6"/>
      <sheetName val="B-7"/>
      <sheetName val="B-7.1"/>
      <sheetName val="B-7.2"/>
      <sheetName val="Comparative Bal Sheets B-8"/>
      <sheetName val="Operating Income Sum Index C"/>
      <sheetName val="Operating Income Summary C-1"/>
      <sheetName val="Adj Operating Income Sum C-2"/>
      <sheetName val="Oper Rev&amp;Exp by Accts C2.1p1-2"/>
      <sheetName val="Total Co Accts Activ C2.2p1-11"/>
      <sheetName val="Adj to Operating Income Index D"/>
      <sheetName val="Sum Adj  Oper Inc D-1, Sht 1-2"/>
      <sheetName val="Ann of Sales Rev D-2.1, Sht 1-6"/>
      <sheetName val="Labor Adj D-2.2"/>
      <sheetName val="Bonus Accrual-Incen Comp  D-2.3"/>
      <sheetName val="Benefits Adj D-2.4"/>
      <sheetName val="Postage D-2.5"/>
      <sheetName val="Depr Exp Adj D-2.6"/>
      <sheetName val="Depr Exp Adj D-2.6 p2"/>
      <sheetName val="Rate Case Expense D-2.7"/>
      <sheetName val="NCSC D-2.8 p1"/>
      <sheetName val="NCSC D-2.8 p2 "/>
      <sheetName val="NCSC D-2.8 p3"/>
      <sheetName val="NCSC D-2.8 p4"/>
      <sheetName val="NCSC D-2.8 p5"/>
      <sheetName val="NCSC D-2.8 p6"/>
      <sheetName val="Corporate Insurance  D-2.9"/>
      <sheetName val="Payroll Tax Adj D-2.10"/>
      <sheetName val="Property Tax Adj D-2.11"/>
      <sheetName val="Out-of-Period D-2.12"/>
      <sheetName val="Non-Recoverable D-2.13"/>
      <sheetName val="D-3"/>
      <sheetName val="D-4"/>
      <sheetName val="D-5"/>
      <sheetName val="Income Taxes Index E"/>
      <sheetName val="Fed &amp; State Income Taxes E-1.1"/>
      <sheetName val="Develop Fed &amp; State Inc Tax E-2"/>
      <sheetName val="Other Expenses Index F"/>
      <sheetName val="Payroll Cost Analysis Index G"/>
      <sheetName val="Gross Conversion Factor Index H"/>
      <sheetName val="Gross Conversion Factor H-1"/>
      <sheetName val="Statisical Data Index I"/>
      <sheetName val="Cost of Capital Index J"/>
      <sheetName val="Cost of Capital Summary J-1"/>
      <sheetName val="Avg Base Period  Cap Str J-1.1"/>
      <sheetName val="Embedded Cost of STD J-2"/>
      <sheetName val="Embedded Cost of LTD J-3"/>
      <sheetName val="Embedded Cost of Pre Stock J-4"/>
      <sheetName val="Financial Data Index K"/>
      <sheetName val="Rates &amp; Tariffs Index L"/>
      <sheetName val="Sch. L"/>
      <sheetName val="WPB-5.1 MIS WC"/>
      <sheetName val="WPB-6 Acct. 101, 252, 255, 283"/>
      <sheetName val="Acct. 282 pg 1"/>
      <sheetName val="Acct. 282 pg 2"/>
      <sheetName val="Acct. 19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VMAstsumry"/>
      <sheetName val="Exectutive Summry vs. GL"/>
      <sheetName val="ACTIVITY TIE OUT"/>
      <sheetName val="Working Gas Storage Position"/>
      <sheetName val="BOOK 0503"/>
      <sheetName val="storgvol_smrypricing_GL"/>
      <sheetName val="DSAR"/>
      <sheetName val="summary by source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A6">
            <v>1</v>
          </cell>
          <cell r="B6">
            <v>76</v>
          </cell>
          <cell r="C6">
            <v>-96</v>
          </cell>
          <cell r="D6">
            <v>0</v>
          </cell>
          <cell r="E6">
            <v>-191</v>
          </cell>
          <cell r="F6">
            <v>0</v>
          </cell>
          <cell r="G6">
            <v>-89</v>
          </cell>
          <cell r="H6">
            <v>-104</v>
          </cell>
          <cell r="I6">
            <v>-49</v>
          </cell>
          <cell r="J6">
            <v>-100</v>
          </cell>
          <cell r="K6">
            <v>-32</v>
          </cell>
          <cell r="L6">
            <v>-16</v>
          </cell>
          <cell r="M6">
            <v>-414</v>
          </cell>
          <cell r="P6">
            <v>-1015</v>
          </cell>
          <cell r="S6">
            <v>-601.89285714285711</v>
          </cell>
          <cell r="T6">
            <v>-1015</v>
          </cell>
          <cell r="U6">
            <v>-750</v>
          </cell>
          <cell r="V6">
            <v>-601.89285714285711</v>
          </cell>
          <cell r="W6">
            <v>-374</v>
          </cell>
          <cell r="X6">
            <v>-405</v>
          </cell>
          <cell r="Y6">
            <v>-317.07142857142856</v>
          </cell>
          <cell r="AA6">
            <v>0</v>
          </cell>
          <cell r="AB6">
            <v>-12.178571428571429</v>
          </cell>
          <cell r="AF6">
            <v>0</v>
          </cell>
          <cell r="AG6">
            <v>2.6428571428571428</v>
          </cell>
          <cell r="AL6">
            <v>-287</v>
          </cell>
          <cell r="AM6">
            <v>-345</v>
          </cell>
          <cell r="AN6">
            <v>-275.28571428571428</v>
          </cell>
          <cell r="AR6">
            <v>-661</v>
          </cell>
          <cell r="AS6">
            <v>-750</v>
          </cell>
          <cell r="AT6">
            <v>-592.35714285714289</v>
          </cell>
          <cell r="AV6">
            <v>-16.321428571428573</v>
          </cell>
          <cell r="AW6">
            <v>-74.857142857142861</v>
          </cell>
          <cell r="AX6">
            <v>-90.678571428571431</v>
          </cell>
          <cell r="AY6">
            <v>-73.642857142857139</v>
          </cell>
          <cell r="AZ6">
            <v>-27.071428571428573</v>
          </cell>
          <cell r="BA6">
            <v>-34.5</v>
          </cell>
          <cell r="BB6">
            <v>-212.03571428571428</v>
          </cell>
          <cell r="BC6">
            <v>1.5</v>
          </cell>
          <cell r="BD6">
            <v>-59.5</v>
          </cell>
          <cell r="BE6">
            <v>-5.25</v>
          </cell>
          <cell r="BJ6">
            <v>-15</v>
          </cell>
          <cell r="BK6">
            <v>-110</v>
          </cell>
          <cell r="BL6">
            <v>-100</v>
          </cell>
          <cell r="BM6">
            <v>-100</v>
          </cell>
          <cell r="BN6">
            <v>-35</v>
          </cell>
          <cell r="BO6">
            <v>-45</v>
          </cell>
          <cell r="BP6">
            <v>-225</v>
          </cell>
          <cell r="BQ6">
            <v>-40</v>
          </cell>
          <cell r="BR6">
            <v>-80</v>
          </cell>
          <cell r="BS6">
            <v>0</v>
          </cell>
          <cell r="BY6">
            <v>-0.60189285714285712</v>
          </cell>
          <cell r="CB6">
            <v>-1.0149999999999999</v>
          </cell>
          <cell r="CD6">
            <v>-0.60189285714285712</v>
          </cell>
        </row>
        <row r="7">
          <cell r="A7">
            <v>2</v>
          </cell>
          <cell r="B7">
            <v>-33</v>
          </cell>
          <cell r="C7">
            <v>-90</v>
          </cell>
          <cell r="D7">
            <v>-17</v>
          </cell>
          <cell r="E7">
            <v>-151</v>
          </cell>
          <cell r="F7">
            <v>0</v>
          </cell>
          <cell r="G7">
            <v>-111</v>
          </cell>
          <cell r="H7">
            <v>-105</v>
          </cell>
          <cell r="I7">
            <v>-45</v>
          </cell>
          <cell r="J7">
            <v>-97</v>
          </cell>
          <cell r="K7">
            <v>-37</v>
          </cell>
          <cell r="L7">
            <v>-33</v>
          </cell>
          <cell r="M7">
            <v>-706</v>
          </cell>
          <cell r="P7">
            <v>-1425</v>
          </cell>
          <cell r="S7">
            <v>-601.89285714285711</v>
          </cell>
          <cell r="T7">
            <v>-1425</v>
          </cell>
          <cell r="U7">
            <v>-750</v>
          </cell>
          <cell r="V7">
            <v>-601.89285714285711</v>
          </cell>
          <cell r="W7">
            <v>-395</v>
          </cell>
          <cell r="X7">
            <v>-405</v>
          </cell>
          <cell r="Y7">
            <v>-317.07142857142856</v>
          </cell>
          <cell r="AA7">
            <v>0</v>
          </cell>
          <cell r="AB7">
            <v>-12.178571428571429</v>
          </cell>
          <cell r="AF7">
            <v>0</v>
          </cell>
          <cell r="AG7">
            <v>2.6428571428571428</v>
          </cell>
          <cell r="AL7">
            <v>-258</v>
          </cell>
          <cell r="AM7">
            <v>-345</v>
          </cell>
          <cell r="AN7">
            <v>-275.28571428571428</v>
          </cell>
          <cell r="AR7">
            <v>-653</v>
          </cell>
          <cell r="AS7">
            <v>-750</v>
          </cell>
          <cell r="AT7">
            <v>-592.35714285714289</v>
          </cell>
          <cell r="AV7">
            <v>-16.321428571428573</v>
          </cell>
          <cell r="AW7">
            <v>-74.857142857142861</v>
          </cell>
          <cell r="AX7">
            <v>-90.678571428571431</v>
          </cell>
          <cell r="AY7">
            <v>-73.642857142857139</v>
          </cell>
          <cell r="AZ7">
            <v>-27.071428571428573</v>
          </cell>
          <cell r="BA7">
            <v>-34.5</v>
          </cell>
          <cell r="BB7">
            <v>-212.03571428571428</v>
          </cell>
          <cell r="BC7">
            <v>1.5</v>
          </cell>
          <cell r="BD7">
            <v>-59.5</v>
          </cell>
          <cell r="BE7">
            <v>-5.25</v>
          </cell>
          <cell r="BJ7">
            <v>-15</v>
          </cell>
          <cell r="BK7">
            <v>-110</v>
          </cell>
          <cell r="BL7">
            <v>-100</v>
          </cell>
          <cell r="BM7">
            <v>-100</v>
          </cell>
          <cell r="BN7">
            <v>-35</v>
          </cell>
          <cell r="BO7">
            <v>-45</v>
          </cell>
          <cell r="BP7">
            <v>-225</v>
          </cell>
          <cell r="BQ7">
            <v>-40</v>
          </cell>
          <cell r="BR7">
            <v>-80</v>
          </cell>
          <cell r="BS7">
            <v>0</v>
          </cell>
          <cell r="BY7">
            <v>-1.2037857142857142</v>
          </cell>
          <cell r="CB7">
            <v>-2.44</v>
          </cell>
          <cell r="CD7">
            <v>-1.2037857142857142</v>
          </cell>
        </row>
        <row r="8">
          <cell r="A8">
            <v>3</v>
          </cell>
          <cell r="B8">
            <v>-30</v>
          </cell>
          <cell r="C8">
            <v>-84</v>
          </cell>
          <cell r="D8">
            <v>0</v>
          </cell>
          <cell r="E8">
            <v>-163</v>
          </cell>
          <cell r="F8">
            <v>0</v>
          </cell>
          <cell r="G8">
            <v>-33</v>
          </cell>
          <cell r="H8">
            <v>-105</v>
          </cell>
          <cell r="I8">
            <v>-28</v>
          </cell>
          <cell r="J8">
            <v>-86</v>
          </cell>
          <cell r="K8">
            <v>-11</v>
          </cell>
          <cell r="L8">
            <v>0</v>
          </cell>
          <cell r="M8">
            <v>-528</v>
          </cell>
          <cell r="P8">
            <v>-1068</v>
          </cell>
          <cell r="S8">
            <v>-601.89285714285711</v>
          </cell>
          <cell r="T8">
            <v>-1068</v>
          </cell>
          <cell r="U8">
            <v>-750</v>
          </cell>
          <cell r="V8">
            <v>-601.89285714285711</v>
          </cell>
          <cell r="W8">
            <v>-263</v>
          </cell>
          <cell r="X8">
            <v>-405</v>
          </cell>
          <cell r="Y8">
            <v>-317.07142857142856</v>
          </cell>
          <cell r="AA8">
            <v>0</v>
          </cell>
          <cell r="AB8">
            <v>-12.178571428571429</v>
          </cell>
          <cell r="AF8">
            <v>0</v>
          </cell>
          <cell r="AG8">
            <v>2.6428571428571428</v>
          </cell>
          <cell r="AL8">
            <v>-247</v>
          </cell>
          <cell r="AM8">
            <v>-345</v>
          </cell>
          <cell r="AN8">
            <v>-275.28571428571428</v>
          </cell>
          <cell r="AR8">
            <v>-510</v>
          </cell>
          <cell r="AS8">
            <v>-750</v>
          </cell>
          <cell r="AT8">
            <v>-592.35714285714289</v>
          </cell>
          <cell r="AV8">
            <v>-16.321428571428573</v>
          </cell>
          <cell r="AW8">
            <v>-74.857142857142861</v>
          </cell>
          <cell r="AX8">
            <v>-90.678571428571431</v>
          </cell>
          <cell r="AY8">
            <v>-73.642857142857139</v>
          </cell>
          <cell r="AZ8">
            <v>-27.071428571428573</v>
          </cell>
          <cell r="BA8">
            <v>-34.5</v>
          </cell>
          <cell r="BB8">
            <v>-212.03571428571428</v>
          </cell>
          <cell r="BC8">
            <v>1.5</v>
          </cell>
          <cell r="BD8">
            <v>-59.5</v>
          </cell>
          <cell r="BE8">
            <v>-5.25</v>
          </cell>
          <cell r="BJ8">
            <v>-15</v>
          </cell>
          <cell r="BK8">
            <v>-110</v>
          </cell>
          <cell r="BL8">
            <v>-100</v>
          </cell>
          <cell r="BM8">
            <v>-100</v>
          </cell>
          <cell r="BN8">
            <v>-35</v>
          </cell>
          <cell r="BO8">
            <v>-45</v>
          </cell>
          <cell r="BP8">
            <v>-225</v>
          </cell>
          <cell r="BQ8">
            <v>-40</v>
          </cell>
          <cell r="BR8">
            <v>-80</v>
          </cell>
          <cell r="BS8">
            <v>0</v>
          </cell>
          <cell r="BY8">
            <v>-1.8056785714285715</v>
          </cell>
          <cell r="CB8">
            <v>-3.508</v>
          </cell>
          <cell r="CD8">
            <v>-1.8056785714285715</v>
          </cell>
        </row>
        <row r="9">
          <cell r="A9">
            <v>4</v>
          </cell>
          <cell r="B9">
            <v>-60</v>
          </cell>
          <cell r="C9">
            <v>-52</v>
          </cell>
          <cell r="D9">
            <v>0</v>
          </cell>
          <cell r="E9">
            <v>0</v>
          </cell>
          <cell r="F9">
            <v>0</v>
          </cell>
          <cell r="G9">
            <v>-12</v>
          </cell>
          <cell r="H9">
            <v>-105</v>
          </cell>
          <cell r="I9">
            <v>0</v>
          </cell>
          <cell r="J9">
            <v>-98</v>
          </cell>
          <cell r="K9">
            <v>-4</v>
          </cell>
          <cell r="L9">
            <v>90</v>
          </cell>
          <cell r="M9">
            <v>-67</v>
          </cell>
          <cell r="P9">
            <v>-308</v>
          </cell>
          <cell r="S9">
            <v>-601.89285714285711</v>
          </cell>
          <cell r="T9">
            <v>-308</v>
          </cell>
          <cell r="U9">
            <v>-750</v>
          </cell>
          <cell r="V9">
            <v>-601.89285714285711</v>
          </cell>
          <cell r="W9">
            <v>-219</v>
          </cell>
          <cell r="X9">
            <v>-405</v>
          </cell>
          <cell r="Y9">
            <v>-317.07142857142856</v>
          </cell>
          <cell r="AA9">
            <v>0</v>
          </cell>
          <cell r="AB9">
            <v>-12.178571428571429</v>
          </cell>
          <cell r="AF9">
            <v>0</v>
          </cell>
          <cell r="AG9">
            <v>2.6428571428571428</v>
          </cell>
          <cell r="AL9">
            <v>-52</v>
          </cell>
          <cell r="AM9">
            <v>-345</v>
          </cell>
          <cell r="AN9">
            <v>-275.28571428571428</v>
          </cell>
          <cell r="AR9">
            <v>-271</v>
          </cell>
          <cell r="AS9">
            <v>-750</v>
          </cell>
          <cell r="AT9">
            <v>-592.35714285714289</v>
          </cell>
          <cell r="AV9">
            <v>-16.321428571428573</v>
          </cell>
          <cell r="AW9">
            <v>-74.857142857142861</v>
          </cell>
          <cell r="AX9">
            <v>-90.678571428571431</v>
          </cell>
          <cell r="AY9">
            <v>-73.642857142857139</v>
          </cell>
          <cell r="AZ9">
            <v>-27.071428571428573</v>
          </cell>
          <cell r="BA9">
            <v>-34.5</v>
          </cell>
          <cell r="BB9">
            <v>-212.03571428571428</v>
          </cell>
          <cell r="BC9">
            <v>1.5</v>
          </cell>
          <cell r="BD9">
            <v>-59.5</v>
          </cell>
          <cell r="BE9">
            <v>-5.25</v>
          </cell>
          <cell r="BJ9">
            <v>-15</v>
          </cell>
          <cell r="BK9">
            <v>-110</v>
          </cell>
          <cell r="BL9">
            <v>-100</v>
          </cell>
          <cell r="BM9">
            <v>-100</v>
          </cell>
          <cell r="BN9">
            <v>-35</v>
          </cell>
          <cell r="BO9">
            <v>-45</v>
          </cell>
          <cell r="BP9">
            <v>-225</v>
          </cell>
          <cell r="BQ9">
            <v>-40</v>
          </cell>
          <cell r="BR9">
            <v>-80</v>
          </cell>
          <cell r="BS9">
            <v>0</v>
          </cell>
          <cell r="BY9">
            <v>-2.4075714285714285</v>
          </cell>
          <cell r="CB9">
            <v>-3.8159999999999998</v>
          </cell>
          <cell r="CD9">
            <v>-2.4075714285714285</v>
          </cell>
        </row>
        <row r="10">
          <cell r="A10">
            <v>5</v>
          </cell>
          <cell r="B10">
            <v>12</v>
          </cell>
          <cell r="C10">
            <v>-28</v>
          </cell>
          <cell r="D10">
            <v>46</v>
          </cell>
          <cell r="E10">
            <v>0</v>
          </cell>
          <cell r="F10">
            <v>0</v>
          </cell>
          <cell r="G10">
            <v>0</v>
          </cell>
          <cell r="H10">
            <v>-105</v>
          </cell>
          <cell r="I10">
            <v>-1</v>
          </cell>
          <cell r="J10">
            <v>-38</v>
          </cell>
          <cell r="K10">
            <v>0</v>
          </cell>
          <cell r="L10">
            <v>225</v>
          </cell>
          <cell r="M10">
            <v>129</v>
          </cell>
          <cell r="P10">
            <v>240</v>
          </cell>
          <cell r="S10">
            <v>-601.89285714285711</v>
          </cell>
          <cell r="T10">
            <v>240</v>
          </cell>
          <cell r="U10">
            <v>-750</v>
          </cell>
          <cell r="V10">
            <v>-601.89285714285711</v>
          </cell>
          <cell r="W10">
            <v>-144</v>
          </cell>
          <cell r="X10">
            <v>-405</v>
          </cell>
          <cell r="Y10">
            <v>-317.07142857142856</v>
          </cell>
          <cell r="AA10">
            <v>0</v>
          </cell>
          <cell r="AB10">
            <v>-12.178571428571429</v>
          </cell>
          <cell r="AF10">
            <v>0</v>
          </cell>
          <cell r="AG10">
            <v>2.6428571428571428</v>
          </cell>
          <cell r="AL10">
            <v>18</v>
          </cell>
          <cell r="AM10">
            <v>-345</v>
          </cell>
          <cell r="AN10">
            <v>-275.28571428571428</v>
          </cell>
          <cell r="AR10">
            <v>-126</v>
          </cell>
          <cell r="AS10">
            <v>-750</v>
          </cell>
          <cell r="AT10">
            <v>-592.35714285714289</v>
          </cell>
          <cell r="AV10">
            <v>-16.321428571428573</v>
          </cell>
          <cell r="AW10">
            <v>-74.857142857142861</v>
          </cell>
          <cell r="AX10">
            <v>-90.678571428571431</v>
          </cell>
          <cell r="AY10">
            <v>-73.642857142857139</v>
          </cell>
          <cell r="AZ10">
            <v>-27.071428571428573</v>
          </cell>
          <cell r="BA10">
            <v>-34.5</v>
          </cell>
          <cell r="BB10">
            <v>-212.03571428571428</v>
          </cell>
          <cell r="BC10">
            <v>1.5</v>
          </cell>
          <cell r="BD10">
            <v>-59.5</v>
          </cell>
          <cell r="BE10">
            <v>-5.25</v>
          </cell>
          <cell r="BJ10">
            <v>-15</v>
          </cell>
          <cell r="BK10">
            <v>-110</v>
          </cell>
          <cell r="BL10">
            <v>-100</v>
          </cell>
          <cell r="BM10">
            <v>-100</v>
          </cell>
          <cell r="BN10">
            <v>-35</v>
          </cell>
          <cell r="BO10">
            <v>-45</v>
          </cell>
          <cell r="BP10">
            <v>-225</v>
          </cell>
          <cell r="BQ10">
            <v>-40</v>
          </cell>
          <cell r="BR10">
            <v>-80</v>
          </cell>
          <cell r="BS10">
            <v>0</v>
          </cell>
          <cell r="BY10">
            <v>-3.0094642857142855</v>
          </cell>
          <cell r="CD10">
            <v>-3.0094642857142855</v>
          </cell>
        </row>
        <row r="11">
          <cell r="A11">
            <v>6</v>
          </cell>
          <cell r="B11">
            <v>48</v>
          </cell>
          <cell r="C11">
            <v>-30</v>
          </cell>
          <cell r="D11">
            <v>30</v>
          </cell>
          <cell r="E11">
            <v>-10</v>
          </cell>
          <cell r="F11">
            <v>0</v>
          </cell>
          <cell r="G11">
            <v>-28</v>
          </cell>
          <cell r="H11">
            <v>-105</v>
          </cell>
          <cell r="I11">
            <v>-2</v>
          </cell>
          <cell r="J11">
            <v>-80</v>
          </cell>
          <cell r="K11">
            <v>-10</v>
          </cell>
          <cell r="L11">
            <v>179</v>
          </cell>
          <cell r="M11">
            <v>48</v>
          </cell>
          <cell r="P11">
            <v>40</v>
          </cell>
          <cell r="S11">
            <v>-601.89285714285711</v>
          </cell>
          <cell r="T11">
            <v>40</v>
          </cell>
          <cell r="U11">
            <v>-750</v>
          </cell>
          <cell r="V11">
            <v>-601.89285714285711</v>
          </cell>
          <cell r="W11">
            <v>-225</v>
          </cell>
          <cell r="X11">
            <v>-405</v>
          </cell>
          <cell r="Y11">
            <v>-317.07142857142856</v>
          </cell>
          <cell r="AA11">
            <v>0</v>
          </cell>
          <cell r="AB11">
            <v>-12.178571428571429</v>
          </cell>
          <cell r="AF11">
            <v>0</v>
          </cell>
          <cell r="AG11">
            <v>2.6428571428571428</v>
          </cell>
          <cell r="AL11">
            <v>-10</v>
          </cell>
          <cell r="AM11">
            <v>-345</v>
          </cell>
          <cell r="AN11">
            <v>-275.28571428571428</v>
          </cell>
          <cell r="AR11">
            <v>-235</v>
          </cell>
          <cell r="AS11">
            <v>-750</v>
          </cell>
          <cell r="AT11">
            <v>-592.35714285714289</v>
          </cell>
          <cell r="AV11">
            <v>-16.321428571428573</v>
          </cell>
          <cell r="AW11">
            <v>-74.857142857142861</v>
          </cell>
          <cell r="AX11">
            <v>-90.678571428571431</v>
          </cell>
          <cell r="AY11">
            <v>-73.642857142857139</v>
          </cell>
          <cell r="AZ11">
            <v>-27.071428571428573</v>
          </cell>
          <cell r="BA11">
            <v>-34.5</v>
          </cell>
          <cell r="BB11">
            <v>-212.03571428571428</v>
          </cell>
          <cell r="BC11">
            <v>1.5</v>
          </cell>
          <cell r="BD11">
            <v>-59.5</v>
          </cell>
          <cell r="BE11">
            <v>-5.25</v>
          </cell>
          <cell r="BJ11">
            <v>-15</v>
          </cell>
          <cell r="BK11">
            <v>-110</v>
          </cell>
          <cell r="BL11">
            <v>-100</v>
          </cell>
          <cell r="BM11">
            <v>-100</v>
          </cell>
          <cell r="BN11">
            <v>-35</v>
          </cell>
          <cell r="BO11">
            <v>-45</v>
          </cell>
          <cell r="BP11">
            <v>-225</v>
          </cell>
          <cell r="BQ11">
            <v>-40</v>
          </cell>
          <cell r="BR11">
            <v>-80</v>
          </cell>
          <cell r="BS11">
            <v>0</v>
          </cell>
          <cell r="BY11">
            <v>-3.6113571428571425</v>
          </cell>
          <cell r="CD11">
            <v>-3.6113571428571425</v>
          </cell>
        </row>
        <row r="12">
          <cell r="A12">
            <v>7</v>
          </cell>
          <cell r="B12">
            <v>0</v>
          </cell>
          <cell r="C12">
            <v>-60</v>
          </cell>
          <cell r="D12">
            <v>0</v>
          </cell>
          <cell r="E12">
            <v>-88</v>
          </cell>
          <cell r="F12">
            <v>0</v>
          </cell>
          <cell r="G12">
            <v>-125</v>
          </cell>
          <cell r="H12">
            <v>-105</v>
          </cell>
          <cell r="I12">
            <v>-45</v>
          </cell>
          <cell r="J12">
            <v>-98</v>
          </cell>
          <cell r="K12">
            <v>-40</v>
          </cell>
          <cell r="L12">
            <v>-53</v>
          </cell>
          <cell r="M12">
            <v>-153</v>
          </cell>
          <cell r="P12">
            <v>-767</v>
          </cell>
          <cell r="S12">
            <v>-601.89285714285711</v>
          </cell>
          <cell r="T12">
            <v>-767</v>
          </cell>
          <cell r="U12">
            <v>-750</v>
          </cell>
          <cell r="V12">
            <v>-601.89285714285711</v>
          </cell>
          <cell r="W12">
            <v>-413</v>
          </cell>
          <cell r="X12">
            <v>-405</v>
          </cell>
          <cell r="Y12">
            <v>-317.07142857142856</v>
          </cell>
          <cell r="AA12">
            <v>0</v>
          </cell>
          <cell r="AB12">
            <v>-12.178571428571429</v>
          </cell>
          <cell r="AF12">
            <v>0</v>
          </cell>
          <cell r="AG12">
            <v>2.6428571428571428</v>
          </cell>
          <cell r="AL12">
            <v>-148</v>
          </cell>
          <cell r="AM12">
            <v>-345</v>
          </cell>
          <cell r="AN12">
            <v>-275.28571428571428</v>
          </cell>
          <cell r="AR12">
            <v>-561</v>
          </cell>
          <cell r="AS12">
            <v>-750</v>
          </cell>
          <cell r="AT12">
            <v>-592.35714285714289</v>
          </cell>
          <cell r="AV12">
            <v>-16.321428571428573</v>
          </cell>
          <cell r="AW12">
            <v>-74.857142857142861</v>
          </cell>
          <cell r="AX12">
            <v>-90.678571428571431</v>
          </cell>
          <cell r="AY12">
            <v>-73.642857142857139</v>
          </cell>
          <cell r="AZ12">
            <v>-27.071428571428573</v>
          </cell>
          <cell r="BA12">
            <v>-34.5</v>
          </cell>
          <cell r="BB12">
            <v>-212.03571428571428</v>
          </cell>
          <cell r="BC12">
            <v>1.5</v>
          </cell>
          <cell r="BD12">
            <v>-59.5</v>
          </cell>
          <cell r="BE12">
            <v>-5.25</v>
          </cell>
          <cell r="BJ12">
            <v>-15</v>
          </cell>
          <cell r="BK12">
            <v>-110</v>
          </cell>
          <cell r="BL12">
            <v>-100</v>
          </cell>
          <cell r="BM12">
            <v>-100</v>
          </cell>
          <cell r="BN12">
            <v>-35</v>
          </cell>
          <cell r="BO12">
            <v>-45</v>
          </cell>
          <cell r="BP12">
            <v>-225</v>
          </cell>
          <cell r="BQ12">
            <v>-40</v>
          </cell>
          <cell r="BR12">
            <v>-80</v>
          </cell>
          <cell r="BS12">
            <v>0</v>
          </cell>
          <cell r="BY12">
            <v>-4.2132499999999995</v>
          </cell>
          <cell r="CD12">
            <v>-4.2132499999999995</v>
          </cell>
        </row>
        <row r="13">
          <cell r="A13">
            <v>8</v>
          </cell>
          <cell r="B13">
            <v>0</v>
          </cell>
          <cell r="C13">
            <v>-78</v>
          </cell>
          <cell r="D13">
            <v>-37</v>
          </cell>
          <cell r="E13">
            <v>-294</v>
          </cell>
          <cell r="F13">
            <v>-18</v>
          </cell>
          <cell r="G13">
            <v>-121</v>
          </cell>
          <cell r="H13">
            <v>-105</v>
          </cell>
          <cell r="I13">
            <v>-46</v>
          </cell>
          <cell r="J13">
            <v>-99</v>
          </cell>
          <cell r="K13">
            <v>-40</v>
          </cell>
          <cell r="L13">
            <v>-131</v>
          </cell>
          <cell r="M13">
            <v>-331</v>
          </cell>
          <cell r="P13">
            <v>-1300</v>
          </cell>
          <cell r="S13">
            <v>-601.89285714285711</v>
          </cell>
          <cell r="T13">
            <v>-1300</v>
          </cell>
          <cell r="U13">
            <v>-750</v>
          </cell>
          <cell r="V13">
            <v>-601.89285714285711</v>
          </cell>
          <cell r="W13">
            <v>-429</v>
          </cell>
          <cell r="X13">
            <v>-405</v>
          </cell>
          <cell r="Y13">
            <v>-317.07142857142856</v>
          </cell>
          <cell r="AA13">
            <v>0</v>
          </cell>
          <cell r="AB13">
            <v>-12.178571428571429</v>
          </cell>
          <cell r="AF13">
            <v>0</v>
          </cell>
          <cell r="AG13">
            <v>2.6428571428571428</v>
          </cell>
          <cell r="AL13">
            <v>-409</v>
          </cell>
          <cell r="AM13">
            <v>-345</v>
          </cell>
          <cell r="AN13">
            <v>-275.28571428571428</v>
          </cell>
          <cell r="AR13">
            <v>-838</v>
          </cell>
          <cell r="AS13">
            <v>-750</v>
          </cell>
          <cell r="AT13">
            <v>-592.35714285714289</v>
          </cell>
          <cell r="AV13">
            <v>-16.321428571428573</v>
          </cell>
          <cell r="AW13">
            <v>-74.857142857142861</v>
          </cell>
          <cell r="AX13">
            <v>-90.678571428571431</v>
          </cell>
          <cell r="AY13">
            <v>-73.642857142857139</v>
          </cell>
          <cell r="AZ13">
            <v>-27.071428571428573</v>
          </cell>
          <cell r="BA13">
            <v>-34.5</v>
          </cell>
          <cell r="BB13">
            <v>-212.03571428571428</v>
          </cell>
          <cell r="BC13">
            <v>1.5</v>
          </cell>
          <cell r="BD13">
            <v>-59.5</v>
          </cell>
          <cell r="BE13">
            <v>-5.25</v>
          </cell>
          <cell r="BJ13">
            <v>-15</v>
          </cell>
          <cell r="BK13">
            <v>-110</v>
          </cell>
          <cell r="BL13">
            <v>-100</v>
          </cell>
          <cell r="BM13">
            <v>-100</v>
          </cell>
          <cell r="BN13">
            <v>-35</v>
          </cell>
          <cell r="BO13">
            <v>-45</v>
          </cell>
          <cell r="BP13">
            <v>-225</v>
          </cell>
          <cell r="BQ13">
            <v>-40</v>
          </cell>
          <cell r="BR13">
            <v>-80</v>
          </cell>
          <cell r="BS13">
            <v>0</v>
          </cell>
          <cell r="BY13">
            <v>-4.8151428571428569</v>
          </cell>
          <cell r="CD13">
            <v>-4.8151428571428569</v>
          </cell>
        </row>
        <row r="14">
          <cell r="A14">
            <v>9</v>
          </cell>
          <cell r="B14">
            <v>0</v>
          </cell>
          <cell r="C14">
            <v>-74</v>
          </cell>
          <cell r="D14">
            <v>-44</v>
          </cell>
          <cell r="E14">
            <v>-413</v>
          </cell>
          <cell r="F14">
            <v>-20</v>
          </cell>
          <cell r="G14">
            <v>-120</v>
          </cell>
          <cell r="H14">
            <v>-105</v>
          </cell>
          <cell r="I14">
            <v>-46</v>
          </cell>
          <cell r="J14">
            <v>-100</v>
          </cell>
          <cell r="K14">
            <v>-40</v>
          </cell>
          <cell r="L14">
            <v>-181</v>
          </cell>
          <cell r="M14">
            <v>-219</v>
          </cell>
          <cell r="P14">
            <v>-1362</v>
          </cell>
          <cell r="S14">
            <v>-601.89285714285711</v>
          </cell>
          <cell r="T14">
            <v>-1362</v>
          </cell>
          <cell r="U14">
            <v>-750</v>
          </cell>
          <cell r="V14">
            <v>-601.89285714285711</v>
          </cell>
          <cell r="W14">
            <v>-431</v>
          </cell>
          <cell r="X14">
            <v>-405</v>
          </cell>
          <cell r="Y14">
            <v>-317.07142857142856</v>
          </cell>
          <cell r="AA14">
            <v>0</v>
          </cell>
          <cell r="AB14">
            <v>-12.178571428571429</v>
          </cell>
          <cell r="AF14">
            <v>0</v>
          </cell>
          <cell r="AG14">
            <v>2.6428571428571428</v>
          </cell>
          <cell r="AL14">
            <v>-531</v>
          </cell>
          <cell r="AM14">
            <v>-345</v>
          </cell>
          <cell r="AN14">
            <v>-275.28571428571428</v>
          </cell>
          <cell r="AR14">
            <v>-962</v>
          </cell>
          <cell r="AS14">
            <v>-750</v>
          </cell>
          <cell r="AT14">
            <v>-592.35714285714289</v>
          </cell>
          <cell r="AV14">
            <v>-16.321428571428573</v>
          </cell>
          <cell r="AW14">
            <v>-74.857142857142861</v>
          </cell>
          <cell r="AX14">
            <v>-90.678571428571431</v>
          </cell>
          <cell r="AY14">
            <v>-73.642857142857139</v>
          </cell>
          <cell r="AZ14">
            <v>-27.071428571428573</v>
          </cell>
          <cell r="BA14">
            <v>-34.5</v>
          </cell>
          <cell r="BB14">
            <v>-212.03571428571428</v>
          </cell>
          <cell r="BC14">
            <v>1.5</v>
          </cell>
          <cell r="BD14">
            <v>-59.5</v>
          </cell>
          <cell r="BE14">
            <v>-5.25</v>
          </cell>
          <cell r="BJ14">
            <v>-15</v>
          </cell>
          <cell r="BK14">
            <v>-110</v>
          </cell>
          <cell r="BL14">
            <v>-100</v>
          </cell>
          <cell r="BM14">
            <v>-100</v>
          </cell>
          <cell r="BN14">
            <v>-35</v>
          </cell>
          <cell r="BO14">
            <v>-45</v>
          </cell>
          <cell r="BP14">
            <v>-225</v>
          </cell>
          <cell r="BQ14">
            <v>-40</v>
          </cell>
          <cell r="BR14">
            <v>-80</v>
          </cell>
          <cell r="BS14">
            <v>0</v>
          </cell>
          <cell r="BY14">
            <v>-5.4170357142857144</v>
          </cell>
          <cell r="CD14">
            <v>-5.4170357142857144</v>
          </cell>
        </row>
        <row r="15">
          <cell r="A15">
            <v>10</v>
          </cell>
          <cell r="B15">
            <v>0</v>
          </cell>
          <cell r="C15">
            <v>-71</v>
          </cell>
          <cell r="D15">
            <v>-14</v>
          </cell>
          <cell r="E15">
            <v>-286</v>
          </cell>
          <cell r="F15">
            <v>-18</v>
          </cell>
          <cell r="G15">
            <v>-86</v>
          </cell>
          <cell r="H15">
            <v>-105</v>
          </cell>
          <cell r="I15">
            <v>-38</v>
          </cell>
          <cell r="J15">
            <v>-80</v>
          </cell>
          <cell r="K15">
            <v>-35</v>
          </cell>
          <cell r="L15">
            <v>-87</v>
          </cell>
          <cell r="M15">
            <v>-203</v>
          </cell>
          <cell r="P15">
            <v>-1023</v>
          </cell>
          <cell r="S15">
            <v>-601.89285714285711</v>
          </cell>
          <cell r="T15">
            <v>-1023</v>
          </cell>
          <cell r="U15">
            <v>-750</v>
          </cell>
          <cell r="V15">
            <v>-601.89285714285711</v>
          </cell>
          <cell r="W15">
            <v>-362</v>
          </cell>
          <cell r="X15">
            <v>-405</v>
          </cell>
          <cell r="Y15">
            <v>-317.07142857142856</v>
          </cell>
          <cell r="AA15">
            <v>0</v>
          </cell>
          <cell r="AB15">
            <v>-12.178571428571429</v>
          </cell>
          <cell r="AF15">
            <v>0</v>
          </cell>
          <cell r="AG15">
            <v>2.6428571428571428</v>
          </cell>
          <cell r="AL15">
            <v>-371</v>
          </cell>
          <cell r="AM15">
            <v>-345</v>
          </cell>
          <cell r="AN15">
            <v>-275.28571428571428</v>
          </cell>
          <cell r="AR15">
            <v>-733</v>
          </cell>
          <cell r="AS15">
            <v>-750</v>
          </cell>
          <cell r="AT15">
            <v>-592.35714285714289</v>
          </cell>
          <cell r="AV15">
            <v>-16.321428571428573</v>
          </cell>
          <cell r="AW15">
            <v>-74.857142857142861</v>
          </cell>
          <cell r="AX15">
            <v>-90.678571428571431</v>
          </cell>
          <cell r="AY15">
            <v>-73.642857142857139</v>
          </cell>
          <cell r="AZ15">
            <v>-27.071428571428573</v>
          </cell>
          <cell r="BA15">
            <v>-34.5</v>
          </cell>
          <cell r="BB15">
            <v>-212.03571428571428</v>
          </cell>
          <cell r="BC15">
            <v>1.5</v>
          </cell>
          <cell r="BD15">
            <v>-59.5</v>
          </cell>
          <cell r="BE15">
            <v>-5.25</v>
          </cell>
          <cell r="BJ15">
            <v>-15</v>
          </cell>
          <cell r="BK15">
            <v>-110</v>
          </cell>
          <cell r="BL15">
            <v>-100</v>
          </cell>
          <cell r="BM15">
            <v>-100</v>
          </cell>
          <cell r="BN15">
            <v>-35</v>
          </cell>
          <cell r="BO15">
            <v>-45</v>
          </cell>
          <cell r="BP15">
            <v>-225</v>
          </cell>
          <cell r="BQ15">
            <v>-40</v>
          </cell>
          <cell r="BR15">
            <v>-80</v>
          </cell>
          <cell r="BS15">
            <v>0</v>
          </cell>
          <cell r="BY15">
            <v>-6.0189285714285718</v>
          </cell>
          <cell r="CD15">
            <v>-6.0189285714285718</v>
          </cell>
        </row>
        <row r="16">
          <cell r="A16">
            <v>11</v>
          </cell>
          <cell r="B16">
            <v>0</v>
          </cell>
          <cell r="C16">
            <v>-54</v>
          </cell>
          <cell r="D16">
            <v>2</v>
          </cell>
          <cell r="E16">
            <v>-269</v>
          </cell>
          <cell r="F16">
            <v>-18</v>
          </cell>
          <cell r="G16">
            <v>-101</v>
          </cell>
          <cell r="H16">
            <v>-105</v>
          </cell>
          <cell r="I16">
            <v>-40</v>
          </cell>
          <cell r="J16">
            <v>-77</v>
          </cell>
          <cell r="K16">
            <v>-38</v>
          </cell>
          <cell r="L16">
            <v>-8</v>
          </cell>
          <cell r="M16">
            <v>-100</v>
          </cell>
          <cell r="P16">
            <v>-808</v>
          </cell>
          <cell r="S16">
            <v>-601.89285714285711</v>
          </cell>
          <cell r="T16">
            <v>-808</v>
          </cell>
          <cell r="U16">
            <v>-750</v>
          </cell>
          <cell r="V16">
            <v>-601.89285714285711</v>
          </cell>
          <cell r="W16">
            <v>-379</v>
          </cell>
          <cell r="X16">
            <v>-405</v>
          </cell>
          <cell r="Y16">
            <v>-317.07142857142856</v>
          </cell>
          <cell r="AA16">
            <v>0</v>
          </cell>
          <cell r="AB16">
            <v>-12.178571428571429</v>
          </cell>
          <cell r="AF16">
            <v>0</v>
          </cell>
          <cell r="AG16">
            <v>2.6428571428571428</v>
          </cell>
          <cell r="AL16">
            <v>-321</v>
          </cell>
          <cell r="AM16">
            <v>-345</v>
          </cell>
          <cell r="AN16">
            <v>-275.28571428571428</v>
          </cell>
          <cell r="AR16">
            <v>-700</v>
          </cell>
          <cell r="AS16">
            <v>-750</v>
          </cell>
          <cell r="AT16">
            <v>-592.35714285714289</v>
          </cell>
          <cell r="AV16">
            <v>-16.321428571428573</v>
          </cell>
          <cell r="AW16">
            <v>-74.857142857142861</v>
          </cell>
          <cell r="AX16">
            <v>-90.678571428571431</v>
          </cell>
          <cell r="AY16">
            <v>-73.642857142857139</v>
          </cell>
          <cell r="AZ16">
            <v>-27.071428571428573</v>
          </cell>
          <cell r="BA16">
            <v>-34.5</v>
          </cell>
          <cell r="BB16">
            <v>-212.03571428571428</v>
          </cell>
          <cell r="BC16">
            <v>1.5</v>
          </cell>
          <cell r="BD16">
            <v>-59.5</v>
          </cell>
          <cell r="BE16">
            <v>-5.25</v>
          </cell>
          <cell r="BJ16">
            <v>-15</v>
          </cell>
          <cell r="BK16">
            <v>-110</v>
          </cell>
          <cell r="BL16">
            <v>-100</v>
          </cell>
          <cell r="BM16">
            <v>-100</v>
          </cell>
          <cell r="BN16">
            <v>-35</v>
          </cell>
          <cell r="BO16">
            <v>-45</v>
          </cell>
          <cell r="BP16">
            <v>-225</v>
          </cell>
          <cell r="BQ16">
            <v>-40</v>
          </cell>
          <cell r="BR16">
            <v>-80</v>
          </cell>
          <cell r="BS16">
            <v>0</v>
          </cell>
          <cell r="BY16">
            <v>-6.6208214285714293</v>
          </cell>
          <cell r="CD16">
            <v>-6.6208214285714293</v>
          </cell>
        </row>
        <row r="17">
          <cell r="A17">
            <v>12</v>
          </cell>
          <cell r="B17">
            <v>46</v>
          </cell>
          <cell r="C17">
            <v>-25</v>
          </cell>
          <cell r="D17">
            <v>0</v>
          </cell>
          <cell r="E17">
            <v>-48</v>
          </cell>
          <cell r="F17">
            <v>-18</v>
          </cell>
          <cell r="G17">
            <v>-9</v>
          </cell>
          <cell r="H17">
            <v>-105</v>
          </cell>
          <cell r="I17">
            <v>-4</v>
          </cell>
          <cell r="J17">
            <v>-96</v>
          </cell>
          <cell r="K17">
            <v>-3</v>
          </cell>
          <cell r="L17">
            <v>0</v>
          </cell>
          <cell r="M17">
            <v>192</v>
          </cell>
          <cell r="P17">
            <v>-70</v>
          </cell>
          <cell r="S17">
            <v>-601.89285714285711</v>
          </cell>
          <cell r="T17">
            <v>-70</v>
          </cell>
          <cell r="U17">
            <v>-750</v>
          </cell>
          <cell r="V17">
            <v>-601.89285714285711</v>
          </cell>
          <cell r="W17">
            <v>-235</v>
          </cell>
          <cell r="X17">
            <v>-405</v>
          </cell>
          <cell r="Y17">
            <v>-317.07142857142856</v>
          </cell>
          <cell r="AA17">
            <v>0</v>
          </cell>
          <cell r="AB17">
            <v>-12.178571428571429</v>
          </cell>
          <cell r="AF17">
            <v>0</v>
          </cell>
          <cell r="AG17">
            <v>2.6428571428571428</v>
          </cell>
          <cell r="AL17">
            <v>-73</v>
          </cell>
          <cell r="AM17">
            <v>-345</v>
          </cell>
          <cell r="AN17">
            <v>-275.28571428571428</v>
          </cell>
          <cell r="AR17">
            <v>-308</v>
          </cell>
          <cell r="AS17">
            <v>-750</v>
          </cell>
          <cell r="AT17">
            <v>-592.35714285714289</v>
          </cell>
          <cell r="AV17">
            <v>-16.321428571428573</v>
          </cell>
          <cell r="AW17">
            <v>-74.857142857142861</v>
          </cell>
          <cell r="AX17">
            <v>-90.678571428571431</v>
          </cell>
          <cell r="AY17">
            <v>-73.642857142857139</v>
          </cell>
          <cell r="AZ17">
            <v>-27.071428571428573</v>
          </cell>
          <cell r="BA17">
            <v>-34.5</v>
          </cell>
          <cell r="BB17">
            <v>-212.03571428571428</v>
          </cell>
          <cell r="BC17">
            <v>1.5</v>
          </cell>
          <cell r="BD17">
            <v>-59.5</v>
          </cell>
          <cell r="BE17">
            <v>-5.25</v>
          </cell>
          <cell r="BJ17">
            <v>-15</v>
          </cell>
          <cell r="BK17">
            <v>-110</v>
          </cell>
          <cell r="BL17">
            <v>-100</v>
          </cell>
          <cell r="BM17">
            <v>-100</v>
          </cell>
          <cell r="BN17">
            <v>-35</v>
          </cell>
          <cell r="BO17">
            <v>-45</v>
          </cell>
          <cell r="BP17">
            <v>-225</v>
          </cell>
          <cell r="BQ17">
            <v>-40</v>
          </cell>
          <cell r="BR17">
            <v>-80</v>
          </cell>
          <cell r="BS17">
            <v>0</v>
          </cell>
          <cell r="BY17">
            <v>-7.2227142857142868</v>
          </cell>
          <cell r="CD17">
            <v>-7.2227142857142868</v>
          </cell>
        </row>
        <row r="18">
          <cell r="A18">
            <v>13</v>
          </cell>
          <cell r="B18">
            <v>38</v>
          </cell>
          <cell r="C18">
            <v>-69</v>
          </cell>
          <cell r="D18">
            <v>39</v>
          </cell>
          <cell r="E18">
            <v>-136</v>
          </cell>
          <cell r="F18">
            <v>-17</v>
          </cell>
          <cell r="G18">
            <v>0</v>
          </cell>
          <cell r="H18">
            <v>-105</v>
          </cell>
          <cell r="I18">
            <v>0</v>
          </cell>
          <cell r="J18">
            <v>-87</v>
          </cell>
          <cell r="K18">
            <v>0</v>
          </cell>
          <cell r="L18">
            <v>0</v>
          </cell>
          <cell r="M18">
            <v>233</v>
          </cell>
          <cell r="P18">
            <v>-104</v>
          </cell>
          <cell r="S18">
            <v>-601.89285714285711</v>
          </cell>
          <cell r="T18">
            <v>-104</v>
          </cell>
          <cell r="U18">
            <v>-750</v>
          </cell>
          <cell r="V18">
            <v>-601.89285714285711</v>
          </cell>
          <cell r="W18">
            <v>-209</v>
          </cell>
          <cell r="X18">
            <v>-405</v>
          </cell>
          <cell r="Y18">
            <v>-317.07142857142856</v>
          </cell>
          <cell r="AA18">
            <v>0</v>
          </cell>
          <cell r="AB18">
            <v>-12.178571428571429</v>
          </cell>
          <cell r="AF18">
            <v>0</v>
          </cell>
          <cell r="AG18">
            <v>2.6428571428571428</v>
          </cell>
          <cell r="AL18">
            <v>-166</v>
          </cell>
          <cell r="AM18">
            <v>-345</v>
          </cell>
          <cell r="AN18">
            <v>-275.28571428571428</v>
          </cell>
          <cell r="AR18">
            <v>-375</v>
          </cell>
          <cell r="AS18">
            <v>-750</v>
          </cell>
          <cell r="AT18">
            <v>-592.35714285714289</v>
          </cell>
          <cell r="AV18">
            <v>-16.321428571428573</v>
          </cell>
          <cell r="AW18">
            <v>-74.857142857142861</v>
          </cell>
          <cell r="AX18">
            <v>-90.678571428571431</v>
          </cell>
          <cell r="AY18">
            <v>-73.642857142857139</v>
          </cell>
          <cell r="AZ18">
            <v>-27.071428571428573</v>
          </cell>
          <cell r="BA18">
            <v>-34.5</v>
          </cell>
          <cell r="BB18">
            <v>-212.03571428571428</v>
          </cell>
          <cell r="BC18">
            <v>1.5</v>
          </cell>
          <cell r="BD18">
            <v>-59.5</v>
          </cell>
          <cell r="BE18">
            <v>-5.25</v>
          </cell>
          <cell r="BJ18">
            <v>-15</v>
          </cell>
          <cell r="BK18">
            <v>-110</v>
          </cell>
          <cell r="BL18">
            <v>-100</v>
          </cell>
          <cell r="BM18">
            <v>-100</v>
          </cell>
          <cell r="BN18">
            <v>-35</v>
          </cell>
          <cell r="BO18">
            <v>-45</v>
          </cell>
          <cell r="BP18">
            <v>-225</v>
          </cell>
          <cell r="BQ18">
            <v>-40</v>
          </cell>
          <cell r="BR18">
            <v>-80</v>
          </cell>
          <cell r="BS18">
            <v>0</v>
          </cell>
          <cell r="BY18">
            <v>-7.8246071428571442</v>
          </cell>
          <cell r="CD18">
            <v>-7.8246071428571442</v>
          </cell>
        </row>
        <row r="19">
          <cell r="A19">
            <v>14</v>
          </cell>
          <cell r="B19">
            <v>-15</v>
          </cell>
          <cell r="C19">
            <v>-71</v>
          </cell>
          <cell r="D19">
            <v>4</v>
          </cell>
          <cell r="E19">
            <v>-250</v>
          </cell>
          <cell r="F19">
            <v>-17</v>
          </cell>
          <cell r="G19">
            <v>0</v>
          </cell>
          <cell r="H19">
            <v>-91</v>
          </cell>
          <cell r="I19">
            <v>0</v>
          </cell>
          <cell r="J19">
            <v>-85</v>
          </cell>
          <cell r="K19">
            <v>0</v>
          </cell>
          <cell r="L19">
            <v>0</v>
          </cell>
          <cell r="M19">
            <v>23</v>
          </cell>
          <cell r="P19">
            <v>-502</v>
          </cell>
          <cell r="S19">
            <v>-601.89285714285711</v>
          </cell>
          <cell r="T19">
            <v>-502</v>
          </cell>
          <cell r="U19">
            <v>-750</v>
          </cell>
          <cell r="V19">
            <v>-601.89285714285711</v>
          </cell>
          <cell r="W19">
            <v>-193</v>
          </cell>
          <cell r="X19">
            <v>-405</v>
          </cell>
          <cell r="Y19">
            <v>-317.07142857142856</v>
          </cell>
          <cell r="AA19">
            <v>0</v>
          </cell>
          <cell r="AB19">
            <v>-12.178571428571429</v>
          </cell>
          <cell r="AF19">
            <v>0</v>
          </cell>
          <cell r="AG19">
            <v>2.6428571428571428</v>
          </cell>
          <cell r="AL19">
            <v>-317</v>
          </cell>
          <cell r="AM19">
            <v>-345</v>
          </cell>
          <cell r="AN19">
            <v>-275.28571428571428</v>
          </cell>
          <cell r="AR19">
            <v>-510</v>
          </cell>
          <cell r="AS19">
            <v>-750</v>
          </cell>
          <cell r="AT19">
            <v>-592.35714285714289</v>
          </cell>
          <cell r="AV19">
            <v>-16.321428571428573</v>
          </cell>
          <cell r="AW19">
            <v>-74.857142857142861</v>
          </cell>
          <cell r="AX19">
            <v>-90.678571428571431</v>
          </cell>
          <cell r="AY19">
            <v>-73.642857142857139</v>
          </cell>
          <cell r="AZ19">
            <v>-27.071428571428573</v>
          </cell>
          <cell r="BA19">
            <v>-34.5</v>
          </cell>
          <cell r="BB19">
            <v>-212.03571428571428</v>
          </cell>
          <cell r="BC19">
            <v>1.5</v>
          </cell>
          <cell r="BD19">
            <v>-59.5</v>
          </cell>
          <cell r="BE19">
            <v>-5.25</v>
          </cell>
          <cell r="BJ19">
            <v>-15</v>
          </cell>
          <cell r="BK19">
            <v>-110</v>
          </cell>
          <cell r="BL19">
            <v>-100</v>
          </cell>
          <cell r="BM19">
            <v>-100</v>
          </cell>
          <cell r="BN19">
            <v>-35</v>
          </cell>
          <cell r="BO19">
            <v>-45</v>
          </cell>
          <cell r="BP19">
            <v>-225</v>
          </cell>
          <cell r="BQ19">
            <v>-40</v>
          </cell>
          <cell r="BR19">
            <v>-80</v>
          </cell>
          <cell r="BS19">
            <v>0</v>
          </cell>
          <cell r="BY19">
            <v>-8.4265000000000008</v>
          </cell>
          <cell r="CD19">
            <v>-8.4265000000000008</v>
          </cell>
        </row>
        <row r="20">
          <cell r="A20">
            <v>15</v>
          </cell>
          <cell r="B20">
            <v>-33</v>
          </cell>
          <cell r="C20">
            <v>-38</v>
          </cell>
          <cell r="D20">
            <v>81</v>
          </cell>
          <cell r="E20">
            <v>-256</v>
          </cell>
          <cell r="F20">
            <v>-17</v>
          </cell>
          <cell r="G20">
            <v>-87</v>
          </cell>
          <cell r="H20">
            <v>-92</v>
          </cell>
          <cell r="I20">
            <v>-28</v>
          </cell>
          <cell r="J20">
            <v>-78</v>
          </cell>
          <cell r="K20">
            <v>-29</v>
          </cell>
          <cell r="L20">
            <v>0</v>
          </cell>
          <cell r="M20">
            <v>290</v>
          </cell>
          <cell r="P20">
            <v>-287</v>
          </cell>
          <cell r="S20">
            <v>-601.89285714285711</v>
          </cell>
          <cell r="T20">
            <v>-287</v>
          </cell>
          <cell r="U20">
            <v>-750</v>
          </cell>
          <cell r="V20">
            <v>-601.89285714285711</v>
          </cell>
          <cell r="W20">
            <v>-331</v>
          </cell>
          <cell r="X20">
            <v>-405</v>
          </cell>
          <cell r="Y20">
            <v>-317.07142857142856</v>
          </cell>
          <cell r="AA20">
            <v>0</v>
          </cell>
          <cell r="AB20">
            <v>-12.178571428571429</v>
          </cell>
          <cell r="AF20">
            <v>0</v>
          </cell>
          <cell r="AG20">
            <v>2.6428571428571428</v>
          </cell>
          <cell r="AL20">
            <v>-213</v>
          </cell>
          <cell r="AM20">
            <v>-345</v>
          </cell>
          <cell r="AN20">
            <v>-275.28571428571428</v>
          </cell>
          <cell r="AR20">
            <v>-544</v>
          </cell>
          <cell r="AS20">
            <v>-750</v>
          </cell>
          <cell r="AT20">
            <v>-592.35714285714289</v>
          </cell>
          <cell r="AV20">
            <v>-16.321428571428573</v>
          </cell>
          <cell r="AW20">
            <v>-74.857142857142861</v>
          </cell>
          <cell r="AX20">
            <v>-90.678571428571431</v>
          </cell>
          <cell r="AY20">
            <v>-73.642857142857139</v>
          </cell>
          <cell r="AZ20">
            <v>-27.071428571428573</v>
          </cell>
          <cell r="BA20">
            <v>-34.5</v>
          </cell>
          <cell r="BB20">
            <v>-212.03571428571428</v>
          </cell>
          <cell r="BC20">
            <v>1.5</v>
          </cell>
          <cell r="BD20">
            <v>-59.5</v>
          </cell>
          <cell r="BE20">
            <v>-5.25</v>
          </cell>
          <cell r="BJ20">
            <v>-15</v>
          </cell>
          <cell r="BK20">
            <v>-110</v>
          </cell>
          <cell r="BL20">
            <v>-100</v>
          </cell>
          <cell r="BM20">
            <v>-100</v>
          </cell>
          <cell r="BN20">
            <v>-35</v>
          </cell>
          <cell r="BO20">
            <v>-45</v>
          </cell>
          <cell r="BP20">
            <v>-225</v>
          </cell>
          <cell r="BQ20">
            <v>-40</v>
          </cell>
          <cell r="BR20">
            <v>-80</v>
          </cell>
          <cell r="BS20">
            <v>0</v>
          </cell>
          <cell r="BY20">
            <v>-9.0283928571428582</v>
          </cell>
          <cell r="CD20">
            <v>-9.0283928571428582</v>
          </cell>
        </row>
        <row r="21">
          <cell r="A21">
            <v>16</v>
          </cell>
          <cell r="B21">
            <v>-77</v>
          </cell>
          <cell r="C21">
            <v>-22</v>
          </cell>
          <cell r="D21">
            <v>-18</v>
          </cell>
          <cell r="E21">
            <v>-260</v>
          </cell>
          <cell r="F21">
            <v>-17</v>
          </cell>
          <cell r="G21">
            <v>-118</v>
          </cell>
          <cell r="H21">
            <v>-93</v>
          </cell>
          <cell r="I21">
            <v>-45</v>
          </cell>
          <cell r="J21">
            <v>-78</v>
          </cell>
          <cell r="K21">
            <v>-41</v>
          </cell>
          <cell r="L21">
            <v>0</v>
          </cell>
          <cell r="M21">
            <v>271</v>
          </cell>
          <cell r="P21">
            <v>-498</v>
          </cell>
          <cell r="S21">
            <v>-601.89285714285711</v>
          </cell>
          <cell r="T21">
            <v>-498</v>
          </cell>
          <cell r="U21">
            <v>-750</v>
          </cell>
          <cell r="V21">
            <v>-601.89285714285711</v>
          </cell>
          <cell r="W21">
            <v>-392</v>
          </cell>
          <cell r="X21">
            <v>-405</v>
          </cell>
          <cell r="Y21">
            <v>-317.07142857142856</v>
          </cell>
          <cell r="AA21">
            <v>0</v>
          </cell>
          <cell r="AB21">
            <v>-12.178571428571429</v>
          </cell>
          <cell r="AF21">
            <v>0</v>
          </cell>
          <cell r="AG21">
            <v>2.6428571428571428</v>
          </cell>
          <cell r="AL21">
            <v>-300</v>
          </cell>
          <cell r="AM21">
            <v>-345</v>
          </cell>
          <cell r="AN21">
            <v>-275.28571428571428</v>
          </cell>
          <cell r="AR21">
            <v>-692</v>
          </cell>
          <cell r="AS21">
            <v>-750</v>
          </cell>
          <cell r="AT21">
            <v>-592.35714285714289</v>
          </cell>
          <cell r="AV21">
            <v>-16.321428571428573</v>
          </cell>
          <cell r="AW21">
            <v>-74.857142857142861</v>
          </cell>
          <cell r="AX21">
            <v>-90.678571428571431</v>
          </cell>
          <cell r="AY21">
            <v>-73.642857142857139</v>
          </cell>
          <cell r="AZ21">
            <v>-27.071428571428573</v>
          </cell>
          <cell r="BA21">
            <v>-34.5</v>
          </cell>
          <cell r="BB21">
            <v>-212.03571428571428</v>
          </cell>
          <cell r="BC21">
            <v>1.5</v>
          </cell>
          <cell r="BD21">
            <v>-59.5</v>
          </cell>
          <cell r="BE21">
            <v>-5.25</v>
          </cell>
          <cell r="BJ21">
            <v>-15</v>
          </cell>
          <cell r="BK21">
            <v>-110</v>
          </cell>
          <cell r="BL21">
            <v>-100</v>
          </cell>
          <cell r="BM21">
            <v>-100</v>
          </cell>
          <cell r="BN21">
            <v>-35</v>
          </cell>
          <cell r="BO21">
            <v>-45</v>
          </cell>
          <cell r="BP21">
            <v>-225</v>
          </cell>
          <cell r="BQ21">
            <v>-40</v>
          </cell>
          <cell r="BR21">
            <v>-80</v>
          </cell>
          <cell r="BS21">
            <v>0</v>
          </cell>
          <cell r="BY21">
            <v>-9.6302857142857157</v>
          </cell>
          <cell r="CD21">
            <v>-9.6302857142857157</v>
          </cell>
        </row>
        <row r="22">
          <cell r="A22">
            <v>17</v>
          </cell>
          <cell r="B22">
            <v>-129</v>
          </cell>
          <cell r="C22">
            <v>-75</v>
          </cell>
          <cell r="D22">
            <v>-46</v>
          </cell>
          <cell r="E22">
            <v>-500</v>
          </cell>
          <cell r="F22">
            <v>-29</v>
          </cell>
          <cell r="G22">
            <v>-113</v>
          </cell>
          <cell r="H22">
            <v>-119</v>
          </cell>
          <cell r="I22">
            <v>-46</v>
          </cell>
          <cell r="J22">
            <v>-80</v>
          </cell>
          <cell r="K22">
            <v>-40</v>
          </cell>
          <cell r="L22">
            <v>0</v>
          </cell>
          <cell r="M22">
            <v>-244</v>
          </cell>
          <cell r="P22">
            <v>-1421</v>
          </cell>
          <cell r="S22">
            <v>-601.89285714285711</v>
          </cell>
          <cell r="T22">
            <v>-1421</v>
          </cell>
          <cell r="U22">
            <v>-750</v>
          </cell>
          <cell r="V22">
            <v>-601.89285714285711</v>
          </cell>
          <cell r="W22">
            <v>-427</v>
          </cell>
          <cell r="X22">
            <v>-405</v>
          </cell>
          <cell r="Y22">
            <v>-317.07142857142856</v>
          </cell>
          <cell r="AA22">
            <v>0</v>
          </cell>
          <cell r="AB22">
            <v>-12.178571428571429</v>
          </cell>
          <cell r="AF22">
            <v>0</v>
          </cell>
          <cell r="AG22">
            <v>2.6428571428571428</v>
          </cell>
          <cell r="AL22">
            <v>-621</v>
          </cell>
          <cell r="AM22">
            <v>-345</v>
          </cell>
          <cell r="AN22">
            <v>-275.28571428571428</v>
          </cell>
          <cell r="AR22">
            <v>-1048</v>
          </cell>
          <cell r="AS22">
            <v>-750</v>
          </cell>
          <cell r="AT22">
            <v>-592.35714285714289</v>
          </cell>
          <cell r="AV22">
            <v>-16.321428571428573</v>
          </cell>
          <cell r="AW22">
            <v>-74.857142857142861</v>
          </cell>
          <cell r="AX22">
            <v>-90.678571428571431</v>
          </cell>
          <cell r="AY22">
            <v>-73.642857142857139</v>
          </cell>
          <cell r="AZ22">
            <v>-27.071428571428573</v>
          </cell>
          <cell r="BA22">
            <v>-34.5</v>
          </cell>
          <cell r="BB22">
            <v>-212.03571428571428</v>
          </cell>
          <cell r="BC22">
            <v>1.5</v>
          </cell>
          <cell r="BD22">
            <v>-59.5</v>
          </cell>
          <cell r="BE22">
            <v>-5.25</v>
          </cell>
          <cell r="BJ22">
            <v>-15</v>
          </cell>
          <cell r="BK22">
            <v>-110</v>
          </cell>
          <cell r="BL22">
            <v>-100</v>
          </cell>
          <cell r="BM22">
            <v>-100</v>
          </cell>
          <cell r="BN22">
            <v>-35</v>
          </cell>
          <cell r="BO22">
            <v>-45</v>
          </cell>
          <cell r="BP22">
            <v>-225</v>
          </cell>
          <cell r="BQ22">
            <v>-40</v>
          </cell>
          <cell r="BR22">
            <v>-80</v>
          </cell>
          <cell r="BS22">
            <v>0</v>
          </cell>
          <cell r="BY22">
            <v>-10.232178571428573</v>
          </cell>
          <cell r="CD22">
            <v>-10.232178571428573</v>
          </cell>
        </row>
        <row r="23">
          <cell r="A23">
            <v>18</v>
          </cell>
          <cell r="B23">
            <v>-55</v>
          </cell>
          <cell r="C23">
            <v>-71</v>
          </cell>
          <cell r="D23">
            <v>-51</v>
          </cell>
          <cell r="E23">
            <v>-397</v>
          </cell>
          <cell r="F23">
            <v>-29</v>
          </cell>
          <cell r="G23">
            <v>-122</v>
          </cell>
          <cell r="H23">
            <v>-113</v>
          </cell>
          <cell r="I23">
            <v>-46</v>
          </cell>
          <cell r="J23">
            <v>-80</v>
          </cell>
          <cell r="K23">
            <v>-43</v>
          </cell>
          <cell r="L23">
            <v>0</v>
          </cell>
          <cell r="M23">
            <v>-44</v>
          </cell>
          <cell r="P23">
            <v>-1051</v>
          </cell>
          <cell r="S23">
            <v>-601.89285714285711</v>
          </cell>
          <cell r="T23">
            <v>-1051</v>
          </cell>
          <cell r="U23">
            <v>-750</v>
          </cell>
          <cell r="V23">
            <v>-601.89285714285711</v>
          </cell>
          <cell r="W23">
            <v>-433</v>
          </cell>
          <cell r="X23">
            <v>-405</v>
          </cell>
          <cell r="Y23">
            <v>-317.07142857142856</v>
          </cell>
          <cell r="AA23">
            <v>0</v>
          </cell>
          <cell r="AB23">
            <v>-12.178571428571429</v>
          </cell>
          <cell r="AF23">
            <v>0</v>
          </cell>
          <cell r="AG23">
            <v>2.6428571428571428</v>
          </cell>
          <cell r="AL23">
            <v>-519</v>
          </cell>
          <cell r="AM23">
            <v>-345</v>
          </cell>
          <cell r="AN23">
            <v>-275.28571428571428</v>
          </cell>
          <cell r="AR23">
            <v>-952</v>
          </cell>
          <cell r="AS23">
            <v>-750</v>
          </cell>
          <cell r="AT23">
            <v>-592.35714285714289</v>
          </cell>
          <cell r="AV23">
            <v>-16.321428571428573</v>
          </cell>
          <cell r="AW23">
            <v>-74.857142857142861</v>
          </cell>
          <cell r="AX23">
            <v>-90.678571428571431</v>
          </cell>
          <cell r="AY23">
            <v>-73.642857142857139</v>
          </cell>
          <cell r="AZ23">
            <v>-27.071428571428573</v>
          </cell>
          <cell r="BA23">
            <v>-34.5</v>
          </cell>
          <cell r="BB23">
            <v>-212.03571428571428</v>
          </cell>
          <cell r="BC23">
            <v>1.5</v>
          </cell>
          <cell r="BD23">
            <v>-59.5</v>
          </cell>
          <cell r="BE23">
            <v>-5.25</v>
          </cell>
          <cell r="BJ23">
            <v>-15</v>
          </cell>
          <cell r="BK23">
            <v>-110</v>
          </cell>
          <cell r="BL23">
            <v>-100</v>
          </cell>
          <cell r="BM23">
            <v>-100</v>
          </cell>
          <cell r="BN23">
            <v>-35</v>
          </cell>
          <cell r="BO23">
            <v>-45</v>
          </cell>
          <cell r="BP23">
            <v>-225</v>
          </cell>
          <cell r="BQ23">
            <v>-40</v>
          </cell>
          <cell r="BR23">
            <v>-80</v>
          </cell>
          <cell r="BS23">
            <v>0</v>
          </cell>
          <cell r="BY23">
            <v>-10.834071428571431</v>
          </cell>
          <cell r="CD23">
            <v>-10.834071428571431</v>
          </cell>
        </row>
        <row r="24">
          <cell r="A24">
            <v>19</v>
          </cell>
          <cell r="B24">
            <v>88</v>
          </cell>
          <cell r="C24">
            <v>-68</v>
          </cell>
          <cell r="D24">
            <v>-5</v>
          </cell>
          <cell r="E24">
            <v>-225</v>
          </cell>
          <cell r="F24">
            <v>-29</v>
          </cell>
          <cell r="G24">
            <v>-88</v>
          </cell>
          <cell r="H24">
            <v>-9</v>
          </cell>
          <cell r="I24">
            <v>-50</v>
          </cell>
          <cell r="J24">
            <v>-6</v>
          </cell>
          <cell r="K24">
            <v>-37</v>
          </cell>
          <cell r="L24">
            <v>0</v>
          </cell>
          <cell r="M24">
            <v>114</v>
          </cell>
          <cell r="P24">
            <v>-315</v>
          </cell>
          <cell r="U24">
            <v>-750</v>
          </cell>
          <cell r="W24">
            <v>-219</v>
          </cell>
          <cell r="X24">
            <v>-405</v>
          </cell>
          <cell r="Y24">
            <v>-317.07142857142856</v>
          </cell>
          <cell r="AA24">
            <v>0</v>
          </cell>
          <cell r="AB24">
            <v>-12.178571428571429</v>
          </cell>
          <cell r="AF24">
            <v>0</v>
          </cell>
          <cell r="AG24">
            <v>2.6428571428571428</v>
          </cell>
          <cell r="AM24">
            <v>-345</v>
          </cell>
          <cell r="AS24">
            <v>-750</v>
          </cell>
          <cell r="AV24">
            <v>-16.321428571428573</v>
          </cell>
          <cell r="AW24">
            <v>-74.857142857142861</v>
          </cell>
          <cell r="AX24">
            <v>-90.678571428571431</v>
          </cell>
          <cell r="AY24">
            <v>-73.642857142857139</v>
          </cell>
          <cell r="AZ24">
            <v>-27.071428571428573</v>
          </cell>
          <cell r="BA24">
            <v>-34.5</v>
          </cell>
          <cell r="BB24">
            <v>-212.03571428571428</v>
          </cell>
          <cell r="BC24">
            <v>1.5</v>
          </cell>
          <cell r="BD24">
            <v>-59.5</v>
          </cell>
          <cell r="BE24">
            <v>-5.25</v>
          </cell>
          <cell r="BJ24">
            <v>-15</v>
          </cell>
          <cell r="BK24">
            <v>-110</v>
          </cell>
          <cell r="BL24">
            <v>-100</v>
          </cell>
          <cell r="BM24">
            <v>-100</v>
          </cell>
          <cell r="BN24">
            <v>-35</v>
          </cell>
          <cell r="BO24">
            <v>-45</v>
          </cell>
          <cell r="BP24">
            <v>-225</v>
          </cell>
          <cell r="BQ24">
            <v>-40</v>
          </cell>
          <cell r="BR24">
            <v>-80</v>
          </cell>
          <cell r="BS24">
            <v>0</v>
          </cell>
          <cell r="BY24">
            <v>-11.435964285714288</v>
          </cell>
          <cell r="CD24">
            <v>-11.435964285714288</v>
          </cell>
        </row>
        <row r="25">
          <cell r="A25">
            <v>20</v>
          </cell>
          <cell r="B25">
            <v>52</v>
          </cell>
          <cell r="C25">
            <v>-70</v>
          </cell>
          <cell r="D25">
            <v>36</v>
          </cell>
          <cell r="E25">
            <v>-221</v>
          </cell>
          <cell r="F25">
            <v>-27</v>
          </cell>
          <cell r="G25">
            <v>-117</v>
          </cell>
          <cell r="H25">
            <v>0</v>
          </cell>
          <cell r="I25">
            <v>-50</v>
          </cell>
          <cell r="J25">
            <v>0</v>
          </cell>
          <cell r="K25">
            <v>-42</v>
          </cell>
          <cell r="L25">
            <v>0</v>
          </cell>
          <cell r="M25">
            <v>79</v>
          </cell>
          <cell r="P25">
            <v>-360</v>
          </cell>
          <cell r="U25">
            <v>-750</v>
          </cell>
          <cell r="W25">
            <v>-236</v>
          </cell>
          <cell r="X25">
            <v>-405</v>
          </cell>
          <cell r="Y25">
            <v>-317.07142857142856</v>
          </cell>
          <cell r="AA25">
            <v>0</v>
          </cell>
          <cell r="AB25">
            <v>-12.178571428571429</v>
          </cell>
          <cell r="AF25">
            <v>0</v>
          </cell>
          <cell r="AG25">
            <v>2.6428571428571428</v>
          </cell>
          <cell r="AM25">
            <v>-345</v>
          </cell>
          <cell r="AS25">
            <v>-750</v>
          </cell>
          <cell r="AV25">
            <v>-16.321428571428573</v>
          </cell>
          <cell r="AW25">
            <v>-74.857142857142861</v>
          </cell>
          <cell r="AX25">
            <v>-90.678571428571431</v>
          </cell>
          <cell r="AY25">
            <v>-73.642857142857139</v>
          </cell>
          <cell r="AZ25">
            <v>-27.071428571428573</v>
          </cell>
          <cell r="BA25">
            <v>-34.5</v>
          </cell>
          <cell r="BB25">
            <v>-212.03571428571428</v>
          </cell>
          <cell r="BC25">
            <v>1.5</v>
          </cell>
          <cell r="BD25">
            <v>-59.5</v>
          </cell>
          <cell r="BE25">
            <v>-5.25</v>
          </cell>
          <cell r="BJ25">
            <v>-15</v>
          </cell>
          <cell r="BK25">
            <v>-110</v>
          </cell>
          <cell r="BL25">
            <v>-100</v>
          </cell>
          <cell r="BM25">
            <v>-100</v>
          </cell>
          <cell r="BN25">
            <v>-35</v>
          </cell>
          <cell r="BO25">
            <v>-45</v>
          </cell>
          <cell r="BP25">
            <v>-225</v>
          </cell>
          <cell r="BQ25">
            <v>-40</v>
          </cell>
          <cell r="BR25">
            <v>-80</v>
          </cell>
          <cell r="BS25">
            <v>0</v>
          </cell>
          <cell r="BY25">
            <v>-12.037857142857145</v>
          </cell>
          <cell r="CD25">
            <v>-12.037857142857145</v>
          </cell>
        </row>
        <row r="26">
          <cell r="A26">
            <v>21</v>
          </cell>
          <cell r="B26">
            <v>3</v>
          </cell>
          <cell r="C26">
            <v>-70</v>
          </cell>
          <cell r="D26">
            <v>103</v>
          </cell>
          <cell r="E26">
            <v>-225</v>
          </cell>
          <cell r="F26">
            <v>-26</v>
          </cell>
          <cell r="G26">
            <v>-120</v>
          </cell>
          <cell r="H26">
            <v>0</v>
          </cell>
          <cell r="I26">
            <v>-50</v>
          </cell>
          <cell r="J26">
            <v>0</v>
          </cell>
          <cell r="K26">
            <v>-44</v>
          </cell>
          <cell r="L26">
            <v>0</v>
          </cell>
          <cell r="M26">
            <v>114</v>
          </cell>
          <cell r="P26">
            <v>-315</v>
          </cell>
          <cell r="U26">
            <v>-750</v>
          </cell>
          <cell r="W26">
            <v>-240</v>
          </cell>
          <cell r="X26">
            <v>-405</v>
          </cell>
          <cell r="Y26">
            <v>-317.07142857142856</v>
          </cell>
          <cell r="AA26">
            <v>0</v>
          </cell>
          <cell r="AB26">
            <v>-12.178571428571429</v>
          </cell>
          <cell r="AF26">
            <v>0</v>
          </cell>
          <cell r="AG26">
            <v>2.6428571428571428</v>
          </cell>
          <cell r="AM26">
            <v>-345</v>
          </cell>
          <cell r="AS26">
            <v>-750</v>
          </cell>
          <cell r="AV26">
            <v>-16.321428571428573</v>
          </cell>
          <cell r="AW26">
            <v>-74.857142857142861</v>
          </cell>
          <cell r="AX26">
            <v>-90.678571428571431</v>
          </cell>
          <cell r="AY26">
            <v>-73.642857142857139</v>
          </cell>
          <cell r="AZ26">
            <v>-27.071428571428573</v>
          </cell>
          <cell r="BA26">
            <v>-34.5</v>
          </cell>
          <cell r="BB26">
            <v>-212.03571428571428</v>
          </cell>
          <cell r="BC26">
            <v>1.5</v>
          </cell>
          <cell r="BD26">
            <v>-59.5</v>
          </cell>
          <cell r="BE26">
            <v>-5.25</v>
          </cell>
          <cell r="BJ26">
            <v>-15</v>
          </cell>
          <cell r="BK26">
            <v>-110</v>
          </cell>
          <cell r="BL26">
            <v>-100</v>
          </cell>
          <cell r="BM26">
            <v>-100</v>
          </cell>
          <cell r="BN26">
            <v>-35</v>
          </cell>
          <cell r="BO26">
            <v>-45</v>
          </cell>
          <cell r="BP26">
            <v>-225</v>
          </cell>
          <cell r="BQ26">
            <v>-40</v>
          </cell>
          <cell r="BR26">
            <v>-80</v>
          </cell>
          <cell r="BS26">
            <v>0</v>
          </cell>
          <cell r="BY26">
            <v>-12.639750000000003</v>
          </cell>
          <cell r="CD26">
            <v>-12.639750000000003</v>
          </cell>
        </row>
        <row r="27">
          <cell r="A27">
            <v>22</v>
          </cell>
          <cell r="B27">
            <v>4</v>
          </cell>
          <cell r="C27">
            <v>-62</v>
          </cell>
          <cell r="D27">
            <v>3</v>
          </cell>
          <cell r="E27">
            <v>-225</v>
          </cell>
          <cell r="F27">
            <v>-27</v>
          </cell>
          <cell r="G27">
            <v>-116</v>
          </cell>
          <cell r="H27">
            <v>-92</v>
          </cell>
          <cell r="I27">
            <v>-48</v>
          </cell>
          <cell r="J27">
            <v>-68</v>
          </cell>
          <cell r="K27">
            <v>-43</v>
          </cell>
          <cell r="L27">
            <v>0</v>
          </cell>
          <cell r="M27">
            <v>225</v>
          </cell>
          <cell r="P27">
            <v>-449</v>
          </cell>
          <cell r="U27">
            <v>-750</v>
          </cell>
          <cell r="W27">
            <v>-394</v>
          </cell>
          <cell r="X27">
            <v>-405</v>
          </cell>
          <cell r="Y27">
            <v>-317.07142857142856</v>
          </cell>
          <cell r="AA27">
            <v>0</v>
          </cell>
          <cell r="AB27">
            <v>-12.178571428571429</v>
          </cell>
          <cell r="AF27">
            <v>0</v>
          </cell>
          <cell r="AG27">
            <v>2.6428571428571428</v>
          </cell>
          <cell r="AM27">
            <v>-345</v>
          </cell>
          <cell r="AS27">
            <v>-750</v>
          </cell>
          <cell r="AV27">
            <v>-16.321428571428573</v>
          </cell>
          <cell r="AW27">
            <v>-74.857142857142861</v>
          </cell>
          <cell r="AX27">
            <v>-90.678571428571431</v>
          </cell>
          <cell r="AY27">
            <v>-73.642857142857139</v>
          </cell>
          <cell r="AZ27">
            <v>-27.071428571428573</v>
          </cell>
          <cell r="BA27">
            <v>-34.5</v>
          </cell>
          <cell r="BB27">
            <v>-212.03571428571428</v>
          </cell>
          <cell r="BC27">
            <v>1.5</v>
          </cell>
          <cell r="BD27">
            <v>-59.5</v>
          </cell>
          <cell r="BE27">
            <v>-5.25</v>
          </cell>
          <cell r="BJ27">
            <v>-15</v>
          </cell>
          <cell r="BK27">
            <v>-110</v>
          </cell>
          <cell r="BL27">
            <v>-100</v>
          </cell>
          <cell r="BM27">
            <v>-100</v>
          </cell>
          <cell r="BN27">
            <v>-35</v>
          </cell>
          <cell r="BO27">
            <v>-45</v>
          </cell>
          <cell r="BP27">
            <v>-225</v>
          </cell>
          <cell r="BQ27">
            <v>-40</v>
          </cell>
          <cell r="BR27">
            <v>-80</v>
          </cell>
          <cell r="BS27">
            <v>0</v>
          </cell>
          <cell r="BY27">
            <v>-13.24164285714286</v>
          </cell>
          <cell r="CD27">
            <v>-13.24164285714286</v>
          </cell>
        </row>
        <row r="28">
          <cell r="A28">
            <v>23</v>
          </cell>
          <cell r="B28">
            <v>0</v>
          </cell>
          <cell r="C28">
            <v>-55</v>
          </cell>
          <cell r="D28">
            <v>-21</v>
          </cell>
          <cell r="E28">
            <v>-225</v>
          </cell>
          <cell r="F28">
            <v>-26</v>
          </cell>
          <cell r="G28">
            <v>-81</v>
          </cell>
          <cell r="H28">
            <v>-95</v>
          </cell>
          <cell r="I28">
            <v>-46</v>
          </cell>
          <cell r="J28">
            <v>-75</v>
          </cell>
          <cell r="K28">
            <v>-37</v>
          </cell>
          <cell r="L28">
            <v>-39</v>
          </cell>
          <cell r="M28">
            <v>69</v>
          </cell>
          <cell r="P28">
            <v>-631</v>
          </cell>
          <cell r="U28">
            <v>-750</v>
          </cell>
          <cell r="W28">
            <v>-360</v>
          </cell>
          <cell r="X28">
            <v>-405</v>
          </cell>
          <cell r="Y28">
            <v>-317.07142857142856</v>
          </cell>
          <cell r="AA28">
            <v>0</v>
          </cell>
          <cell r="AB28">
            <v>-12.178571428571429</v>
          </cell>
          <cell r="AF28">
            <v>0</v>
          </cell>
          <cell r="AG28">
            <v>2.6428571428571428</v>
          </cell>
          <cell r="AM28">
            <v>-345</v>
          </cell>
          <cell r="AS28">
            <v>-750</v>
          </cell>
          <cell r="AV28">
            <v>-16.321428571428573</v>
          </cell>
          <cell r="AW28">
            <v>-74.857142857142861</v>
          </cell>
          <cell r="AX28">
            <v>-90.678571428571431</v>
          </cell>
          <cell r="AY28">
            <v>-73.642857142857139</v>
          </cell>
          <cell r="AZ28">
            <v>-27.071428571428573</v>
          </cell>
          <cell r="BA28">
            <v>-34.5</v>
          </cell>
          <cell r="BB28">
            <v>-212.03571428571428</v>
          </cell>
          <cell r="BC28">
            <v>1.5</v>
          </cell>
          <cell r="BD28">
            <v>-59.5</v>
          </cell>
          <cell r="BE28">
            <v>-5.25</v>
          </cell>
          <cell r="BJ28">
            <v>-15</v>
          </cell>
          <cell r="BK28">
            <v>-110</v>
          </cell>
          <cell r="BL28">
            <v>-100</v>
          </cell>
          <cell r="BM28">
            <v>-100</v>
          </cell>
          <cell r="BN28">
            <v>-35</v>
          </cell>
          <cell r="BO28">
            <v>-45</v>
          </cell>
          <cell r="BP28">
            <v>-225</v>
          </cell>
          <cell r="BQ28">
            <v>-40</v>
          </cell>
          <cell r="BR28">
            <v>-80</v>
          </cell>
          <cell r="BS28">
            <v>0</v>
          </cell>
          <cell r="BY28">
            <v>-13.843535714285718</v>
          </cell>
          <cell r="CD28">
            <v>-13.843535714285718</v>
          </cell>
        </row>
        <row r="29">
          <cell r="A29">
            <v>24</v>
          </cell>
          <cell r="B29">
            <v>0</v>
          </cell>
          <cell r="C29">
            <v>-54</v>
          </cell>
          <cell r="D29">
            <v>33</v>
          </cell>
          <cell r="E29">
            <v>-225</v>
          </cell>
          <cell r="F29">
            <v>-26</v>
          </cell>
          <cell r="G29">
            <v>-111</v>
          </cell>
          <cell r="H29">
            <v>-95</v>
          </cell>
          <cell r="I29">
            <v>-44</v>
          </cell>
          <cell r="J29">
            <v>-75</v>
          </cell>
          <cell r="K29">
            <v>-43</v>
          </cell>
          <cell r="L29">
            <v>0</v>
          </cell>
          <cell r="M29">
            <v>297</v>
          </cell>
          <cell r="P29">
            <v>-343</v>
          </cell>
          <cell r="U29">
            <v>-750</v>
          </cell>
          <cell r="W29">
            <v>-394</v>
          </cell>
          <cell r="X29">
            <v>-405</v>
          </cell>
          <cell r="Y29">
            <v>-317.07142857142856</v>
          </cell>
          <cell r="AA29">
            <v>0</v>
          </cell>
          <cell r="AB29">
            <v>-12.178571428571429</v>
          </cell>
          <cell r="AF29">
            <v>0</v>
          </cell>
          <cell r="AG29">
            <v>2.6428571428571428</v>
          </cell>
          <cell r="AM29">
            <v>-345</v>
          </cell>
          <cell r="AS29">
            <v>-750</v>
          </cell>
          <cell r="AV29">
            <v>-16.321428571428573</v>
          </cell>
          <cell r="AW29">
            <v>-74.857142857142861</v>
          </cell>
          <cell r="AX29">
            <v>-90.678571428571431</v>
          </cell>
          <cell r="AY29">
            <v>-73.642857142857139</v>
          </cell>
          <cell r="AZ29">
            <v>-27.071428571428573</v>
          </cell>
          <cell r="BA29">
            <v>-34.5</v>
          </cell>
          <cell r="BB29">
            <v>-212.03571428571428</v>
          </cell>
          <cell r="BC29">
            <v>1.5</v>
          </cell>
          <cell r="BD29">
            <v>-59.5</v>
          </cell>
          <cell r="BE29">
            <v>-5.25</v>
          </cell>
          <cell r="BJ29">
            <v>-15</v>
          </cell>
          <cell r="BK29">
            <v>-110</v>
          </cell>
          <cell r="BL29">
            <v>-100</v>
          </cell>
          <cell r="BM29">
            <v>-100</v>
          </cell>
          <cell r="BN29">
            <v>-35</v>
          </cell>
          <cell r="BO29">
            <v>-45</v>
          </cell>
          <cell r="BP29">
            <v>-225</v>
          </cell>
          <cell r="BQ29">
            <v>-40</v>
          </cell>
          <cell r="BR29">
            <v>-80</v>
          </cell>
          <cell r="BS29">
            <v>0</v>
          </cell>
          <cell r="BY29">
            <v>-14.445428571428575</v>
          </cell>
          <cell r="CD29">
            <v>-14.445428571428575</v>
          </cell>
        </row>
        <row r="30">
          <cell r="A30">
            <v>25</v>
          </cell>
          <cell r="B30">
            <v>0</v>
          </cell>
          <cell r="C30">
            <v>-57</v>
          </cell>
          <cell r="D30">
            <v>0</v>
          </cell>
          <cell r="E30">
            <v>-225</v>
          </cell>
          <cell r="F30">
            <v>-20</v>
          </cell>
          <cell r="G30">
            <v>-109</v>
          </cell>
          <cell r="H30">
            <v>-95</v>
          </cell>
          <cell r="I30">
            <v>-43</v>
          </cell>
          <cell r="J30">
            <v>-75</v>
          </cell>
          <cell r="K30">
            <v>-43</v>
          </cell>
          <cell r="L30">
            <v>0</v>
          </cell>
          <cell r="M30">
            <v>152</v>
          </cell>
          <cell r="P30">
            <v>-515</v>
          </cell>
          <cell r="U30">
            <v>-750</v>
          </cell>
          <cell r="W30">
            <v>-385</v>
          </cell>
          <cell r="X30">
            <v>-405</v>
          </cell>
          <cell r="Y30">
            <v>-317.07142857142856</v>
          </cell>
          <cell r="AA30">
            <v>0</v>
          </cell>
          <cell r="AB30">
            <v>-12.178571428571429</v>
          </cell>
          <cell r="AF30">
            <v>0</v>
          </cell>
          <cell r="AG30">
            <v>2.6428571428571428</v>
          </cell>
          <cell r="AM30">
            <v>-345</v>
          </cell>
          <cell r="AS30">
            <v>-750</v>
          </cell>
          <cell r="AV30">
            <v>-16.321428571428573</v>
          </cell>
          <cell r="AW30">
            <v>-74.857142857142861</v>
          </cell>
          <cell r="AX30">
            <v>-90.678571428571431</v>
          </cell>
          <cell r="BC30">
            <v>1.5</v>
          </cell>
          <cell r="BJ30">
            <v>-15</v>
          </cell>
          <cell r="BK30">
            <v>-110</v>
          </cell>
          <cell r="BL30">
            <v>-100</v>
          </cell>
          <cell r="BM30">
            <v>-100</v>
          </cell>
          <cell r="BN30">
            <v>-35</v>
          </cell>
          <cell r="BO30">
            <v>-45</v>
          </cell>
          <cell r="BP30">
            <v>-225</v>
          </cell>
          <cell r="BQ30">
            <v>-40</v>
          </cell>
          <cell r="BR30">
            <v>-80</v>
          </cell>
          <cell r="BS30">
            <v>0</v>
          </cell>
          <cell r="BY30">
            <v>-15.047321428571433</v>
          </cell>
          <cell r="CD30">
            <v>-15.047321428571433</v>
          </cell>
        </row>
        <row r="31">
          <cell r="A31">
            <v>26</v>
          </cell>
          <cell r="B31">
            <v>0</v>
          </cell>
          <cell r="C31">
            <v>-27</v>
          </cell>
          <cell r="D31">
            <v>1</v>
          </cell>
          <cell r="E31">
            <v>-138</v>
          </cell>
          <cell r="F31">
            <v>-20</v>
          </cell>
          <cell r="G31">
            <v>0</v>
          </cell>
          <cell r="H31">
            <v>-94</v>
          </cell>
          <cell r="I31">
            <v>-42</v>
          </cell>
          <cell r="J31">
            <v>-75</v>
          </cell>
          <cell r="K31">
            <v>0</v>
          </cell>
          <cell r="L31">
            <v>36</v>
          </cell>
          <cell r="M31">
            <v>290</v>
          </cell>
          <cell r="P31">
            <v>-69</v>
          </cell>
          <cell r="U31">
            <v>-750</v>
          </cell>
          <cell r="W31">
            <v>-231</v>
          </cell>
          <cell r="X31">
            <v>-405</v>
          </cell>
          <cell r="Y31">
            <v>-317.07142857142856</v>
          </cell>
          <cell r="AA31">
            <v>0</v>
          </cell>
          <cell r="AF31">
            <v>0</v>
          </cell>
          <cell r="AM31">
            <v>-345</v>
          </cell>
          <cell r="AS31">
            <v>-750</v>
          </cell>
          <cell r="AV31">
            <v>-16.321428571428573</v>
          </cell>
          <cell r="AW31">
            <v>-74.857142857142861</v>
          </cell>
          <cell r="AX31">
            <v>-90.678571428571431</v>
          </cell>
          <cell r="BC31">
            <v>1.5</v>
          </cell>
          <cell r="BJ31">
            <v>-15</v>
          </cell>
          <cell r="BK31">
            <v>-110</v>
          </cell>
          <cell r="BL31">
            <v>-100</v>
          </cell>
          <cell r="BM31">
            <v>-100</v>
          </cell>
          <cell r="BN31">
            <v>-35</v>
          </cell>
          <cell r="BO31">
            <v>-45</v>
          </cell>
          <cell r="BP31">
            <v>-225</v>
          </cell>
          <cell r="BQ31">
            <v>-40</v>
          </cell>
          <cell r="BR31">
            <v>-80</v>
          </cell>
          <cell r="BS31">
            <v>0</v>
          </cell>
          <cell r="BY31">
            <v>-15.64921428571429</v>
          </cell>
          <cell r="CD31">
            <v>-15.64921428571429</v>
          </cell>
        </row>
        <row r="32">
          <cell r="A32">
            <v>27</v>
          </cell>
          <cell r="B32">
            <v>-29</v>
          </cell>
          <cell r="C32">
            <v>-60</v>
          </cell>
          <cell r="D32">
            <v>0</v>
          </cell>
          <cell r="E32">
            <v>-154</v>
          </cell>
          <cell r="F32">
            <v>-19</v>
          </cell>
          <cell r="G32">
            <v>0</v>
          </cell>
          <cell r="H32">
            <v>-93</v>
          </cell>
          <cell r="I32">
            <v>-43</v>
          </cell>
          <cell r="J32">
            <v>-75</v>
          </cell>
          <cell r="K32">
            <v>0</v>
          </cell>
          <cell r="L32">
            <v>93</v>
          </cell>
          <cell r="M32">
            <v>182</v>
          </cell>
          <cell r="P32">
            <v>-198</v>
          </cell>
          <cell r="U32">
            <v>-750</v>
          </cell>
          <cell r="X32">
            <v>-405</v>
          </cell>
          <cell r="AA32">
            <v>0</v>
          </cell>
          <cell r="AF32">
            <v>0</v>
          </cell>
          <cell r="AM32">
            <v>-345</v>
          </cell>
          <cell r="AS32">
            <v>-750</v>
          </cell>
          <cell r="BJ32">
            <v>-15</v>
          </cell>
          <cell r="BK32">
            <v>-110</v>
          </cell>
          <cell r="BL32">
            <v>-100</v>
          </cell>
          <cell r="BM32">
            <v>-100</v>
          </cell>
          <cell r="BN32">
            <v>-35</v>
          </cell>
          <cell r="BO32">
            <v>-45</v>
          </cell>
          <cell r="BP32">
            <v>-225</v>
          </cell>
          <cell r="BQ32">
            <v>-40</v>
          </cell>
          <cell r="BR32">
            <v>-80</v>
          </cell>
          <cell r="BS32">
            <v>0</v>
          </cell>
          <cell r="BY32">
            <v>-16.251107142857148</v>
          </cell>
          <cell r="CD32">
            <v>-16.251107142857148</v>
          </cell>
        </row>
      </sheetData>
      <sheetData sheetId="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2"/>
      <sheetName val="B2.1"/>
      <sheetName val="B-2.1a"/>
      <sheetName val="B-2.2"/>
      <sheetName val="B-2.3"/>
      <sheetName val="B-2.4"/>
      <sheetName val="B-2.5"/>
      <sheetName val="B-2.6"/>
      <sheetName val="B-2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ote Data, Margins, Discounts"/>
      <sheetName val="Price Workout Sheet"/>
      <sheetName val="Customer Issue"/>
      <sheetName val="Deal Summary"/>
      <sheetName val="Product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angible Plant"/>
      <sheetName val="Production"/>
      <sheetName val="Storage"/>
      <sheetName val="Transmission"/>
      <sheetName val="Distribution"/>
      <sheetName val="General Plant"/>
      <sheetName val="Tax Rates"/>
      <sheetName val="39 Year Rate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Yr. Life</v>
          </cell>
          <cell r="B1" t="str">
            <v>Year 1</v>
          </cell>
          <cell r="C1" t="str">
            <v>Year 2</v>
          </cell>
          <cell r="D1" t="str">
            <v>Year 3</v>
          </cell>
          <cell r="E1" t="str">
            <v>Year 4</v>
          </cell>
          <cell r="F1" t="str">
            <v>Description</v>
          </cell>
        </row>
        <row r="2">
          <cell r="A2">
            <v>1</v>
          </cell>
          <cell r="B2">
            <v>1</v>
          </cell>
          <cell r="C2">
            <v>0</v>
          </cell>
          <cell r="D2">
            <v>0</v>
          </cell>
          <cell r="E2">
            <v>0</v>
          </cell>
          <cell r="F2" t="str">
            <v>Transportation Equipment - Duel Fuel Kits &lt;= 2,000</v>
          </cell>
        </row>
        <row r="3">
          <cell r="A3">
            <v>1</v>
          </cell>
          <cell r="B3">
            <v>1</v>
          </cell>
          <cell r="C3">
            <v>0</v>
          </cell>
          <cell r="D3">
            <v>0</v>
          </cell>
          <cell r="E3">
            <v>0</v>
          </cell>
          <cell r="F3" t="str">
            <v>Duel Fuel Stations &lt;= 100,000</v>
          </cell>
        </row>
        <row r="4">
          <cell r="A4">
            <v>3</v>
          </cell>
          <cell r="B4">
            <v>0.16666666666666666</v>
          </cell>
          <cell r="C4">
            <v>0.33333333333333331</v>
          </cell>
          <cell r="D4">
            <v>0.33333333333333331</v>
          </cell>
          <cell r="E4">
            <v>0.16666666666666666</v>
          </cell>
          <cell r="F4" t="str">
            <v>Intangible Plant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</v>
          </cell>
          <cell r="F5" t="str">
            <v>Office Furniture &amp; Equipment - Computers</v>
          </cell>
        </row>
        <row r="6">
          <cell r="A6">
            <v>5</v>
          </cell>
          <cell r="B6">
            <v>0.2</v>
          </cell>
          <cell r="C6">
            <v>0.32</v>
          </cell>
          <cell r="D6">
            <v>0.192</v>
          </cell>
          <cell r="E6">
            <v>0.1152</v>
          </cell>
          <cell r="F6" t="str">
            <v>Office Furniture &amp; Equipment - Equipment</v>
          </cell>
        </row>
        <row r="7">
          <cell r="A7">
            <v>5</v>
          </cell>
          <cell r="B7">
            <v>0.2</v>
          </cell>
          <cell r="C7">
            <v>0.32</v>
          </cell>
          <cell r="D7">
            <v>0.192</v>
          </cell>
          <cell r="E7">
            <v>0.1152</v>
          </cell>
          <cell r="F7" t="str">
            <v>Transportation Equipment - Automobiles</v>
          </cell>
        </row>
        <row r="8">
          <cell r="A8">
            <v>5</v>
          </cell>
          <cell r="B8">
            <v>0.2</v>
          </cell>
          <cell r="C8">
            <v>0.32</v>
          </cell>
          <cell r="D8">
            <v>0.192</v>
          </cell>
          <cell r="E8">
            <v>0.1152</v>
          </cell>
          <cell r="F8" t="str">
            <v>Transportation Equipment - Trucks</v>
          </cell>
        </row>
        <row r="9">
          <cell r="A9">
            <v>5</v>
          </cell>
          <cell r="B9">
            <v>0.2</v>
          </cell>
          <cell r="C9">
            <v>0.32</v>
          </cell>
          <cell r="D9">
            <v>0.192</v>
          </cell>
          <cell r="E9">
            <v>0.1152</v>
          </cell>
          <cell r="F9" t="str">
            <v>Transportation Equipment - Trailers</v>
          </cell>
        </row>
        <row r="10">
          <cell r="A10">
            <v>5</v>
          </cell>
          <cell r="B10">
            <v>0.2</v>
          </cell>
          <cell r="C10">
            <v>0.32</v>
          </cell>
          <cell r="D10">
            <v>0.192</v>
          </cell>
          <cell r="E10">
            <v>0.1152</v>
          </cell>
          <cell r="F10" t="str">
            <v>Transportation Equipment - Duel Fuel Kits &gt; 2,000</v>
          </cell>
        </row>
        <row r="11">
          <cell r="A11">
            <v>7</v>
          </cell>
          <cell r="B11">
            <v>0.14285999999999999</v>
          </cell>
          <cell r="C11">
            <v>0.24490000000000001</v>
          </cell>
          <cell r="D11">
            <v>0.17493</v>
          </cell>
          <cell r="E11">
            <v>0.12495000000000001</v>
          </cell>
          <cell r="F11" t="str">
            <v>Production &amp; Gathering</v>
          </cell>
        </row>
        <row r="12">
          <cell r="A12">
            <v>7</v>
          </cell>
          <cell r="B12">
            <v>0.14285999999999999</v>
          </cell>
          <cell r="C12">
            <v>0.24490000000000001</v>
          </cell>
          <cell r="D12">
            <v>0.17493</v>
          </cell>
          <cell r="E12">
            <v>0.12495000000000001</v>
          </cell>
          <cell r="F12" t="str">
            <v>Office Furniture &amp; Equipment - Furniture</v>
          </cell>
        </row>
        <row r="13">
          <cell r="A13">
            <v>7</v>
          </cell>
          <cell r="B13">
            <v>0.14285999999999999</v>
          </cell>
          <cell r="C13">
            <v>0.24490000000000001</v>
          </cell>
          <cell r="D13">
            <v>0.17493</v>
          </cell>
          <cell r="E13">
            <v>0.12495000000000001</v>
          </cell>
          <cell r="F13" t="str">
            <v>Stores Equipment</v>
          </cell>
        </row>
        <row r="14">
          <cell r="A14">
            <v>7</v>
          </cell>
          <cell r="B14">
            <v>0.14285999999999999</v>
          </cell>
          <cell r="C14">
            <v>0.24490000000000001</v>
          </cell>
          <cell r="D14">
            <v>0.17493</v>
          </cell>
          <cell r="E14">
            <v>0.12495000000000001</v>
          </cell>
          <cell r="F14" t="str">
            <v>Tools, Shop &amp; Garage Equipment</v>
          </cell>
        </row>
        <row r="15">
          <cell r="A15">
            <v>7</v>
          </cell>
          <cell r="B15">
            <v>0.14285999999999999</v>
          </cell>
          <cell r="C15">
            <v>0.24490000000000001</v>
          </cell>
          <cell r="D15">
            <v>0.17493</v>
          </cell>
          <cell r="E15">
            <v>0.12495000000000001</v>
          </cell>
          <cell r="F15" t="str">
            <v>Miscellaneous Equipment</v>
          </cell>
        </row>
        <row r="16">
          <cell r="A16">
            <v>7</v>
          </cell>
          <cell r="B16">
            <v>0.14285999999999999</v>
          </cell>
          <cell r="C16">
            <v>0.24490000000000001</v>
          </cell>
          <cell r="D16">
            <v>0.17493</v>
          </cell>
          <cell r="E16">
            <v>0.12495000000000001</v>
          </cell>
          <cell r="F16" t="str">
            <v>Office Furniture &amp; Equipment - Legal Books</v>
          </cell>
        </row>
        <row r="17">
          <cell r="A17">
            <v>15</v>
          </cell>
          <cell r="B17">
            <v>0.05</v>
          </cell>
          <cell r="C17">
            <v>9.5000000000000001E-2</v>
          </cell>
          <cell r="D17">
            <v>8.5500000000000007E-2</v>
          </cell>
          <cell r="E17">
            <v>7.6899999999999996E-2</v>
          </cell>
          <cell r="F17" t="str">
            <v>Storage, Transmission, &amp; Distribution for 08, 09 &amp; 2010 Investments</v>
          </cell>
        </row>
        <row r="18">
          <cell r="A18">
            <v>20</v>
          </cell>
          <cell r="B18">
            <v>3.7499999999999999E-2</v>
          </cell>
          <cell r="C18">
            <v>7.22E-2</v>
          </cell>
          <cell r="D18">
            <v>6.6799999999999998E-2</v>
          </cell>
          <cell r="E18">
            <v>6.1800000000000001E-2</v>
          </cell>
          <cell r="F18" t="str">
            <v>Distribution for 2011 &amp; Beyond Investments</v>
          </cell>
        </row>
        <row r="19">
          <cell r="A19">
            <v>20</v>
          </cell>
          <cell r="B19">
            <v>3.7499999999999999E-2</v>
          </cell>
          <cell r="C19">
            <v>7.22E-2</v>
          </cell>
          <cell r="D19">
            <v>6.6799999999999998E-2</v>
          </cell>
          <cell r="E19">
            <v>6.1800000000000001E-2</v>
          </cell>
          <cell r="F19" t="str">
            <v>Duel Fuel Stations &gt; 100,000</v>
          </cell>
        </row>
        <row r="20">
          <cell r="A20">
            <v>20</v>
          </cell>
          <cell r="B20">
            <v>3.7499999999999999E-2</v>
          </cell>
          <cell r="C20">
            <v>7.22E-2</v>
          </cell>
          <cell r="D20">
            <v>6.6799999999999998E-2</v>
          </cell>
          <cell r="E20">
            <v>6.1800000000000001E-2</v>
          </cell>
          <cell r="F20" t="str">
            <v>Power Operated Equipment</v>
          </cell>
        </row>
        <row r="21">
          <cell r="A21">
            <v>20</v>
          </cell>
          <cell r="B21">
            <v>3.7499999999999999E-2</v>
          </cell>
          <cell r="C21">
            <v>7.22E-2</v>
          </cell>
          <cell r="D21">
            <v>6.6799999999999998E-2</v>
          </cell>
          <cell r="E21">
            <v>6.1800000000000001E-2</v>
          </cell>
          <cell r="F21" t="str">
            <v>Communication Equipment - Radio</v>
          </cell>
        </row>
        <row r="22">
          <cell r="A22">
            <v>20</v>
          </cell>
          <cell r="B22">
            <v>3.7499999999999999E-2</v>
          </cell>
          <cell r="C22">
            <v>7.22E-2</v>
          </cell>
          <cell r="D22">
            <v>6.6799999999999998E-2</v>
          </cell>
          <cell r="E22">
            <v>6.1800000000000001E-2</v>
          </cell>
          <cell r="F22" t="str">
            <v>Communication Equipment - Telephone</v>
          </cell>
        </row>
        <row r="23">
          <cell r="A23">
            <v>20</v>
          </cell>
          <cell r="B23">
            <v>3.7499999999999999E-2</v>
          </cell>
          <cell r="C23">
            <v>7.22E-2</v>
          </cell>
          <cell r="D23">
            <v>6.6799999999999998E-2</v>
          </cell>
          <cell r="E23">
            <v>6.1800000000000001E-2</v>
          </cell>
          <cell r="F23" t="str">
            <v>Rights of Way - Communication</v>
          </cell>
        </row>
        <row r="24">
          <cell r="A24">
            <v>39</v>
          </cell>
          <cell r="B24">
            <v>1.391E-2</v>
          </cell>
          <cell r="C24">
            <v>2.564E-2</v>
          </cell>
          <cell r="D24">
            <v>2.564E-2</v>
          </cell>
          <cell r="E24">
            <v>2.564E-2</v>
          </cell>
          <cell r="F24" t="str">
            <v>Structures and Improvements</v>
          </cell>
        </row>
      </sheetData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 Details"/>
      <sheetName val="Count of Nodes by Type"/>
      <sheetName val="Complete Listing incl LCN"/>
      <sheetName val="LCN Node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T Summary"/>
      <sheetName val="Sheet3"/>
      <sheetName val="P&amp;L"/>
      <sheetName val="BT Summary ASC 101504"/>
      <sheetName val="Signed off PB Finsumm"/>
      <sheetName val="Finsumm"/>
      <sheetName val="Equipt"/>
      <sheetName val="Price Summ"/>
      <sheetName val="Revised Position"/>
      <sheetName val="Bus Case 101304"/>
      <sheetName val="CAPEX Normalization - BT Ca (3)"/>
      <sheetName val="CAPEX Normalization - BT Case"/>
      <sheetName val="BT Summary ASC 101304 (2)"/>
      <sheetName val="I. Summary ASC 101304"/>
      <sheetName val="Roll-Forward"/>
      <sheetName val="Normalization Change"/>
      <sheetName val="Bus Case 091004"/>
      <sheetName val="I. Summary ASC 090104 (2)"/>
      <sheetName val="CAPEX Normalization - BT Ca (2)"/>
      <sheetName val="Original Technology"/>
      <sheetName val="BT Yr 1 Base Case Review"/>
      <sheetName val="BT 7 Year Base Case Review"/>
      <sheetName val="Consider Revised Target"/>
      <sheetName val="BT Pricing Initiatives"/>
      <sheetName val="BMS Actions"/>
      <sheetName val="BMS Scars"/>
      <sheetName val="D - Global Remote Access"/>
      <sheetName val="Dial Internet User"/>
      <sheetName val="Managed Broadband User"/>
      <sheetName val="MPLS"/>
      <sheetName val="Nwks"/>
      <sheetName val="Bus Case Total"/>
      <sheetName val="Pay1"/>
      <sheetName val="Pay2"/>
      <sheetName val="Pay3"/>
      <sheetName val="I. Summary ASC 101304 (2)"/>
      <sheetName val="Base Inputs"/>
      <sheetName val="Sheet1"/>
      <sheetName val="XI. Resource Baselines"/>
      <sheetName val="Revised Bus Case (2)"/>
      <sheetName val="I. Summary ASC 101204"/>
      <sheetName val="I. Summary ASC 090104"/>
      <sheetName val="Voice Transport 2003"/>
      <sheetName val="BMS - Base Case Control Sheet"/>
      <sheetName val="Refresh&amp;Depn (2)"/>
      <sheetName val="In Scope Business Case"/>
      <sheetName val="Original Fin summ incremental"/>
      <sheetName val="Voice Reconciliation"/>
      <sheetName val="Voice"/>
      <sheetName val="PB Reconciliation"/>
      <sheetName val="Sheet2"/>
      <sheetName val="Revised Bus Case"/>
      <sheetName val="Original Buy Back"/>
      <sheetName val="Future State Savings Initiative"/>
      <sheetName val="New Wan Summary"/>
      <sheetName val="MPLS Transport future"/>
      <sheetName val="New Lan Summary"/>
      <sheetName val="New Remote Access"/>
      <sheetName val="New Internet Infrastructue"/>
      <sheetName val="New Jersey Man"/>
      <sheetName val="New Global Enterprise Service"/>
      <sheetName val="Product Summary"/>
      <sheetName val="Roll Out"/>
      <sheetName val="N Business Partner Connectivity"/>
      <sheetName val="New Voice Support"/>
      <sheetName val="Wireless Support Services"/>
      <sheetName val="E Bonding Mgmt"/>
      <sheetName val="Volumetrics"/>
      <sheetName val="MPLS Savings"/>
      <sheetName val="Assumptions"/>
      <sheetName val="Peer Review"/>
      <sheetName val="FX Rates"/>
      <sheetName val="Access savings"/>
      <sheetName val="Error Checks"/>
      <sheetName val="Resource"/>
      <sheetName val="Resource Costs"/>
      <sheetName val="BMS Salary Costs"/>
      <sheetName val="Tech Des Res"/>
      <sheetName val="Transition res"/>
      <sheetName val="HR Costs"/>
      <sheetName val="MPLS P&amp;L"/>
      <sheetName val="Wan circuit costs"/>
      <sheetName val="Management Links"/>
      <sheetName val="Voice IP cards"/>
      <sheetName val="Rolloutdetail"/>
      <sheetName val="Voice refresh"/>
      <sheetName val="Parallel Run costs"/>
      <sheetName val="site type"/>
      <sheetName val="Refresh&amp;Depn"/>
      <sheetName val="Misc."/>
      <sheetName val="Voice Commun"/>
      <sheetName val="Price Pres"/>
      <sheetName val="3rd party contracts"/>
      <sheetName val="Original Asset Depreciation"/>
      <sheetName val="FB BT"/>
      <sheetName val="Signed off PB FB BT"/>
      <sheetName val="FB BTGsol"/>
      <sheetName val="FB BTGsol VA"/>
      <sheetName val="Names"/>
      <sheetName val="IPR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"/>
      <sheetName val="Rating Tables"/>
      <sheetName val="Hourly"/>
      <sheetName val="Contractor"/>
      <sheetName val="Consulting"/>
      <sheetName val="Outside Purchased Services"/>
      <sheetName val="Expense Worksheet"/>
      <sheetName val="BUDGET SUMMARY"/>
      <sheetName val="xref acct"/>
      <sheetName val="Headcount"/>
      <sheetName val="Print File"/>
      <sheetName val="Chart of Accounts"/>
      <sheetName val="Module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>
        <row r="3">
          <cell r="A3" t="str">
            <v>Acct</v>
          </cell>
          <cell r="B3" t="str">
            <v>ACCOUNTS</v>
          </cell>
          <cell r="C3" t="str">
            <v>Classification</v>
          </cell>
        </row>
        <row r="4">
          <cell r="A4">
            <v>601000</v>
          </cell>
          <cell r="B4" t="str">
            <v>601000  SALARIES-EXEMPT</v>
          </cell>
          <cell r="C4" t="str">
            <v>SALARIES AND BENEFITS</v>
          </cell>
        </row>
        <row r="5">
          <cell r="A5">
            <v>601001</v>
          </cell>
          <cell r="B5" t="str">
            <v>601001  SALARIES-NON-EXEMPT</v>
          </cell>
          <cell r="C5" t="str">
            <v>SALARIES AND BENEFITS</v>
          </cell>
        </row>
        <row r="6">
          <cell r="A6">
            <v>601005</v>
          </cell>
          <cell r="B6" t="str">
            <v>601005  SALARIES-OVERTIME</v>
          </cell>
          <cell r="C6" t="str">
            <v>SALARIES AND BENEFITS</v>
          </cell>
        </row>
        <row r="7">
          <cell r="A7">
            <v>601007</v>
          </cell>
          <cell r="B7" t="str">
            <v>601007  SAL-SHIFT DIFF</v>
          </cell>
          <cell r="C7" t="str">
            <v>SALARIES AND BENEFITS</v>
          </cell>
        </row>
        <row r="8">
          <cell r="A8">
            <v>601010</v>
          </cell>
          <cell r="B8" t="str">
            <v>601010  SAL-TEMP LABOR</v>
          </cell>
          <cell r="C8" t="str">
            <v>SALARIES AND BENEFITS</v>
          </cell>
        </row>
        <row r="9">
          <cell r="A9">
            <v>601012</v>
          </cell>
          <cell r="B9" t="str">
            <v>601012  SALARIES-EXEMPT FLEX</v>
          </cell>
          <cell r="C9" t="str">
            <v>SALARIES AND BENEFITS</v>
          </cell>
        </row>
        <row r="10">
          <cell r="A10">
            <v>601055</v>
          </cell>
          <cell r="B10" t="str">
            <v>601055  SAL-OTHER PAID TIME</v>
          </cell>
          <cell r="C10" t="str">
            <v>SALARIES AND BENEFITS</v>
          </cell>
        </row>
        <row r="11">
          <cell r="A11">
            <v>601056</v>
          </cell>
          <cell r="B11" t="str">
            <v>601056  SAL-GAIN SHARING</v>
          </cell>
          <cell r="C11" t="str">
            <v>SALARIES AND BENEFITS</v>
          </cell>
        </row>
        <row r="12">
          <cell r="A12">
            <v>601061</v>
          </cell>
          <cell r="B12" t="str">
            <v>601061  EXEMPT/PER FRINGE</v>
          </cell>
          <cell r="C12" t="str">
            <v>SALARIES AND BENEFITS</v>
          </cell>
        </row>
        <row r="13">
          <cell r="A13">
            <v>601062</v>
          </cell>
          <cell r="B13" t="str">
            <v>601062  NON-EX/PER FRINGE</v>
          </cell>
          <cell r="C13" t="str">
            <v>SALARIES AND BENEFITS</v>
          </cell>
        </row>
        <row r="14">
          <cell r="A14">
            <v>601069</v>
          </cell>
          <cell r="B14" t="str">
            <v>601069  TEMP/PER FRINGE</v>
          </cell>
          <cell r="C14" t="str">
            <v>SALARIES AND BENEFITS</v>
          </cell>
        </row>
        <row r="15">
          <cell r="A15">
            <v>601070</v>
          </cell>
          <cell r="B15" t="str">
            <v>601070  TEMP FRINGE % OF SAL</v>
          </cell>
          <cell r="C15" t="str">
            <v>SALARIES AND BENEFITS</v>
          </cell>
        </row>
        <row r="16">
          <cell r="A16">
            <v>601071</v>
          </cell>
          <cell r="B16" t="str">
            <v>601071  EXEMPT FRINGE % OF S</v>
          </cell>
          <cell r="C16" t="str">
            <v>SALARIES AND BENEFITS</v>
          </cell>
        </row>
        <row r="17">
          <cell r="A17">
            <v>601072</v>
          </cell>
          <cell r="B17" t="str">
            <v>601072  NON-EX FRINGE % OF S</v>
          </cell>
          <cell r="C17" t="str">
            <v>SALARIES AND BENEFITS</v>
          </cell>
        </row>
        <row r="18">
          <cell r="A18">
            <v>601161</v>
          </cell>
          <cell r="B18" t="str">
            <v>601161  WELLNESS PROGRAM</v>
          </cell>
          <cell r="C18" t="str">
            <v>SALARIES AND BENEFITS</v>
          </cell>
        </row>
        <row r="19">
          <cell r="A19">
            <v>602000</v>
          </cell>
          <cell r="B19" t="str">
            <v>602000  HRLY-SALARIES</v>
          </cell>
          <cell r="C19" t="str">
            <v>SALARIES AND BENEFITS</v>
          </cell>
        </row>
        <row r="20">
          <cell r="A20">
            <v>603002</v>
          </cell>
          <cell r="B20" t="str">
            <v>603002  SAFETY PROGRAM</v>
          </cell>
          <cell r="C20" t="str">
            <v>SALARIES AND BENEFITS</v>
          </cell>
        </row>
        <row r="21">
          <cell r="A21">
            <v>603010</v>
          </cell>
          <cell r="B21" t="str">
            <v>603010  EMPL REWARD AND REC</v>
          </cell>
          <cell r="C21" t="str">
            <v>SALARIES AND BENEFITS</v>
          </cell>
        </row>
        <row r="22">
          <cell r="A22">
            <v>603024</v>
          </cell>
          <cell r="B22" t="str">
            <v>603024  EMPLOYEE PROGRAMS</v>
          </cell>
          <cell r="C22" t="str">
            <v>SALARIES AND BENEFITS</v>
          </cell>
        </row>
        <row r="23">
          <cell r="A23">
            <v>603025</v>
          </cell>
          <cell r="B23" t="str">
            <v>603025  EMPLOYEE RELATIONS</v>
          </cell>
          <cell r="C23" t="str">
            <v>SALARIES AND BENEFITS</v>
          </cell>
        </row>
        <row r="24">
          <cell r="A24">
            <v>603028</v>
          </cell>
          <cell r="B24" t="str">
            <v>603028  SPOT AWARDS</v>
          </cell>
          <cell r="C24" t="str">
            <v>SALARIES AND BENEFITS</v>
          </cell>
        </row>
        <row r="25">
          <cell r="A25">
            <v>603115</v>
          </cell>
          <cell r="B25" t="str">
            <v>603115  PROD INTL CONS CLEAR</v>
          </cell>
          <cell r="C25" t="str">
            <v>SALARIES AND BENEFITS</v>
          </cell>
        </row>
        <row r="26">
          <cell r="A26">
            <v>602014</v>
          </cell>
          <cell r="B26" t="str">
            <v>602014  HOURLY-CAPITALIZED LABOR</v>
          </cell>
          <cell r="C26" t="str">
            <v>SALARIES AND BENEFITS</v>
          </cell>
        </row>
        <row r="27">
          <cell r="A27">
            <v>601901</v>
          </cell>
          <cell r="B27" t="str">
            <v>601901  ACTUAL DIRECT LABOR</v>
          </cell>
          <cell r="C27" t="str">
            <v>SALARIES AND BENEFITS</v>
          </cell>
        </row>
        <row r="28">
          <cell r="A28" t="e">
            <v>#VALUE!</v>
          </cell>
          <cell r="B28" t="str">
            <v>SALARIES AND BENEFITS</v>
          </cell>
          <cell r="C28" t="str">
            <v>SALARIES AND BENEFITS</v>
          </cell>
        </row>
        <row r="29">
          <cell r="A29">
            <v>601130</v>
          </cell>
          <cell r="B29" t="str">
            <v>601130  PROF&amp;CIVIC DUES/FEES</v>
          </cell>
          <cell r="C29" t="str">
            <v>EDUCATION AND TRAINING</v>
          </cell>
        </row>
        <row r="30">
          <cell r="A30">
            <v>601165</v>
          </cell>
          <cell r="B30" t="str">
            <v>601165  SAL-EXT SEMINARS</v>
          </cell>
          <cell r="C30" t="str">
            <v>EDUCATION AND TRAINING</v>
          </cell>
        </row>
        <row r="31">
          <cell r="A31">
            <v>601170</v>
          </cell>
          <cell r="B31" t="str">
            <v>601170  SAL-EDUC BENEFIT</v>
          </cell>
          <cell r="C31" t="str">
            <v>EDUCATION AND TRAINING</v>
          </cell>
        </row>
        <row r="32">
          <cell r="A32">
            <v>604105</v>
          </cell>
          <cell r="B32" t="str">
            <v>604105  SAL-INTERNAL TRAING</v>
          </cell>
          <cell r="C32" t="str">
            <v>EDUCATION AND TRAINING</v>
          </cell>
        </row>
        <row r="33">
          <cell r="A33">
            <v>604135</v>
          </cell>
          <cell r="B33" t="str">
            <v>604135  TRAINING MATERIAL</v>
          </cell>
          <cell r="C33" t="str">
            <v>EDUCATION AND TRAINING</v>
          </cell>
        </row>
        <row r="34">
          <cell r="A34">
            <v>604140</v>
          </cell>
          <cell r="B34" t="str">
            <v>604140  TRAINING-OTHER</v>
          </cell>
          <cell r="C34" t="str">
            <v>EDUCATION AND TRAINING</v>
          </cell>
        </row>
        <row r="35">
          <cell r="A35">
            <v>604142</v>
          </cell>
          <cell r="B35" t="str">
            <v>604142  TRAINING DEVELOPMENT</v>
          </cell>
          <cell r="C35" t="str">
            <v>EDUCATION AND TRAINING</v>
          </cell>
        </row>
        <row r="36">
          <cell r="A36">
            <v>604230</v>
          </cell>
          <cell r="B36" t="str">
            <v>604230  DEALR TRAIN-OTHER</v>
          </cell>
          <cell r="C36" t="str">
            <v>EDUCATION AND TRAINING</v>
          </cell>
        </row>
        <row r="37">
          <cell r="A37">
            <v>610400</v>
          </cell>
          <cell r="B37" t="str">
            <v>610400  SUBSCRIPT-TRADE</v>
          </cell>
          <cell r="C37" t="str">
            <v>EDUCATION AND TRAINING</v>
          </cell>
        </row>
        <row r="38">
          <cell r="A38" t="e">
            <v>#VALUE!</v>
          </cell>
          <cell r="B38" t="str">
            <v>EDUCATION AND TRAINING</v>
          </cell>
          <cell r="C38" t="str">
            <v>EDUCATION AND TRAINING</v>
          </cell>
        </row>
        <row r="39">
          <cell r="A39">
            <v>605000</v>
          </cell>
          <cell r="B39" t="str">
            <v>605000  TRAVEL EXPENSE</v>
          </cell>
          <cell r="C39" t="str">
            <v>TRAVEL EXPENSE</v>
          </cell>
        </row>
        <row r="40">
          <cell r="A40">
            <v>605100</v>
          </cell>
          <cell r="B40" t="str">
            <v>605100  TRAVEL INTERNATIONAL</v>
          </cell>
          <cell r="C40" t="str">
            <v>TRAVEL EXPENSE</v>
          </cell>
        </row>
        <row r="41">
          <cell r="A41">
            <v>605500</v>
          </cell>
          <cell r="B41" t="str">
            <v>605500  TRAVEL-MEAL COST</v>
          </cell>
          <cell r="C41" t="str">
            <v>TRAVEL EXPENSE</v>
          </cell>
        </row>
        <row r="42">
          <cell r="A42">
            <v>605600</v>
          </cell>
          <cell r="B42" t="str">
            <v>605600  TRAVEL-MEAL COST INT</v>
          </cell>
          <cell r="C42" t="str">
            <v>TRAVEL EXPENSE</v>
          </cell>
        </row>
        <row r="43">
          <cell r="A43">
            <v>606230</v>
          </cell>
          <cell r="B43" t="str">
            <v>606230  OWNED AUTO-REPAIRS</v>
          </cell>
          <cell r="C43" t="str">
            <v>TRAVEL EXPENSE</v>
          </cell>
        </row>
        <row r="44">
          <cell r="A44">
            <v>606100</v>
          </cell>
          <cell r="B44" t="str">
            <v>606100  LEASED AUTO-CAR</v>
          </cell>
          <cell r="C44" t="str">
            <v>TRAVEL EXPENSE</v>
          </cell>
        </row>
        <row r="45">
          <cell r="A45" t="e">
            <v>#VALUE!</v>
          </cell>
          <cell r="B45" t="str">
            <v>TRAVEL EXPENSE</v>
          </cell>
          <cell r="C45" t="str">
            <v>TRAVEL EXPENSE</v>
          </cell>
        </row>
        <row r="46">
          <cell r="A46">
            <v>603031</v>
          </cell>
          <cell r="B46" t="str">
            <v>603031  TRANSF MOVING &amp; LIVI</v>
          </cell>
          <cell r="C46" t="str">
            <v>RECRUITING &amp; RELOCATION</v>
          </cell>
        </row>
        <row r="47">
          <cell r="A47">
            <v>603032</v>
          </cell>
          <cell r="B47" t="str">
            <v>603032  RECRUIT/EMPLOYMENT</v>
          </cell>
          <cell r="C47" t="str">
            <v>RECRUITING &amp; RELOCATION</v>
          </cell>
        </row>
        <row r="48">
          <cell r="A48">
            <v>603035</v>
          </cell>
          <cell r="B48" t="str">
            <v>603035  FOREIGN ALLOWANCE</v>
          </cell>
          <cell r="C48" t="str">
            <v>RECRUITING &amp; RELOCATION</v>
          </cell>
        </row>
        <row r="49">
          <cell r="A49">
            <v>603036</v>
          </cell>
          <cell r="B49" t="str">
            <v>603036  EXPAT FOREIGN TAXES</v>
          </cell>
          <cell r="C49" t="str">
            <v>RECRUITING &amp; RELOCATION</v>
          </cell>
        </row>
        <row r="50">
          <cell r="A50">
            <v>603047</v>
          </cell>
          <cell r="B50" t="str">
            <v>603047  VISA-HR SERVICES</v>
          </cell>
          <cell r="C50" t="str">
            <v>RECRUITING &amp; RELOCATION</v>
          </cell>
        </row>
        <row r="51">
          <cell r="A51" t="e">
            <v>#VALUE!</v>
          </cell>
          <cell r="B51" t="str">
            <v>RECRUITING &amp; RELOCATION</v>
          </cell>
          <cell r="C51" t="str">
            <v>RECRUITING &amp; RELOCATION</v>
          </cell>
        </row>
        <row r="52">
          <cell r="A52" t="e">
            <v>#VALUE!</v>
          </cell>
          <cell r="B52" t="str">
            <v>WHIRLPOOL PERSONNEL</v>
          </cell>
          <cell r="C52" t="str">
            <v>WHIRLPOOL PERSONNEL</v>
          </cell>
        </row>
        <row r="53">
          <cell r="A53">
            <v>613000</v>
          </cell>
          <cell r="B53" t="str">
            <v>613000  OUTSIDE SVCS CONSULT</v>
          </cell>
          <cell r="C53" t="str">
            <v>CONSULTING</v>
          </cell>
        </row>
        <row r="54">
          <cell r="A54">
            <v>613010</v>
          </cell>
          <cell r="B54" t="str">
            <v>613010  CONSULTANT LIVING EX</v>
          </cell>
          <cell r="C54" t="str">
            <v>CONSULTING</v>
          </cell>
        </row>
        <row r="55">
          <cell r="A55">
            <v>613040</v>
          </cell>
          <cell r="B55" t="str">
            <v>613040  IT CONSULTING</v>
          </cell>
          <cell r="C55" t="str">
            <v>CONSULTING</v>
          </cell>
        </row>
        <row r="56">
          <cell r="A56" t="e">
            <v>#VALUE!</v>
          </cell>
          <cell r="B56" t="str">
            <v>CONSULTING</v>
          </cell>
          <cell r="C56" t="str">
            <v>CONSULTING</v>
          </cell>
        </row>
        <row r="57">
          <cell r="A57">
            <v>603003</v>
          </cell>
          <cell r="B57" t="str">
            <v>603003  CONTRACT WAGES &amp; BEN</v>
          </cell>
          <cell r="C57" t="str">
            <v>CONTRACTING</v>
          </cell>
        </row>
        <row r="58">
          <cell r="A58">
            <v>613120</v>
          </cell>
          <cell r="B58" t="str">
            <v>613120  OUTSIDE PURCHASE SVC</v>
          </cell>
          <cell r="C58" t="str">
            <v>CONTRACTING</v>
          </cell>
        </row>
        <row r="59">
          <cell r="A59" t="e">
            <v>#VALUE!</v>
          </cell>
          <cell r="B59" t="str">
            <v>CONTRACTING</v>
          </cell>
          <cell r="C59" t="str">
            <v>CONTRACTING</v>
          </cell>
        </row>
        <row r="60">
          <cell r="A60">
            <v>613050</v>
          </cell>
          <cell r="B60" t="str">
            <v>613050  OUTSOURCED SERVICES</v>
          </cell>
          <cell r="C60" t="str">
            <v>OUTSOURCE</v>
          </cell>
        </row>
        <row r="61">
          <cell r="A61" t="e">
            <v>#VALUE!</v>
          </cell>
          <cell r="B61" t="str">
            <v>OUTSOURCE</v>
          </cell>
          <cell r="C61" t="str">
            <v>OUTSOURCE</v>
          </cell>
        </row>
        <row r="62">
          <cell r="A62" t="e">
            <v>#VALUE!</v>
          </cell>
          <cell r="B62" t="str">
            <v>OUTSIDE PERSONNEL</v>
          </cell>
          <cell r="C62" t="str">
            <v>OUTSIDE PERSONNEL</v>
          </cell>
        </row>
        <row r="63">
          <cell r="A63">
            <v>609210</v>
          </cell>
          <cell r="B63" t="str">
            <v>609210  MAINT-HARDWARE</v>
          </cell>
          <cell r="C63" t="str">
            <v>HW MAINTENANCE</v>
          </cell>
        </row>
        <row r="64">
          <cell r="A64">
            <v>609230</v>
          </cell>
          <cell r="B64" t="str">
            <v>609230  MAINT-OFFICE EQUIP</v>
          </cell>
          <cell r="C64" t="str">
            <v>HW MAINTENANCE</v>
          </cell>
        </row>
        <row r="65">
          <cell r="A65">
            <v>609244</v>
          </cell>
          <cell r="B65" t="str">
            <v>609244  PURCH MAINT M&amp;E</v>
          </cell>
          <cell r="C65" t="str">
            <v>HW MAINTENANCE</v>
          </cell>
        </row>
        <row r="66">
          <cell r="A66" t="e">
            <v>#VALUE!</v>
          </cell>
          <cell r="B66" t="str">
            <v>HW MAINTENANCE</v>
          </cell>
          <cell r="C66" t="str">
            <v>HW MAINTENANCE</v>
          </cell>
        </row>
        <row r="67">
          <cell r="A67">
            <v>607500</v>
          </cell>
          <cell r="B67" t="str">
            <v>607500  PROPERTY-EQUIPMENT</v>
          </cell>
          <cell r="C67" t="str">
            <v>HARWARE RENT &amp; LEASING</v>
          </cell>
        </row>
        <row r="68">
          <cell r="A68">
            <v>608110</v>
          </cell>
          <cell r="B68" t="str">
            <v>608110  RENTAL-HARDWARE</v>
          </cell>
          <cell r="C68" t="str">
            <v>HARWARE RENT &amp; LEASING</v>
          </cell>
        </row>
        <row r="69">
          <cell r="A69">
            <v>608131</v>
          </cell>
          <cell r="B69" t="str">
            <v>608131  RENTAL-COMM EQUIP</v>
          </cell>
          <cell r="C69" t="str">
            <v>HARWARE RENT &amp; LEASING</v>
          </cell>
        </row>
        <row r="70">
          <cell r="A70">
            <v>608210</v>
          </cell>
          <cell r="B70" t="str">
            <v>608210  LEASED-HARDWARE</v>
          </cell>
          <cell r="C70" t="str">
            <v>HARWARE RENT &amp; LEASING</v>
          </cell>
        </row>
        <row r="71">
          <cell r="A71">
            <v>608215</v>
          </cell>
          <cell r="B71" t="str">
            <v>608215  LEASED-PC EQUIP</v>
          </cell>
          <cell r="C71" t="str">
            <v>HARWARE RENT &amp; LEASING</v>
          </cell>
        </row>
        <row r="72">
          <cell r="A72">
            <v>608250</v>
          </cell>
          <cell r="B72" t="str">
            <v>608250  LEASING COSTS-OTHER</v>
          </cell>
          <cell r="C72" t="str">
            <v>HARWARE RENT &amp; LEASING</v>
          </cell>
        </row>
        <row r="73">
          <cell r="A73" t="e">
            <v>#VALUE!</v>
          </cell>
          <cell r="B73" t="str">
            <v>HARWARE RENT &amp; LEASING</v>
          </cell>
          <cell r="C73" t="str">
            <v>HARWARE RENT &amp; LEASING</v>
          </cell>
        </row>
        <row r="74">
          <cell r="A74">
            <v>608100</v>
          </cell>
          <cell r="B74" t="str">
            <v>608100  RENTAL-SOFTWARE</v>
          </cell>
          <cell r="C74" t="str">
            <v>SOFTWARE RENT &amp; LEASING</v>
          </cell>
        </row>
        <row r="75">
          <cell r="A75">
            <v>608200</v>
          </cell>
          <cell r="B75" t="str">
            <v>608200  LEASED-SOFTWARE</v>
          </cell>
          <cell r="C75" t="str">
            <v>SOFTWARE RENT &amp; LEASING</v>
          </cell>
        </row>
        <row r="76">
          <cell r="A76">
            <v>609200</v>
          </cell>
          <cell r="B76" t="str">
            <v>609200  MAINT-SOFTWARE</v>
          </cell>
          <cell r="C76" t="str">
            <v>SOFTWARE RENT &amp; LEASING</v>
          </cell>
        </row>
        <row r="77">
          <cell r="A77" t="e">
            <v>#VALUE!</v>
          </cell>
          <cell r="B77" t="str">
            <v>SOFTWARE RENT &amp; LEASING</v>
          </cell>
          <cell r="C77" t="str">
            <v>SOFTWARE RENT &amp; LEASING</v>
          </cell>
        </row>
        <row r="78">
          <cell r="A78">
            <v>607050</v>
          </cell>
          <cell r="B78" t="str">
            <v>607050  PRPTY-DEPRECIATION</v>
          </cell>
          <cell r="C78" t="str">
            <v>HW / SW DEPRECIATION</v>
          </cell>
        </row>
        <row r="79">
          <cell r="A79" t="e">
            <v>#VALUE!</v>
          </cell>
          <cell r="B79" t="str">
            <v>HW / SW DEPRECIATION</v>
          </cell>
          <cell r="C79" t="str">
            <v>HW / SW DEPRECIATION</v>
          </cell>
        </row>
        <row r="80">
          <cell r="A80">
            <v>610200</v>
          </cell>
          <cell r="B80" t="str">
            <v>610200  OFFICE SOFTWARE PURC</v>
          </cell>
          <cell r="C80" t="str">
            <v>PURCHASED SOFTWARE</v>
          </cell>
        </row>
        <row r="81">
          <cell r="A81" t="e">
            <v>#VALUE!</v>
          </cell>
          <cell r="B81" t="str">
            <v>PURCHASED SOFTWARE</v>
          </cell>
          <cell r="C81" t="str">
            <v>PURCHASED SOFTWARE</v>
          </cell>
        </row>
        <row r="82">
          <cell r="A82" t="e">
            <v>#VALUE!</v>
          </cell>
          <cell r="B82" t="str">
            <v>HARDWARE SOFTWARE COSTS</v>
          </cell>
          <cell r="C82" t="str">
            <v>HARDWARE SOFTWARE COSTS</v>
          </cell>
        </row>
        <row r="83">
          <cell r="A83">
            <v>612135</v>
          </cell>
          <cell r="B83" t="str">
            <v>612135  DATA TRANS LINES</v>
          </cell>
          <cell r="C83" t="str">
            <v>DATA COMMUNICATIONS</v>
          </cell>
        </row>
        <row r="84">
          <cell r="A84">
            <v>612100</v>
          </cell>
          <cell r="B84" t="str">
            <v>612100  WIDE AREA NETWORK</v>
          </cell>
          <cell r="C84" t="str">
            <v>DATA COMMUNICATIONS</v>
          </cell>
        </row>
        <row r="85">
          <cell r="A85" t="e">
            <v>#VALUE!</v>
          </cell>
          <cell r="B85" t="str">
            <v>DATA COMMUNICATIONS</v>
          </cell>
          <cell r="C85" t="str">
            <v>DATA COMMUNICATIONS</v>
          </cell>
        </row>
        <row r="86">
          <cell r="A86">
            <v>612110</v>
          </cell>
          <cell r="B86" t="str">
            <v>612110  LOCAL AREA NETWORK</v>
          </cell>
          <cell r="C86" t="str">
            <v>VOICE AND VIDEO</v>
          </cell>
        </row>
        <row r="87">
          <cell r="A87">
            <v>612210</v>
          </cell>
          <cell r="B87" t="str">
            <v>612210  INDIVIDUAL TELEPHONE</v>
          </cell>
          <cell r="C87" t="str">
            <v>VOICE AND VIDEO</v>
          </cell>
        </row>
        <row r="88">
          <cell r="A88">
            <v>612220</v>
          </cell>
          <cell r="B88" t="str">
            <v>612220  MOBIL TELEPHONE CHAR</v>
          </cell>
          <cell r="C88" t="str">
            <v>VOICE AND VIDEO</v>
          </cell>
        </row>
        <row r="89">
          <cell r="A89">
            <v>613125</v>
          </cell>
          <cell r="B89" t="str">
            <v>613125  THIRD PARTY INV FEE</v>
          </cell>
          <cell r="C89" t="str">
            <v>VOICE AND VIDEO</v>
          </cell>
        </row>
        <row r="90">
          <cell r="A90">
            <v>612120</v>
          </cell>
          <cell r="B90" t="str">
            <v>612120  NETWORK SERVICE</v>
          </cell>
          <cell r="C90" t="str">
            <v>VOICE AND VIDEO</v>
          </cell>
        </row>
        <row r="91">
          <cell r="A91">
            <v>612130</v>
          </cell>
          <cell r="B91" t="str">
            <v>612130  NETWORK-OTHER</v>
          </cell>
          <cell r="C91" t="str">
            <v>VOICE AND VIDEO</v>
          </cell>
        </row>
        <row r="92">
          <cell r="A92">
            <v>610350</v>
          </cell>
          <cell r="B92" t="str">
            <v>610350  COMMUNICATIONS</v>
          </cell>
          <cell r="C92" t="str">
            <v>VOICE AND VIDEO</v>
          </cell>
        </row>
        <row r="93">
          <cell r="A93">
            <v>612200</v>
          </cell>
          <cell r="B93" t="str">
            <v>612200  GENERAL TELEPHONE</v>
          </cell>
          <cell r="C93" t="str">
            <v>VOICE AND VIDEO</v>
          </cell>
        </row>
        <row r="94">
          <cell r="A94" t="e">
            <v>#VALUE!</v>
          </cell>
          <cell r="B94" t="str">
            <v>VOICE AND VIDEO</v>
          </cell>
          <cell r="C94" t="str">
            <v>VOICE AND VIDEO</v>
          </cell>
        </row>
        <row r="95">
          <cell r="A95">
            <v>613127</v>
          </cell>
          <cell r="B95" t="str">
            <v>613127  COMMUNICATIONS REBIL</v>
          </cell>
          <cell r="C95" t="str">
            <v>COMMUNICATIONS REBILL</v>
          </cell>
        </row>
        <row r="96">
          <cell r="A96" t="e">
            <v>#VALUE!</v>
          </cell>
          <cell r="B96" t="str">
            <v>COMMUNICATIONS REBILL</v>
          </cell>
          <cell r="C96" t="str">
            <v>COMMUNICATIONS REBILL</v>
          </cell>
        </row>
        <row r="97">
          <cell r="A97" t="e">
            <v>#VALUE!</v>
          </cell>
          <cell r="B97" t="str">
            <v>COMMUNICATIONS</v>
          </cell>
          <cell r="C97" t="str">
            <v>COMMUNICATIONS REBILL</v>
          </cell>
        </row>
        <row r="98">
          <cell r="A98">
            <v>603017</v>
          </cell>
          <cell r="B98" t="str">
            <v>603017  FLOWERS &amp; MEMORIAL</v>
          </cell>
          <cell r="C98" t="str">
            <v>MISCELLANEOUS</v>
          </cell>
        </row>
        <row r="99">
          <cell r="A99">
            <v>603030</v>
          </cell>
          <cell r="B99" t="str">
            <v>603030  EMPLOYEE STOCK PURCH</v>
          </cell>
          <cell r="C99" t="str">
            <v>MISCELLANEOUS</v>
          </cell>
        </row>
        <row r="100">
          <cell r="A100">
            <v>603100</v>
          </cell>
          <cell r="B100" t="str">
            <v>603100  CASH DONATIONS</v>
          </cell>
          <cell r="C100" t="str">
            <v>MISCELLANEOUS</v>
          </cell>
        </row>
        <row r="101">
          <cell r="A101">
            <v>603102</v>
          </cell>
          <cell r="B101" t="str">
            <v>603102  EXEC PROD INTERCHNG</v>
          </cell>
          <cell r="C101" t="str">
            <v>MISCELLANEOUS</v>
          </cell>
        </row>
        <row r="102">
          <cell r="A102">
            <v>603103</v>
          </cell>
          <cell r="B102" t="str">
            <v>603103  PROD INTERNAL CONSUM</v>
          </cell>
          <cell r="C102" t="str">
            <v>MISCELLANEOUS</v>
          </cell>
        </row>
        <row r="103">
          <cell r="A103">
            <v>603106</v>
          </cell>
          <cell r="B103" t="str">
            <v>603106  PROD INTL CONS DROP</v>
          </cell>
          <cell r="C103" t="str">
            <v>MISCELLANEOUS</v>
          </cell>
        </row>
        <row r="104">
          <cell r="A104">
            <v>603112</v>
          </cell>
          <cell r="B104" t="str">
            <v>603112  LAPORTE EPI</v>
          </cell>
          <cell r="C104" t="str">
            <v>MISCELLANEOUS</v>
          </cell>
        </row>
        <row r="105">
          <cell r="A105">
            <v>603113</v>
          </cell>
          <cell r="B105" t="str">
            <v>603113  EPI-ADD'L EXPENSES</v>
          </cell>
          <cell r="C105" t="str">
            <v>MISCELLANEOUS</v>
          </cell>
        </row>
        <row r="106">
          <cell r="A106">
            <v>605800</v>
          </cell>
          <cell r="B106" t="str">
            <v>605800  ENTERTAINING 3RD PTY</v>
          </cell>
          <cell r="C106" t="str">
            <v>MISCELLANEOUS</v>
          </cell>
        </row>
        <row r="107">
          <cell r="A107">
            <v>607064</v>
          </cell>
          <cell r="B107" t="str">
            <v>607064  PROP-PER TOOLS REQ</v>
          </cell>
          <cell r="C107" t="str">
            <v>MISCELLANEOUS</v>
          </cell>
        </row>
        <row r="108">
          <cell r="A108">
            <v>607400</v>
          </cell>
          <cell r="B108" t="str">
            <v>607400  PROPERTY-TAXES</v>
          </cell>
          <cell r="C108" t="str">
            <v>MISCELLANEOUS</v>
          </cell>
        </row>
        <row r="109">
          <cell r="A109">
            <v>607501</v>
          </cell>
          <cell r="B109" t="str">
            <v>607501  PROP EQUIP &lt; $3000</v>
          </cell>
          <cell r="C109" t="str">
            <v>MISCELLANEOUS</v>
          </cell>
        </row>
        <row r="110">
          <cell r="A110">
            <v>610000</v>
          </cell>
          <cell r="B110" t="str">
            <v>610000  OFFICE SUPPLIES</v>
          </cell>
          <cell r="C110" t="str">
            <v>MISCELLANEOUS</v>
          </cell>
        </row>
        <row r="111">
          <cell r="A111">
            <v>610050</v>
          </cell>
          <cell r="B111" t="str">
            <v>610050  PC SUPPLIES</v>
          </cell>
          <cell r="C111" t="str">
            <v>MISCELLANEOUS</v>
          </cell>
        </row>
        <row r="112">
          <cell r="A112">
            <v>610100</v>
          </cell>
          <cell r="B112" t="str">
            <v>610100  PRINTING</v>
          </cell>
          <cell r="C112" t="str">
            <v>MISCELLANEOUS</v>
          </cell>
        </row>
        <row r="113">
          <cell r="A113">
            <v>610110</v>
          </cell>
          <cell r="B113" t="str">
            <v>610110  PURCHASED FORMS</v>
          </cell>
          <cell r="C113" t="str">
            <v>MISCELLANEOUS</v>
          </cell>
        </row>
        <row r="114">
          <cell r="A114">
            <v>610300</v>
          </cell>
          <cell r="B114" t="str">
            <v>610300  BOOKS, MAGAZINES, PA</v>
          </cell>
          <cell r="C114" t="str">
            <v>MISCELLANEOUS</v>
          </cell>
        </row>
        <row r="115">
          <cell r="A115">
            <v>610600</v>
          </cell>
          <cell r="B115" t="str">
            <v>610600  MEETING EXPENSE</v>
          </cell>
          <cell r="C115" t="str">
            <v>MISCELLANEOUS</v>
          </cell>
        </row>
        <row r="116">
          <cell r="A116">
            <v>610601</v>
          </cell>
          <cell r="B116" t="str">
            <v>610601  DINNER MEETING EXP</v>
          </cell>
          <cell r="C116" t="str">
            <v>MISCELLANEOUS</v>
          </cell>
        </row>
        <row r="117">
          <cell r="A117">
            <v>612115</v>
          </cell>
          <cell r="B117" t="str">
            <v>612115  EQUIPMENT CHARGES</v>
          </cell>
          <cell r="C117" t="str">
            <v>MISCELLANEOUS</v>
          </cell>
        </row>
        <row r="118">
          <cell r="A118">
            <v>613020</v>
          </cell>
          <cell r="B118" t="str">
            <v>613020  LEGAL FEES</v>
          </cell>
          <cell r="C118" t="str">
            <v>MISCELLANEOUS</v>
          </cell>
        </row>
        <row r="119">
          <cell r="A119">
            <v>613118</v>
          </cell>
          <cell r="B119" t="str">
            <v>613118  GROUND TRANS SERV</v>
          </cell>
          <cell r="C119" t="str">
            <v>MISCELLANEOUS</v>
          </cell>
        </row>
        <row r="120">
          <cell r="A120">
            <v>616100</v>
          </cell>
          <cell r="B120" t="str">
            <v>616100  POSTAGE</v>
          </cell>
          <cell r="C120" t="str">
            <v>MISCELLANEOUS</v>
          </cell>
        </row>
        <row r="121">
          <cell r="A121">
            <v>616319</v>
          </cell>
          <cell r="B121" t="str">
            <v>616319  SUP-FACTORY REQ</v>
          </cell>
          <cell r="C121" t="str">
            <v>MISCELLANEOUS</v>
          </cell>
        </row>
        <row r="122">
          <cell r="A122">
            <v>616326</v>
          </cell>
          <cell r="B122" t="str">
            <v>616326  VISA-MISC SUPPLIES</v>
          </cell>
          <cell r="C122" t="str">
            <v>MISCELLANEOUS</v>
          </cell>
        </row>
        <row r="123">
          <cell r="A123">
            <v>616327</v>
          </cell>
          <cell r="B123" t="str">
            <v>616327  MISC SUPPLIES</v>
          </cell>
          <cell r="C123" t="str">
            <v>MISCELLANEOUS</v>
          </cell>
        </row>
        <row r="124">
          <cell r="A124">
            <v>616333</v>
          </cell>
          <cell r="B124" t="str">
            <v>616333  TEST PROD PURCH</v>
          </cell>
          <cell r="C124" t="str">
            <v>MISCELLANEOUS</v>
          </cell>
        </row>
        <row r="125">
          <cell r="A125">
            <v>616334</v>
          </cell>
          <cell r="B125" t="str">
            <v>616334  PROJECT MATERIALS</v>
          </cell>
          <cell r="C125" t="str">
            <v>MISCELLANEOUS</v>
          </cell>
        </row>
        <row r="126">
          <cell r="A126">
            <v>616340</v>
          </cell>
          <cell r="B126" t="str">
            <v>616340  SUPPLIES-PRODUCTION</v>
          </cell>
          <cell r="C126" t="str">
            <v>MISCELLANEOUS</v>
          </cell>
        </row>
        <row r="127">
          <cell r="A127">
            <v>616600</v>
          </cell>
          <cell r="B127" t="str">
            <v>616600  CANTEEN AND CATERING</v>
          </cell>
          <cell r="C127" t="str">
            <v>MISCELLANEOUS</v>
          </cell>
        </row>
        <row r="128">
          <cell r="A128">
            <v>619600</v>
          </cell>
          <cell r="B128" t="str">
            <v>619600  FIELD ADJUSTMENTS</v>
          </cell>
          <cell r="C128" t="str">
            <v>MISCELLANEOUS</v>
          </cell>
        </row>
        <row r="129">
          <cell r="A129">
            <v>620008</v>
          </cell>
          <cell r="B129" t="str">
            <v>620008  PROMO MATL EMPL ORD</v>
          </cell>
          <cell r="C129" t="str">
            <v>MISCELLANEOUS</v>
          </cell>
        </row>
        <row r="130">
          <cell r="A130">
            <v>620082</v>
          </cell>
          <cell r="B130" t="str">
            <v>620082  PROMO COSTS-FIX REV</v>
          </cell>
          <cell r="C130" t="str">
            <v>MISCELLANEOUS</v>
          </cell>
        </row>
        <row r="131">
          <cell r="A131">
            <v>620090</v>
          </cell>
          <cell r="B131" t="str">
            <v>620090  SALES PROMO ITEMS</v>
          </cell>
          <cell r="C131" t="str">
            <v>MISCELLANEOUS</v>
          </cell>
        </row>
        <row r="132">
          <cell r="A132">
            <v>622500</v>
          </cell>
          <cell r="B132" t="str">
            <v>622500  FOOD/BEV ENTERTAINMT</v>
          </cell>
          <cell r="C132" t="str">
            <v>MISCELLANEOUS</v>
          </cell>
        </row>
        <row r="133">
          <cell r="A133">
            <v>626195</v>
          </cell>
          <cell r="B133" t="str">
            <v>626195  3-PRTY LOG SVCS CHGS</v>
          </cell>
          <cell r="C133" t="str">
            <v>MISCELLANEOUS</v>
          </cell>
        </row>
        <row r="134">
          <cell r="A134">
            <v>626343</v>
          </cell>
          <cell r="B134" t="str">
            <v>626343  EXCESS FREIGHT</v>
          </cell>
          <cell r="C134" t="str">
            <v>MISCELLANEOUS</v>
          </cell>
        </row>
        <row r="135">
          <cell r="A135">
            <v>626400</v>
          </cell>
          <cell r="B135" t="str">
            <v>626400  FREIGHT CHARGES</v>
          </cell>
          <cell r="C135" t="str">
            <v>MISCELLANEOUS</v>
          </cell>
        </row>
        <row r="136">
          <cell r="A136">
            <v>626410</v>
          </cell>
          <cell r="B136" t="str">
            <v>626410  FREIGHT NP MTL</v>
          </cell>
          <cell r="C136" t="str">
            <v>MISCELLANEOUS</v>
          </cell>
        </row>
        <row r="137">
          <cell r="A137">
            <v>628500</v>
          </cell>
          <cell r="B137" t="str">
            <v>628500  SUNDRY EXPENSE</v>
          </cell>
          <cell r="C137" t="str">
            <v>MISCELLANEOUS</v>
          </cell>
        </row>
        <row r="138">
          <cell r="A138">
            <v>629050</v>
          </cell>
          <cell r="B138" t="str">
            <v>629050  REARRANGE-MISC</v>
          </cell>
          <cell r="C138" t="str">
            <v>MISCELLANEOUS</v>
          </cell>
        </row>
        <row r="139">
          <cell r="A139">
            <v>629500</v>
          </cell>
          <cell r="B139" t="str">
            <v>629500  SPECIAL PROJECTS</v>
          </cell>
          <cell r="C139" t="str">
            <v>MISCELLANEOUS</v>
          </cell>
        </row>
        <row r="140">
          <cell r="A140">
            <v>630000</v>
          </cell>
          <cell r="B140" t="str">
            <v>630000  SALES TAX EXPENSE</v>
          </cell>
          <cell r="C140" t="str">
            <v>MISCELLANEOUS</v>
          </cell>
        </row>
        <row r="141">
          <cell r="A141">
            <v>631000</v>
          </cell>
          <cell r="B141" t="str">
            <v>631000  TAX ON FREE GOODS</v>
          </cell>
          <cell r="C141" t="str">
            <v>MISCELLANEOUS</v>
          </cell>
        </row>
        <row r="142">
          <cell r="A142">
            <v>603019</v>
          </cell>
          <cell r="B142" t="str">
            <v>603019  COMPANY PICNIC</v>
          </cell>
          <cell r="C142" t="str">
            <v>MISCELLANEOUS</v>
          </cell>
        </row>
        <row r="143">
          <cell r="A143">
            <v>609121</v>
          </cell>
          <cell r="B143" t="str">
            <v>609121  REPAIRS-T&amp;D MATERIAL</v>
          </cell>
          <cell r="C143" t="str">
            <v>MISCELLANEOUS</v>
          </cell>
        </row>
        <row r="144">
          <cell r="A144">
            <v>999977</v>
          </cell>
          <cell r="B144" t="str">
            <v>999977  CAPITAL ACQUISITIONS</v>
          </cell>
          <cell r="C144" t="str">
            <v>MISCELLANEOUS</v>
          </cell>
        </row>
        <row r="145">
          <cell r="A145">
            <v>603022</v>
          </cell>
          <cell r="B145" t="str">
            <v>603022  RECREATION PROGRAMS</v>
          </cell>
          <cell r="C145" t="str">
            <v>MISCELLANEOUS</v>
          </cell>
        </row>
        <row r="146">
          <cell r="A146">
            <v>603049</v>
          </cell>
          <cell r="B146" t="str">
            <v>603049  SEPARATION ALLOWANCE</v>
          </cell>
          <cell r="C146" t="str">
            <v>MISCELLANEOUS</v>
          </cell>
        </row>
        <row r="147">
          <cell r="A147">
            <v>607056</v>
          </cell>
          <cell r="B147" t="str">
            <v>607056  GAIN/LOSS ON DISP</v>
          </cell>
          <cell r="C147" t="str">
            <v>MISCELLANEOUS</v>
          </cell>
        </row>
        <row r="148">
          <cell r="A148" t="e">
            <v>#VALUE!</v>
          </cell>
          <cell r="B148" t="str">
            <v>MISCELLANEOUS</v>
          </cell>
          <cell r="C148" t="str">
            <v>MISCELLANEOUS</v>
          </cell>
        </row>
        <row r="149">
          <cell r="A149">
            <v>699025</v>
          </cell>
          <cell r="B149" t="str">
            <v>699025  TRANSFERS-WAREHOUSE</v>
          </cell>
          <cell r="C149" t="str">
            <v>MISCELLANEOUS</v>
          </cell>
        </row>
        <row r="150">
          <cell r="A150">
            <v>699035</v>
          </cell>
          <cell r="B150" t="str">
            <v>699035  TRANSFERS-CENT SERV</v>
          </cell>
          <cell r="C150" t="str">
            <v>MISCELLANEOUS</v>
          </cell>
        </row>
        <row r="151">
          <cell r="A151" t="e">
            <v>#VALUE!</v>
          </cell>
          <cell r="B151" t="str">
            <v>TRANSFERS MISCELLANEOUS</v>
          </cell>
          <cell r="C151" t="str">
            <v>MISCELLANEOUS</v>
          </cell>
        </row>
        <row r="152">
          <cell r="A152" t="e">
            <v>#VALUE!</v>
          </cell>
          <cell r="B152" t="str">
            <v>MISCELLANEOUS TOTAL</v>
          </cell>
          <cell r="C152" t="str">
            <v>MISCELLANEOUS</v>
          </cell>
        </row>
        <row r="153">
          <cell r="A153" t="e">
            <v>#VALUE!</v>
          </cell>
          <cell r="B153" t="str">
            <v>GROSS EXPENSE</v>
          </cell>
          <cell r="C153" t="str">
            <v>GROSS EXPENSE</v>
          </cell>
        </row>
        <row r="154">
          <cell r="A154">
            <v>699000</v>
          </cell>
          <cell r="B154" t="str">
            <v>699000  TRANSFERS-CAPITAL</v>
          </cell>
          <cell r="C154" t="str">
            <v>TRANSFERS CAPITAL</v>
          </cell>
        </row>
        <row r="155">
          <cell r="A155" t="e">
            <v>#VALUE!</v>
          </cell>
          <cell r="B155" t="str">
            <v>TRANSFERS CAPITAL</v>
          </cell>
          <cell r="C155" t="str">
            <v>TRANSFERS MISCELLANEOUS</v>
          </cell>
        </row>
        <row r="156">
          <cell r="A156">
            <v>699005</v>
          </cell>
          <cell r="B156" t="str">
            <v>699005  TRANSFERS-OTHER</v>
          </cell>
          <cell r="C156" t="str">
            <v>TRANSFERS REBILL</v>
          </cell>
        </row>
        <row r="157">
          <cell r="A157">
            <v>699010</v>
          </cell>
          <cell r="B157" t="str">
            <v>699010  TRANSFERS-REBILL</v>
          </cell>
          <cell r="C157" t="str">
            <v>TRANSFERS REBILL</v>
          </cell>
        </row>
        <row r="158">
          <cell r="A158">
            <v>699015</v>
          </cell>
          <cell r="B158" t="str">
            <v>699015  TRANSFERS-IT</v>
          </cell>
          <cell r="C158" t="str">
            <v>TRANSFERS REBILL</v>
          </cell>
        </row>
        <row r="159">
          <cell r="A159">
            <v>699017</v>
          </cell>
          <cell r="B159" t="str">
            <v>699017  TRANSFERS-PC LEASE</v>
          </cell>
          <cell r="C159" t="str">
            <v>TRANSFERS REBILL</v>
          </cell>
        </row>
        <row r="160">
          <cell r="A160">
            <v>699090</v>
          </cell>
          <cell r="B160" t="str">
            <v>699090  TRANSFERS-INTL ALLOC</v>
          </cell>
          <cell r="C160" t="str">
            <v>TRANSFERS REBILL</v>
          </cell>
        </row>
        <row r="161">
          <cell r="A161">
            <v>699075</v>
          </cell>
          <cell r="B161" t="str">
            <v>699075  TRANSFERS-CORPORATE</v>
          </cell>
          <cell r="C161" t="str">
            <v>TRANSFERS REBILL</v>
          </cell>
        </row>
        <row r="162">
          <cell r="A162">
            <v>699085</v>
          </cell>
          <cell r="B162" t="str">
            <v>699085  TRANSFERS-MISC ADJ</v>
          </cell>
          <cell r="C162" t="str">
            <v>TRANSFERS REBILL</v>
          </cell>
        </row>
        <row r="163">
          <cell r="A163">
            <v>690263</v>
          </cell>
          <cell r="B163" t="str">
            <v>690263  TRANS-GIS INTERNAL</v>
          </cell>
          <cell r="C163" t="str">
            <v>TRANSFERS REBILL</v>
          </cell>
        </row>
        <row r="164">
          <cell r="A164" t="e">
            <v>#VALUE!</v>
          </cell>
          <cell r="B164" t="str">
            <v>TRANSFERS REBILL</v>
          </cell>
          <cell r="C164" t="str">
            <v>TRANSFERS MISCELLANEOUS</v>
          </cell>
        </row>
        <row r="165">
          <cell r="A165" t="e">
            <v>#VALUE!</v>
          </cell>
          <cell r="B165" t="str">
            <v>TRANSFERS</v>
          </cell>
          <cell r="C165" t="str">
            <v>TRANSFERS MISCELLANEOUS</v>
          </cell>
        </row>
        <row r="166">
          <cell r="A166" t="e">
            <v>#VALUE!</v>
          </cell>
          <cell r="B166" t="str">
            <v>Total</v>
          </cell>
          <cell r="C166" t="str">
            <v>Total</v>
          </cell>
        </row>
        <row r="167">
          <cell r="A167" t="e">
            <v>#VALUE!</v>
          </cell>
          <cell r="B167" t="str">
            <v>Grand Total</v>
          </cell>
          <cell r="C167" t="str">
            <v>Grand Total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ng Sheet"/>
      <sheetName val="Index"/>
      <sheetName val="Rev Def Sum"/>
      <sheetName val="Rev Requirement"/>
      <sheetName val="Gross Conversion Factor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O&amp;M Expenses"/>
      <sheetName val="O&amp;M Adjustment Summary"/>
      <sheetName val="Labor Adj. Summary"/>
      <sheetName val="Wage Increase"/>
      <sheetName val="Gross Payroll Summary"/>
      <sheetName val="O&amp;M Percentage"/>
      <sheetName val="new positions"/>
      <sheetName val="Incentive"/>
      <sheetName val="Profit Sharing"/>
      <sheetName val="Pensions &amp; Benefits Adj "/>
      <sheetName val="NCSC Test Year Adj"/>
      <sheetName val="Incentive Comp"/>
      <sheetName val="IBM IT"/>
      <sheetName val="NCSC Labor &amp; Benefits"/>
      <sheetName val="Outside Svcs &amp; Company Mem"/>
      <sheetName val="Lease Expense"/>
      <sheetName val="Corporate Insurance"/>
      <sheetName val="Fuel Used in Co Operations"/>
      <sheetName val="Uncollectible Adj."/>
      <sheetName val="Rate Case Expense Adj"/>
      <sheetName val="DSM Surcharge Adjustment"/>
      <sheetName val="PSC &amp; PC Fees Adj"/>
      <sheetName val="Injuries&amp; Damages Adj"/>
      <sheetName val="GTI Funding "/>
      <sheetName val="Choice Costs"/>
      <sheetName val="Postage Costs "/>
      <sheetName val="Customer Education "/>
      <sheetName val="Depreciation Expense Summary"/>
      <sheetName val="Taxes Other than Income Sum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Rate Base"/>
      <sheetName val="Customer Deposits"/>
      <sheetName val="Lead Lag"/>
      <sheetName val="Cost of Capital"/>
      <sheetName val="Round Robin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 refreshError="1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 Info Needed-DO NOT PRINT"/>
      <sheetName val="Filing Sheet"/>
      <sheetName val="Index"/>
      <sheetName val="Rev Def Sum"/>
      <sheetName val="Rev Requirement"/>
      <sheetName val="Gross Conversion Factor"/>
      <sheetName val="Charge-off Rate - DO NOT PRINT"/>
      <sheetName val="Proforma Adjustments"/>
      <sheetName val="Revenue  Sheet 1"/>
      <sheetName val="Summary Sheet 2"/>
      <sheetName val="Per Books Purchase Gas Exp"/>
      <sheetName val="Annualized Purchase Gas Exp "/>
      <sheetName val="Uncollectible Surcharge Calc"/>
      <sheetName val="Unadj. Rev 2-A"/>
      <sheetName val="Bills 2-B"/>
      <sheetName val="DTH 2-C"/>
      <sheetName val="Norm 2-D"/>
      <sheetName val="Adj. Rev 2-E"/>
      <sheetName val="Adj to OGDR 2-F"/>
      <sheetName val="Adj. Rev 2-G"/>
      <sheetName val="O&amp;M Expenses"/>
      <sheetName val="O&amp;M Adjustment Summary"/>
      <sheetName val="Labor Adj. Summary"/>
      <sheetName val="Wage Increase"/>
      <sheetName val="Gross Payroll Summary"/>
      <sheetName val="Prem and OT 3 yrs"/>
      <sheetName val="O&amp;M Percentage"/>
      <sheetName val="New employees"/>
      <sheetName val="Incentive"/>
      <sheetName val="Profit Sharing"/>
      <sheetName val="Pensions &amp; Benefits Adj "/>
      <sheetName val="Pen&amp;RIP-5yrAvg"/>
      <sheetName val="Pension Detail-DO NOT PRINT"/>
      <sheetName val="NCSC Test Year Adj"/>
      <sheetName val="NCSC Labor &amp; Benefits"/>
      <sheetName val="NCSC Incentive Comp"/>
      <sheetName val="NCSC Stock Comp"/>
      <sheetName val="GTI Funding "/>
      <sheetName val="Private Letter Ruling Expense"/>
      <sheetName val="AGA Dues"/>
      <sheetName val="HQLease Expense"/>
      <sheetName val="Corporate Insurance"/>
      <sheetName val="Fuel Used in Co Operations"/>
      <sheetName val="Uncollectible Adj."/>
      <sheetName val="Rate Case Amort Adj"/>
      <sheetName val="Current Rate Case Exp"/>
      <sheetName val="DSM Surcharge Adjustment"/>
      <sheetName val="PSC &amp; PC Fees Adj"/>
      <sheetName val="Injuries &amp; Damages-DO NOT PRINT"/>
      <sheetName val="Clearing Accounts-DO NOT PRINT"/>
      <sheetName val="Postage Costs "/>
      <sheetName val="Depr&amp;Amort Sum"/>
      <sheetName val="Proposed Depr&amp;Amort"/>
      <sheetName val="TaxesOther than IncSummary"/>
      <sheetName val="Payroll Taxes Adj"/>
      <sheetName val="Property Tax Adj"/>
      <sheetName val="Gross Receipts Tax Adj"/>
      <sheetName val="Inc Tax"/>
      <sheetName val="Statutory Adj"/>
      <sheetName val="Interest on Cust Deposits"/>
      <sheetName val="AFUDC"/>
      <sheetName val="AFUDC "/>
      <sheetName val="Rate Base"/>
      <sheetName val="101"/>
      <sheetName val="106"/>
      <sheetName val="106 (IRIS)"/>
      <sheetName val="107"/>
      <sheetName val="107 (IRIS)"/>
      <sheetName val="Depreciation Reserve"/>
      <sheetName val="Material &amp; Supplies"/>
      <sheetName val="Def Tx CIAC"/>
      <sheetName val="Def Tx Inv"/>
      <sheetName val="Customer Deposits"/>
      <sheetName val="Cust Adv  Const"/>
      <sheetName val="Def Inc Taxes"/>
      <sheetName val="NOL"/>
      <sheetName val="Environmental adj"/>
      <sheetName val="Def Tx Enviromental"/>
      <sheetName val="Main Services terminal 101-106"/>
      <sheetName val="Main Services terminal 108"/>
      <sheetName val="Safety &amp; Reliability Additions"/>
      <sheetName val="Def tax on post test yr adj"/>
      <sheetName val="Customer Programs-SLE"/>
      <sheetName val="Lead Lag"/>
      <sheetName val="Cost of Capital"/>
      <sheetName val="PAST TAB-MGP Sale(DO NOT PRINT)"/>
      <sheetName val="Rev Def Sum wMGP Adj"/>
      <sheetName val="Rev Req wMGP"/>
      <sheetName val="Proforma Adj wMGP Adj"/>
      <sheetName val="O&amp;M Adj Sum wMGP Gain"/>
      <sheetName val="MGP Gain on Sale"/>
      <sheetName val="Depr&amp;Amrt Sum wMGP"/>
      <sheetName val="Proposed Depr&amp;Amrt wMGP"/>
      <sheetName val="Taxes Other than IncSum wMGP"/>
      <sheetName val="Property Tax wMGP"/>
      <sheetName val="Inc Tax wMGP"/>
      <sheetName val="Rate Base wMGP"/>
      <sheetName val="Hagerstown MGP"/>
      <sheetName val="MGP Gain on Sale RB"/>
      <sheetName val="Def Tx Hagerstown MGP"/>
      <sheetName val="Lead Lag wMGP"/>
      <sheetName val="PAST TAB-RevRqSLE(DO NOT PRINT)"/>
      <sheetName val="Customer Programs Rev Req Sum"/>
      <sheetName val="Input Sheet"/>
      <sheetName val="Round Robi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33 A REV."/>
      <sheetName val="ATTACH REH-5A REV"/>
      <sheetName val="TS1 &amp; TS2 ALLOCATION"/>
    </sheetNames>
    <sheetDataSet>
      <sheetData sheetId="0">
        <row r="1">
          <cell r="H1" t="str">
            <v>Schedule 33</v>
          </cell>
        </row>
        <row r="3">
          <cell r="D3" t="str">
            <v>COLUMBIA GAS OF VIRGINIA,  INC.</v>
          </cell>
        </row>
        <row r="5">
          <cell r="D5" t="str">
            <v xml:space="preserve">      Schedule of Additional Gross Revenues</v>
          </cell>
        </row>
        <row r="6">
          <cell r="D6" t="str">
            <v>By Rate Schedule Produced By Proposed Rates</v>
          </cell>
        </row>
        <row r="9">
          <cell r="D9" t="str">
            <v>Adjusted</v>
          </cell>
          <cell r="G9" t="str">
            <v>Proposed</v>
          </cell>
          <cell r="H9" t="str">
            <v>Proposed</v>
          </cell>
        </row>
        <row r="10">
          <cell r="C10" t="str">
            <v>Adjusted</v>
          </cell>
          <cell r="D10" t="str">
            <v>Rate</v>
          </cell>
          <cell r="E10" t="str">
            <v>Proposed</v>
          </cell>
          <cell r="F10" t="str">
            <v>Adjusted</v>
          </cell>
          <cell r="G10" t="str">
            <v>Increase</v>
          </cell>
          <cell r="H10" t="str">
            <v>Increase</v>
          </cell>
        </row>
        <row r="11">
          <cell r="B11" t="str">
            <v>Description</v>
          </cell>
          <cell r="C11" t="str">
            <v>Volumes (a)</v>
          </cell>
          <cell r="D11" t="str">
            <v>Revenue (b)</v>
          </cell>
          <cell r="E11" t="str">
            <v>Increase</v>
          </cell>
          <cell r="F11" t="str">
            <v>Revenues</v>
          </cell>
          <cell r="G11" t="str">
            <v>Per Mcf</v>
          </cell>
          <cell r="H11" t="str">
            <v>Percent</v>
          </cell>
        </row>
        <row r="12">
          <cell r="C12" t="str">
            <v>(1)</v>
          </cell>
          <cell r="D12" t="str">
            <v>(2)</v>
          </cell>
          <cell r="E12" t="str">
            <v>(3)</v>
          </cell>
          <cell r="F12" t="str">
            <v>(4=2+3)</v>
          </cell>
          <cell r="G12" t="str">
            <v>(5=3/1)</v>
          </cell>
          <cell r="H12" t="str">
            <v>(6)</v>
          </cell>
        </row>
        <row r="13">
          <cell r="C13" t="str">
            <v>Mcf</v>
          </cell>
          <cell r="D13" t="str">
            <v>$</v>
          </cell>
          <cell r="E13" t="str">
            <v>$</v>
          </cell>
          <cell r="F13" t="str">
            <v>$</v>
          </cell>
          <cell r="G13" t="str">
            <v>$/Mcf</v>
          </cell>
        </row>
        <row r="15">
          <cell r="B15" t="str">
            <v>Residential Service</v>
          </cell>
        </row>
        <row r="16">
          <cell r="B16" t="str">
            <v xml:space="preserve">  East and West</v>
          </cell>
          <cell r="C16">
            <v>11467918.199999999</v>
          </cell>
          <cell r="D16">
            <v>105546782</v>
          </cell>
          <cell r="E16">
            <v>9268974.945700001</v>
          </cell>
          <cell r="F16">
            <v>114815756.9457</v>
          </cell>
        </row>
        <row r="17">
          <cell r="B17" t="str">
            <v xml:space="preserve">  Central</v>
          </cell>
          <cell r="C17">
            <v>917057.1</v>
          </cell>
          <cell r="D17">
            <v>8272167</v>
          </cell>
          <cell r="E17">
            <v>796152.52987344749</v>
          </cell>
          <cell r="F17">
            <v>9068319.5298734475</v>
          </cell>
        </row>
        <row r="18">
          <cell r="B18" t="str">
            <v xml:space="preserve">  Total</v>
          </cell>
          <cell r="C18">
            <v>12384975.299999999</v>
          </cell>
          <cell r="D18">
            <v>113818949</v>
          </cell>
          <cell r="E18">
            <v>10065127.475573448</v>
          </cell>
          <cell r="F18">
            <v>123884076.47557345</v>
          </cell>
          <cell r="G18">
            <v>0.81269999999999998</v>
          </cell>
          <cell r="H18">
            <v>8.8400000000000006E-2</v>
          </cell>
        </row>
        <row r="20">
          <cell r="B20" t="str">
            <v>Small General Service</v>
          </cell>
        </row>
        <row r="21">
          <cell r="B21" t="str">
            <v xml:space="preserve">  Commercial</v>
          </cell>
          <cell r="C21">
            <v>6998572.9000000004</v>
          </cell>
          <cell r="D21">
            <v>47132884</v>
          </cell>
          <cell r="E21">
            <v>2635048.8509999998</v>
          </cell>
          <cell r="F21">
            <v>49767932.850999996</v>
          </cell>
        </row>
        <row r="22">
          <cell r="B22" t="str">
            <v xml:space="preserve">  Industrial</v>
          </cell>
          <cell r="C22">
            <v>522998.3</v>
          </cell>
          <cell r="D22">
            <v>3243215</v>
          </cell>
          <cell r="E22">
            <v>180918.85170088289</v>
          </cell>
          <cell r="F22">
            <v>3424133.8517008829</v>
          </cell>
        </row>
        <row r="23">
          <cell r="B23" t="str">
            <v xml:space="preserve">  Total</v>
          </cell>
          <cell r="C23">
            <v>7521571.2000000002</v>
          </cell>
          <cell r="D23">
            <v>50376099</v>
          </cell>
          <cell r="E23">
            <v>2815967.7027008827</v>
          </cell>
          <cell r="F23">
            <v>53192066.702700876</v>
          </cell>
          <cell r="G23">
            <v>0.37440000000000001</v>
          </cell>
          <cell r="H23">
            <v>5.5899999999999998E-2</v>
          </cell>
        </row>
        <row r="25">
          <cell r="B25" t="str">
            <v xml:space="preserve">Large General Service 1/  </v>
          </cell>
        </row>
        <row r="26">
          <cell r="B26" t="str">
            <v>Transportation Service 1</v>
          </cell>
        </row>
        <row r="27">
          <cell r="B27" t="str">
            <v xml:space="preserve">  Commercial (LGS 1)</v>
          </cell>
          <cell r="C27">
            <v>427682.9</v>
          </cell>
          <cell r="D27">
            <v>1115423</v>
          </cell>
          <cell r="E27">
            <v>32711.53581999999</v>
          </cell>
          <cell r="F27">
            <v>1148134.5358199999</v>
          </cell>
        </row>
        <row r="28">
          <cell r="B28" t="str">
            <v xml:space="preserve">  Industrial (LGS 1)</v>
          </cell>
          <cell r="C28">
            <v>740335</v>
          </cell>
          <cell r="D28">
            <v>3449616</v>
          </cell>
          <cell r="E28">
            <v>74045.791333959671</v>
          </cell>
          <cell r="F28">
            <v>3523661.7913339594</v>
          </cell>
        </row>
        <row r="29">
          <cell r="B29" t="str">
            <v xml:space="preserve">  Commercial (TS-1)</v>
          </cell>
          <cell r="C29">
            <v>2101300.2000000002</v>
          </cell>
          <cell r="D29">
            <v>1368179</v>
          </cell>
          <cell r="E29">
            <v>167328.92973999999</v>
          </cell>
          <cell r="F29">
            <v>1535507.9297400001</v>
          </cell>
        </row>
        <row r="30">
          <cell r="B30" t="str">
            <v xml:space="preserve">  Industrial (TS-1)</v>
          </cell>
          <cell r="C30">
            <v>6947728.5999999996</v>
          </cell>
          <cell r="D30">
            <v>3734034</v>
          </cell>
          <cell r="E30">
            <v>495300.92672000005</v>
          </cell>
          <cell r="F30">
            <v>4229334.9267199999</v>
          </cell>
        </row>
        <row r="31">
          <cell r="B31" t="str">
            <v xml:space="preserve">  Total</v>
          </cell>
          <cell r="C31">
            <v>10217046.699999999</v>
          </cell>
          <cell r="D31">
            <v>9667252</v>
          </cell>
          <cell r="E31">
            <v>769387.1836139597</v>
          </cell>
          <cell r="F31">
            <v>10436639.18361396</v>
          </cell>
          <cell r="G31">
            <v>7.5300000000000006E-2</v>
          </cell>
          <cell r="H31">
            <v>7.9600000000000004E-2</v>
          </cell>
        </row>
        <row r="33">
          <cell r="B33" t="str">
            <v>Large General Service 2/</v>
          </cell>
        </row>
        <row r="34">
          <cell r="B34" t="str">
            <v>Transportation Service 2</v>
          </cell>
        </row>
        <row r="35">
          <cell r="B35" t="str">
            <v xml:space="preserve">  Commercial (LGS 2)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B36" t="str">
            <v xml:space="preserve">  Industrial (LGS 2)</v>
          </cell>
          <cell r="C36">
            <v>1052107</v>
          </cell>
          <cell r="D36">
            <v>4040109</v>
          </cell>
          <cell r="E36">
            <v>21383.575000000001</v>
          </cell>
          <cell r="F36">
            <v>4061492.5750000002</v>
          </cell>
        </row>
        <row r="37">
          <cell r="B37" t="str">
            <v xml:space="preserve">  Commercial (TS-2)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B38" t="str">
            <v xml:space="preserve">  Industrial (TS-2)</v>
          </cell>
          <cell r="C38">
            <v>13598016</v>
          </cell>
          <cell r="D38">
            <v>3105475</v>
          </cell>
          <cell r="E38">
            <v>353886.06311170897</v>
          </cell>
          <cell r="F38">
            <v>3459361.063111709</v>
          </cell>
        </row>
        <row r="39">
          <cell r="B39" t="str">
            <v xml:space="preserve">  Total</v>
          </cell>
          <cell r="C39">
            <v>14650123</v>
          </cell>
          <cell r="D39">
            <v>7145584</v>
          </cell>
          <cell r="E39">
            <v>375269.63811170898</v>
          </cell>
          <cell r="F39">
            <v>7520853.6381117087</v>
          </cell>
          <cell r="G39">
            <v>2.5600000000000001E-2</v>
          </cell>
          <cell r="H39">
            <v>5.2499999999999998E-2</v>
          </cell>
        </row>
        <row r="42">
          <cell r="B42" t="str">
            <v xml:space="preserve">  Special Contract</v>
          </cell>
          <cell r="C42">
            <v>16993404</v>
          </cell>
          <cell r="D42">
            <v>2615185</v>
          </cell>
          <cell r="E42">
            <v>0</v>
          </cell>
          <cell r="F42">
            <v>2615185</v>
          </cell>
          <cell r="G42">
            <v>0</v>
          </cell>
          <cell r="H42">
            <v>0</v>
          </cell>
        </row>
        <row r="44">
          <cell r="B44" t="str">
            <v xml:space="preserve">  Total Transportation</v>
          </cell>
          <cell r="C44">
            <v>39640448.799999997</v>
          </cell>
          <cell r="D44">
            <v>10822873</v>
          </cell>
          <cell r="E44">
            <v>1016515.919571709</v>
          </cell>
          <cell r="F44">
            <v>11839388.919571709</v>
          </cell>
        </row>
        <row r="46">
          <cell r="B46" t="str">
            <v>Total</v>
          </cell>
          <cell r="C46">
            <v>61767120.200000003</v>
          </cell>
          <cell r="D46">
            <v>183623069</v>
          </cell>
          <cell r="E46">
            <v>14025752</v>
          </cell>
          <cell r="F46">
            <v>197648821</v>
          </cell>
        </row>
        <row r="48">
          <cell r="B48" t="str">
            <v>Other Operating Revenue</v>
          </cell>
          <cell r="D48">
            <v>2113419</v>
          </cell>
          <cell r="E48">
            <v>0</v>
          </cell>
          <cell r="F48">
            <v>2113419</v>
          </cell>
        </row>
        <row r="49">
          <cell r="B49" t="str">
            <v>Total Revenue</v>
          </cell>
          <cell r="C49">
            <v>61767120.200000003</v>
          </cell>
          <cell r="D49">
            <v>185736488</v>
          </cell>
          <cell r="E49">
            <v>14025752</v>
          </cell>
          <cell r="F49">
            <v>199762240</v>
          </cell>
        </row>
        <row r="52">
          <cell r="B52" t="str">
            <v>(a) Test period adjusted per schedule 14.</v>
          </cell>
        </row>
        <row r="54">
          <cell r="B54" t="str">
            <v>(b) Rates based on those in approved in Case No. PUE950033.</v>
          </cell>
        </row>
        <row r="56">
          <cell r="B56" t="str">
            <v>X:\CGV\RATECASE\98\SCHEDULE\SCHEDULE 33 FOR 1998</v>
          </cell>
        </row>
      </sheetData>
      <sheetData sheetId="1">
        <row r="2">
          <cell r="H2" t="str">
            <v>ATTACHMENT REH-5</v>
          </cell>
        </row>
        <row r="5">
          <cell r="E5" t="str">
            <v>COLUMBIA GAS OF VIRGINIA, INC.</v>
          </cell>
        </row>
        <row r="7">
          <cell r="E7" t="str">
            <v>SCHEDULE OF ADDITIONAL GROSS REVENUES</v>
          </cell>
        </row>
        <row r="9">
          <cell r="E9" t="str">
            <v>BY RATE SCHEDULE PRODUCED BY PROPOSED RATES</v>
          </cell>
        </row>
        <row r="13">
          <cell r="C13" t="str">
            <v>ADJUSTED</v>
          </cell>
          <cell r="D13" t="str">
            <v>ADJUSTED</v>
          </cell>
        </row>
        <row r="14">
          <cell r="C14" t="str">
            <v>VOLUMES</v>
          </cell>
          <cell r="D14" t="str">
            <v>RATE</v>
          </cell>
          <cell r="E14" t="str">
            <v>PROPOSED</v>
          </cell>
          <cell r="F14" t="str">
            <v>ADJUSTED</v>
          </cell>
          <cell r="G14" t="str">
            <v>PROPOSED</v>
          </cell>
          <cell r="H14" t="str">
            <v>PROPOSED</v>
          </cell>
        </row>
        <row r="15">
          <cell r="B15" t="str">
            <v>DESCRIPTION</v>
          </cell>
          <cell r="C15" t="str">
            <v>(a)</v>
          </cell>
          <cell r="D15" t="str">
            <v>REVENUE</v>
          </cell>
          <cell r="E15" t="str">
            <v xml:space="preserve">INCREASE </v>
          </cell>
          <cell r="F15" t="str">
            <v>REVENUE</v>
          </cell>
          <cell r="G15" t="str">
            <v>INCREASE</v>
          </cell>
          <cell r="H15" t="str">
            <v>INCREASE</v>
          </cell>
        </row>
        <row r="16">
          <cell r="C16" t="str">
            <v>(1)</v>
          </cell>
          <cell r="D16" t="str">
            <v>(2)</v>
          </cell>
          <cell r="E16" t="str">
            <v>(3)</v>
          </cell>
          <cell r="F16" t="str">
            <v>(4)</v>
          </cell>
          <cell r="G16" t="str">
            <v>(5=3/1)</v>
          </cell>
          <cell r="H16" t="str">
            <v>(6=3/2)</v>
          </cell>
        </row>
        <row r="17">
          <cell r="C17" t="str">
            <v>MCF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$/MCF</v>
          </cell>
          <cell r="H17" t="str">
            <v>%</v>
          </cell>
        </row>
        <row r="18">
          <cell r="B18" t="str">
            <v>GAS SERVICE REVENUES:</v>
          </cell>
        </row>
        <row r="20">
          <cell r="B20" t="str">
            <v xml:space="preserve">   RESIDENTIAL</v>
          </cell>
          <cell r="C20">
            <v>12384975.299999999</v>
          </cell>
          <cell r="D20">
            <v>113818949</v>
          </cell>
          <cell r="E20">
            <v>10065127.475573448</v>
          </cell>
          <cell r="F20">
            <v>123884076.47557345</v>
          </cell>
          <cell r="G20">
            <v>0.81269999999999998</v>
          </cell>
          <cell r="H20">
            <v>8.8400000000000006E-2</v>
          </cell>
        </row>
        <row r="21">
          <cell r="B21" t="str">
            <v xml:space="preserve">   SGS</v>
          </cell>
          <cell r="C21">
            <v>7521571.2000000002</v>
          </cell>
          <cell r="D21">
            <v>50376099</v>
          </cell>
          <cell r="E21">
            <v>2815967.7027008827</v>
          </cell>
          <cell r="F21">
            <v>53192066.702700883</v>
          </cell>
          <cell r="G21">
            <v>0.37440000000000001</v>
          </cell>
          <cell r="H21">
            <v>5.5899999999999998E-2</v>
          </cell>
        </row>
        <row r="22">
          <cell r="B22" t="str">
            <v xml:space="preserve">   TS-1/LGS</v>
          </cell>
          <cell r="C22">
            <v>10217046.699999999</v>
          </cell>
          <cell r="D22">
            <v>9667252</v>
          </cell>
          <cell r="E22">
            <v>769387.1836139597</v>
          </cell>
          <cell r="F22">
            <v>10436639.18361396</v>
          </cell>
          <cell r="G22">
            <v>7.5300000000000006E-2</v>
          </cell>
          <cell r="H22">
            <v>7.9600000000000004E-2</v>
          </cell>
        </row>
        <row r="23">
          <cell r="B23" t="str">
            <v xml:space="preserve">   TS-2/LGS2</v>
          </cell>
          <cell r="C23">
            <v>14650123</v>
          </cell>
          <cell r="D23">
            <v>7145584</v>
          </cell>
          <cell r="E23">
            <v>375269.63811170898</v>
          </cell>
          <cell r="F23">
            <v>7520853.6381117087</v>
          </cell>
          <cell r="G23">
            <v>2.5600000000000001E-2</v>
          </cell>
          <cell r="H23">
            <v>5.2499999999999998E-2</v>
          </cell>
        </row>
        <row r="24">
          <cell r="B24" t="str">
            <v xml:space="preserve">   LVTS/LVEDTS</v>
          </cell>
          <cell r="C24">
            <v>16993404</v>
          </cell>
          <cell r="D24">
            <v>2615185</v>
          </cell>
          <cell r="E24">
            <v>0</v>
          </cell>
          <cell r="F24">
            <v>2615185</v>
          </cell>
          <cell r="G24">
            <v>0</v>
          </cell>
          <cell r="H24">
            <v>0</v>
          </cell>
        </row>
        <row r="26">
          <cell r="B26" t="str">
            <v>TOTAL GAS SERVICE REVENUE</v>
          </cell>
          <cell r="C26">
            <v>61767120.200000003</v>
          </cell>
          <cell r="D26">
            <v>183623069</v>
          </cell>
          <cell r="E26">
            <v>14025752</v>
          </cell>
          <cell r="F26">
            <v>197648821</v>
          </cell>
          <cell r="G26" t="str">
            <v>N/A</v>
          </cell>
          <cell r="H26">
            <v>7.6399999999999996E-2</v>
          </cell>
        </row>
        <row r="28">
          <cell r="B28" t="str">
            <v>MISCELLANEOUS REVENUE</v>
          </cell>
          <cell r="D28">
            <v>2113419</v>
          </cell>
          <cell r="E28">
            <v>0</v>
          </cell>
          <cell r="F28">
            <v>2113419</v>
          </cell>
        </row>
        <row r="30">
          <cell r="B30" t="str">
            <v>TOTAL REVENUE</v>
          </cell>
          <cell r="D30">
            <v>185736488</v>
          </cell>
          <cell r="E30">
            <v>14025752</v>
          </cell>
          <cell r="F30">
            <v>199762240</v>
          </cell>
          <cell r="H30">
            <v>7.5499999999999998E-2</v>
          </cell>
        </row>
        <row r="33">
          <cell r="B33" t="str">
            <v>(a) TEST PERIOD ADJUSTED PER SCHEDULE 14-REVENUE.</v>
          </cell>
        </row>
        <row r="39">
          <cell r="B39" t="str">
            <v>X:\CGV\RATECASE\98\SCHEDULE\SCHEDULE 33 FOR 1998</v>
          </cell>
        </row>
        <row r="52">
          <cell r="D52" t="str">
            <v>COLUMBIA GAS OF VIRGINIA, INC.</v>
          </cell>
        </row>
        <row r="53">
          <cell r="D53" t="str">
            <v xml:space="preserve">RATE BLOCK INCREASE WORK PAPER </v>
          </cell>
        </row>
        <row r="55">
          <cell r="B55" t="str">
            <v xml:space="preserve"> </v>
          </cell>
        </row>
        <row r="62">
          <cell r="B62" t="str">
            <v xml:space="preserve">TOTAL RESIDENTIAL INCREASE: </v>
          </cell>
          <cell r="G62">
            <v>10065127.475573448</v>
          </cell>
        </row>
        <row r="67">
          <cell r="B67" t="str">
            <v>PROPOSED INCREASE TO ELIMINATE LYNCHBURG RATE DIFFERENTIAL:</v>
          </cell>
        </row>
        <row r="71">
          <cell r="E71" t="str">
            <v>ADJUSTED</v>
          </cell>
          <cell r="F71" t="str">
            <v>CURRENT</v>
          </cell>
        </row>
        <row r="72">
          <cell r="B72" t="str">
            <v xml:space="preserve"> VOLUMETRIC RATE INCREASE:</v>
          </cell>
          <cell r="E72" t="str">
            <v>CENTRAL</v>
          </cell>
          <cell r="F72" t="str">
            <v>DIFFERENTIAL</v>
          </cell>
        </row>
        <row r="73">
          <cell r="E73" t="str">
            <v>VOLUMES</v>
          </cell>
          <cell r="F73" t="str">
            <v>PER MCF</v>
          </cell>
        </row>
        <row r="74">
          <cell r="B74" t="str">
            <v>FIRST 5 MCF</v>
          </cell>
          <cell r="E74">
            <v>314094.5</v>
          </cell>
          <cell r="F74">
            <v>8.8999999999999996E-2</v>
          </cell>
          <cell r="G74">
            <v>27954.410499999998</v>
          </cell>
        </row>
        <row r="75">
          <cell r="B75" t="str">
            <v>NEXT 45</v>
          </cell>
          <cell r="E75">
            <v>535032.9</v>
          </cell>
          <cell r="F75">
            <v>9.0999999999999998E-2</v>
          </cell>
          <cell r="G75">
            <v>48687.993900000001</v>
          </cell>
          <cell r="I75">
            <v>0</v>
          </cell>
        </row>
        <row r="76">
          <cell r="B76" t="str">
            <v>OVER 50</v>
          </cell>
          <cell r="E76">
            <v>67929.7</v>
          </cell>
          <cell r="F76">
            <v>9.2999999999999999E-2</v>
          </cell>
          <cell r="G76">
            <v>6317.4620999999997</v>
          </cell>
          <cell r="I76">
            <v>0</v>
          </cell>
        </row>
        <row r="77">
          <cell r="B77" t="str">
            <v>TOTAL</v>
          </cell>
          <cell r="E77">
            <v>917057.1</v>
          </cell>
          <cell r="G77">
            <v>82959.866500000004</v>
          </cell>
        </row>
        <row r="79">
          <cell r="B79" t="str">
            <v>INCREASE TO RS REMAINING AFTER DIFFERENTIAL ELIMINATION:</v>
          </cell>
          <cell r="G79">
            <v>9982167.6090734489</v>
          </cell>
        </row>
        <row r="81">
          <cell r="B81" t="str">
            <v xml:space="preserve">RATE INCREASE TO </v>
          </cell>
        </row>
        <row r="82">
          <cell r="B82" t="str">
            <v xml:space="preserve">   RESIDENTIAL SERVICE</v>
          </cell>
          <cell r="E82" t="str">
            <v>NUMBER</v>
          </cell>
          <cell r="F82" t="str">
            <v>INCREASE</v>
          </cell>
        </row>
        <row r="83">
          <cell r="B83" t="str">
            <v xml:space="preserve"> CUSTOMER CHARGE INCREASE:</v>
          </cell>
          <cell r="E83" t="str">
            <v>OF BILLS</v>
          </cell>
          <cell r="F83" t="str">
            <v>PER BILL</v>
          </cell>
        </row>
        <row r="84">
          <cell r="E84">
            <v>1870988</v>
          </cell>
          <cell r="F84">
            <v>1</v>
          </cell>
          <cell r="G84">
            <v>1870988</v>
          </cell>
          <cell r="I84" t="str">
            <v>RS E&amp;W</v>
          </cell>
        </row>
        <row r="85">
          <cell r="I85" t="str">
            <v>Bills</v>
          </cell>
        </row>
        <row r="86">
          <cell r="B86" t="str">
            <v>INCREASE TO RS REMAINING AFTER CUSTOMER CHARGE INCREASE:</v>
          </cell>
          <cell r="G86">
            <v>8111179.6090734489</v>
          </cell>
          <cell r="I86">
            <v>1758835</v>
          </cell>
          <cell r="J86">
            <v>1</v>
          </cell>
          <cell r="K86">
            <v>1758835</v>
          </cell>
        </row>
        <row r="87">
          <cell r="C87" t="str">
            <v>RS</v>
          </cell>
        </row>
        <row r="88">
          <cell r="B88" t="str">
            <v xml:space="preserve"> VOLUMETRIC RATE INCREASE:</v>
          </cell>
          <cell r="C88" t="str">
            <v>NON-GAS</v>
          </cell>
          <cell r="E88" t="str">
            <v>RS</v>
          </cell>
        </row>
        <row r="89">
          <cell r="C89" t="str">
            <v>REVENUE</v>
          </cell>
          <cell r="D89" t="str">
            <v>RATIO</v>
          </cell>
          <cell r="E89" t="str">
            <v>VOLUMES</v>
          </cell>
          <cell r="F89" t="str">
            <v>PER MCF</v>
          </cell>
          <cell r="I89" t="str">
            <v>RS E&amp;W</v>
          </cell>
          <cell r="J89" t="str">
            <v>Rate</v>
          </cell>
        </row>
        <row r="90">
          <cell r="B90" t="str">
            <v>FIRST 5 MCF</v>
          </cell>
          <cell r="C90">
            <v>14822694</v>
          </cell>
          <cell r="D90">
            <v>0.41845165119467403</v>
          </cell>
          <cell r="E90">
            <v>5078881.0999999996</v>
          </cell>
          <cell r="F90">
            <v>0.66800000000000004</v>
          </cell>
          <cell r="G90">
            <v>3394137</v>
          </cell>
          <cell r="H90">
            <v>0</v>
          </cell>
          <cell r="I90">
            <v>4764786</v>
          </cell>
          <cell r="J90">
            <v>0.66800000000000004</v>
          </cell>
          <cell r="K90">
            <v>3182877.048</v>
          </cell>
        </row>
        <row r="91">
          <cell r="B91" t="str">
            <v>NEXT 45</v>
          </cell>
          <cell r="C91">
            <v>18891575</v>
          </cell>
          <cell r="D91">
            <v>0.53331808323224006</v>
          </cell>
          <cell r="E91">
            <v>6673806.6000000006</v>
          </cell>
          <cell r="F91">
            <v>0.64800000000000002</v>
          </cell>
          <cell r="G91">
            <v>4325839</v>
          </cell>
          <cell r="I91">
            <v>6138773.7000000002</v>
          </cell>
          <cell r="J91">
            <v>0.64800000000000002</v>
          </cell>
          <cell r="K91">
            <v>3977925.3576000002</v>
          </cell>
        </row>
        <row r="92">
          <cell r="B92" t="str">
            <v>OVER 50</v>
          </cell>
          <cell r="C92">
            <v>1708447</v>
          </cell>
          <cell r="D92">
            <v>4.8230265573085927E-2</v>
          </cell>
          <cell r="E92">
            <v>632287.6</v>
          </cell>
          <cell r="F92">
            <v>0.61899999999999999</v>
          </cell>
          <cell r="G92">
            <v>391204</v>
          </cell>
          <cell r="I92">
            <v>564357.9</v>
          </cell>
          <cell r="J92">
            <v>0.61899999999999999</v>
          </cell>
          <cell r="K92">
            <v>349337.54009999998</v>
          </cell>
        </row>
        <row r="93">
          <cell r="B93" t="str">
            <v>TOTAL</v>
          </cell>
          <cell r="C93">
            <v>35422716</v>
          </cell>
          <cell r="D93">
            <v>1</v>
          </cell>
          <cell r="E93">
            <v>12384975.299999999</v>
          </cell>
          <cell r="G93">
            <v>8111180</v>
          </cell>
          <cell r="I93">
            <v>11467917.6</v>
          </cell>
          <cell r="K93">
            <v>7510139.9457</v>
          </cell>
        </row>
        <row r="95">
          <cell r="B95" t="str">
            <v>INCREASE TO RS REMAINING AFTER VOLUMETRIC INCREASE:</v>
          </cell>
          <cell r="G95">
            <v>-0.3909265510737896</v>
          </cell>
          <cell r="K95">
            <v>9268974.945700001</v>
          </cell>
        </row>
        <row r="97">
          <cell r="B97" t="str">
            <v>INCREASE TO RATE SCHEDULE SGS:</v>
          </cell>
          <cell r="G97">
            <v>2815967.7027008827</v>
          </cell>
        </row>
        <row r="99">
          <cell r="E99" t="str">
            <v>NUMBER</v>
          </cell>
          <cell r="F99" t="str">
            <v>INCREASE</v>
          </cell>
        </row>
        <row r="100">
          <cell r="B100" t="str">
            <v xml:space="preserve"> CUSTOMER CHARGE INCREASE:</v>
          </cell>
          <cell r="E100" t="str">
            <v>OF BILLS</v>
          </cell>
          <cell r="F100" t="str">
            <v>PER BILL</v>
          </cell>
          <cell r="I100" t="str">
            <v>Bills</v>
          </cell>
        </row>
        <row r="101">
          <cell r="E101">
            <v>200713</v>
          </cell>
          <cell r="F101">
            <v>1</v>
          </cell>
          <cell r="G101">
            <v>200713</v>
          </cell>
          <cell r="I101">
            <v>199167</v>
          </cell>
          <cell r="J101">
            <v>1</v>
          </cell>
          <cell r="K101">
            <v>199167</v>
          </cell>
        </row>
        <row r="103">
          <cell r="B103" t="str">
            <v>INCREASE TO SGS REMAINING AFTER CUSTOMER CHARGE INCREASE:</v>
          </cell>
          <cell r="G103">
            <v>2615254.7027008827</v>
          </cell>
        </row>
        <row r="104">
          <cell r="I104" t="str">
            <v>Volume</v>
          </cell>
          <cell r="K104" t="str">
            <v>Increase</v>
          </cell>
        </row>
        <row r="105">
          <cell r="B105" t="str">
            <v xml:space="preserve"> VOLUMETRIC RATE INCREASE:</v>
          </cell>
          <cell r="C105" t="str">
            <v>NON-GAS</v>
          </cell>
          <cell r="E105" t="str">
            <v>SGS</v>
          </cell>
          <cell r="I105" t="str">
            <v>SGS-COM</v>
          </cell>
          <cell r="J105" t="str">
            <v>Rate</v>
          </cell>
          <cell r="K105" t="str">
            <v>SGS-COM</v>
          </cell>
        </row>
        <row r="106">
          <cell r="C106" t="str">
            <v>REVENUE</v>
          </cell>
          <cell r="D106" t="str">
            <v>RATIO</v>
          </cell>
          <cell r="E106" t="str">
            <v>VOLUMES</v>
          </cell>
          <cell r="F106" t="str">
            <v>PER MCF</v>
          </cell>
        </row>
        <row r="107">
          <cell r="B107" t="str">
            <v>FIRST 20 MCF</v>
          </cell>
          <cell r="C107">
            <v>2675511</v>
          </cell>
          <cell r="D107">
            <v>0.2091650747749364</v>
          </cell>
          <cell r="E107">
            <v>1459634.8</v>
          </cell>
          <cell r="F107">
            <v>0.375</v>
          </cell>
          <cell r="G107">
            <v>547020</v>
          </cell>
          <cell r="H107">
            <v>0</v>
          </cell>
          <cell r="I107">
            <v>1438829.8</v>
          </cell>
          <cell r="J107">
            <v>0.375</v>
          </cell>
          <cell r="K107">
            <v>539561.17500000005</v>
          </cell>
        </row>
        <row r="108">
          <cell r="B108" t="str">
            <v>NEXT 80</v>
          </cell>
          <cell r="C108">
            <v>2659318</v>
          </cell>
          <cell r="D108">
            <v>0.20789914461960141</v>
          </cell>
          <cell r="E108">
            <v>1556977.5999999999</v>
          </cell>
          <cell r="F108">
            <v>0.34899999999999998</v>
          </cell>
          <cell r="G108">
            <v>543709</v>
          </cell>
          <cell r="I108">
            <v>1490593.2</v>
          </cell>
          <cell r="J108">
            <v>0.34899999999999998</v>
          </cell>
          <cell r="K108">
            <v>520217.02679999993</v>
          </cell>
        </row>
        <row r="109">
          <cell r="B109" t="str">
            <v>NEXT 900</v>
          </cell>
          <cell r="C109">
            <v>5635554</v>
          </cell>
          <cell r="D109">
            <v>0.44057418332729409</v>
          </cell>
          <cell r="E109">
            <v>3364510.1</v>
          </cell>
          <cell r="F109">
            <v>0.34200000000000003</v>
          </cell>
          <cell r="G109">
            <v>1152214</v>
          </cell>
          <cell r="I109">
            <v>3072051</v>
          </cell>
          <cell r="J109">
            <v>0.34200000000000003</v>
          </cell>
          <cell r="K109">
            <v>1050641.442</v>
          </cell>
        </row>
        <row r="110">
          <cell r="B110" t="str">
            <v>NEXT 1500</v>
          </cell>
          <cell r="C110">
            <v>815904</v>
          </cell>
          <cell r="D110">
            <v>6.3785430584725578E-2</v>
          </cell>
          <cell r="E110">
            <v>505516.69999999995</v>
          </cell>
          <cell r="F110">
            <v>0.33</v>
          </cell>
          <cell r="G110">
            <v>166815</v>
          </cell>
          <cell r="I110">
            <v>400360.6</v>
          </cell>
          <cell r="J110">
            <v>0.33</v>
          </cell>
          <cell r="K110">
            <v>132118.99799999999</v>
          </cell>
        </row>
        <row r="111">
          <cell r="B111" t="str">
            <v>OVER 2500</v>
          </cell>
          <cell r="C111">
            <v>1005098</v>
          </cell>
          <cell r="D111">
            <v>7.8576166693442501E-2</v>
          </cell>
          <cell r="E111">
            <v>634932</v>
          </cell>
          <cell r="F111">
            <v>0.32400000000000001</v>
          </cell>
          <cell r="G111">
            <v>205497</v>
          </cell>
          <cell r="I111">
            <v>596738.30000000005</v>
          </cell>
          <cell r="J111">
            <v>0.32400000000000001</v>
          </cell>
          <cell r="K111">
            <v>193343.20920000001</v>
          </cell>
        </row>
        <row r="112">
          <cell r="B112" t="str">
            <v>TOTAL</v>
          </cell>
          <cell r="C112">
            <v>12791385</v>
          </cell>
          <cell r="D112">
            <v>0.99999999999999989</v>
          </cell>
          <cell r="E112">
            <v>7521571.2000000002</v>
          </cell>
          <cell r="G112">
            <v>2615255</v>
          </cell>
          <cell r="I112">
            <v>6998572.8999999994</v>
          </cell>
          <cell r="K112">
            <v>2435881.8509999998</v>
          </cell>
        </row>
        <row r="114">
          <cell r="B114" t="str">
            <v>INCREASE TO SGS REMAINING AFTER VOLUMETRIC INCREASE:</v>
          </cell>
          <cell r="G114">
            <v>-0.29729911731556058</v>
          </cell>
          <cell r="J114" t="str">
            <v>SGS Comm. Inc</v>
          </cell>
          <cell r="K114">
            <v>2635048.8509999998</v>
          </cell>
        </row>
        <row r="115">
          <cell r="J115" t="str">
            <v>SGS Ind. Inc</v>
          </cell>
          <cell r="K115">
            <v>180918.85170088289</v>
          </cell>
        </row>
        <row r="116">
          <cell r="B116" t="str">
            <v xml:space="preserve">INCREASE TO RATE SCHEDULE LGS / TS-1 </v>
          </cell>
          <cell r="G116">
            <v>769387.1836139597</v>
          </cell>
          <cell r="J116" t="str">
            <v>Total</v>
          </cell>
          <cell r="K116">
            <v>2815967.7027008827</v>
          </cell>
        </row>
        <row r="117">
          <cell r="B117" t="str">
            <v xml:space="preserve"> </v>
          </cell>
          <cell r="E117" t="str">
            <v>NUMBER</v>
          </cell>
          <cell r="F117" t="str">
            <v>INCREASE</v>
          </cell>
        </row>
        <row r="118">
          <cell r="B118" t="str">
            <v xml:space="preserve"> CUSTOMER CHARGE INCREASE:</v>
          </cell>
          <cell r="E118" t="str">
            <v>OF BILLS</v>
          </cell>
          <cell r="F118" t="str">
            <v>PER BILL</v>
          </cell>
        </row>
        <row r="119">
          <cell r="E119">
            <v>2592</v>
          </cell>
          <cell r="F119">
            <v>0</v>
          </cell>
          <cell r="G119">
            <v>0</v>
          </cell>
          <cell r="I119" t="str">
            <v>Bills</v>
          </cell>
        </row>
        <row r="120">
          <cell r="I120">
            <v>840</v>
          </cell>
          <cell r="J120">
            <v>0</v>
          </cell>
          <cell r="K120">
            <v>0</v>
          </cell>
        </row>
        <row r="121">
          <cell r="B121" t="str">
            <v>INCREASE TO LGS / TS-1 REMAINING AFTER CUSTOMER CHARGE INCREASE:</v>
          </cell>
          <cell r="G121">
            <v>769387.1836139597</v>
          </cell>
        </row>
        <row r="123">
          <cell r="C123" t="str">
            <v>NON-GAS</v>
          </cell>
          <cell r="I123" t="str">
            <v>Volume</v>
          </cell>
          <cell r="K123" t="str">
            <v>Increase</v>
          </cell>
        </row>
        <row r="124">
          <cell r="B124" t="str">
            <v xml:space="preserve"> VOLUMETRIC RATE INCREASE:</v>
          </cell>
          <cell r="C124" t="str">
            <v>REVENUE</v>
          </cell>
          <cell r="D124" t="str">
            <v>RATIO</v>
          </cell>
          <cell r="E124" t="str">
            <v>VOLUMES</v>
          </cell>
          <cell r="F124" t="str">
            <v>PER MCF</v>
          </cell>
          <cell r="I124" t="str">
            <v>LGS1-COM</v>
          </cell>
          <cell r="J124" t="str">
            <v>Rate</v>
          </cell>
          <cell r="K124" t="str">
            <v>LGS1-COM</v>
          </cell>
        </row>
        <row r="125">
          <cell r="B125" t="str">
            <v>LGS ADMIN CHARGE</v>
          </cell>
          <cell r="C125">
            <v>73701.929489999995</v>
          </cell>
          <cell r="D125">
            <v>0</v>
          </cell>
          <cell r="E125">
            <v>1168017.8999999999</v>
          </cell>
          <cell r="F125">
            <v>0</v>
          </cell>
          <cell r="G125">
            <v>0</v>
          </cell>
        </row>
        <row r="126">
          <cell r="B126" t="str">
            <v>DEMAND/SS CHARGE</v>
          </cell>
          <cell r="C126">
            <v>30216.899999999998</v>
          </cell>
          <cell r="D126">
            <v>0</v>
          </cell>
          <cell r="E126">
            <v>100723</v>
          </cell>
          <cell r="F126">
            <v>0</v>
          </cell>
          <cell r="G126">
            <v>0</v>
          </cell>
          <cell r="K126">
            <v>0</v>
          </cell>
        </row>
        <row r="127">
          <cell r="B127" t="str">
            <v>FIRST 1000</v>
          </cell>
          <cell r="C127">
            <v>1785355.689</v>
          </cell>
          <cell r="D127">
            <v>0.3805714388983556</v>
          </cell>
          <cell r="E127">
            <v>2215081.5</v>
          </cell>
          <cell r="F127">
            <v>0.13220000000000001</v>
          </cell>
          <cell r="G127">
            <v>292807</v>
          </cell>
          <cell r="H127">
            <v>0</v>
          </cell>
          <cell r="I127">
            <v>663684.19999999995</v>
          </cell>
          <cell r="J127">
            <v>0.13220000000000001</v>
          </cell>
          <cell r="K127">
            <v>87739.051240000001</v>
          </cell>
        </row>
        <row r="128">
          <cell r="B128" t="str">
            <v>NEXT 4000</v>
          </cell>
          <cell r="C128">
            <v>2142668.5434000003</v>
          </cell>
          <cell r="D128">
            <v>0.45673725166816426</v>
          </cell>
          <cell r="E128">
            <v>4637810.7</v>
          </cell>
          <cell r="F128">
            <v>7.5800000000000006E-2</v>
          </cell>
          <cell r="G128">
            <v>351408</v>
          </cell>
          <cell r="I128">
            <v>1123298.3999999999</v>
          </cell>
          <cell r="J128">
            <v>7.5800000000000006E-2</v>
          </cell>
          <cell r="K128">
            <v>85146.018719999993</v>
          </cell>
        </row>
        <row r="129">
          <cell r="B129" t="str">
            <v>NEXT 15000</v>
          </cell>
          <cell r="C129">
            <v>752368.81409999996</v>
          </cell>
          <cell r="D129">
            <v>0.16037705199498001</v>
          </cell>
          <cell r="E129">
            <v>3295527</v>
          </cell>
          <cell r="F129">
            <v>3.7400000000000003E-2</v>
          </cell>
          <cell r="G129">
            <v>123392</v>
          </cell>
          <cell r="I129">
            <v>689772</v>
          </cell>
          <cell r="J129">
            <v>3.7400000000000003E-2</v>
          </cell>
          <cell r="K129">
            <v>25797.472800000003</v>
          </cell>
        </row>
        <row r="130">
          <cell r="B130" t="str">
            <v>OVER 20000</v>
          </cell>
          <cell r="C130">
            <v>10856.759760000001</v>
          </cell>
          <cell r="D130">
            <v>2.3142574385002371E-3</v>
          </cell>
          <cell r="E130">
            <v>68626.8</v>
          </cell>
          <cell r="F130">
            <v>2.5999999999999999E-2</v>
          </cell>
          <cell r="G130">
            <v>1781</v>
          </cell>
          <cell r="I130">
            <v>52227.8</v>
          </cell>
          <cell r="J130">
            <v>2.5999999999999999E-2</v>
          </cell>
          <cell r="K130">
            <v>1357.9228000000001</v>
          </cell>
        </row>
        <row r="131">
          <cell r="B131" t="str">
            <v>TOTAL</v>
          </cell>
          <cell r="C131">
            <v>4691249.80626</v>
          </cell>
          <cell r="D131">
            <v>1.0000000000000002</v>
          </cell>
          <cell r="E131">
            <v>10217046</v>
          </cell>
          <cell r="G131">
            <v>769388</v>
          </cell>
          <cell r="I131">
            <v>2528982.3999999994</v>
          </cell>
          <cell r="K131">
            <v>200040.46555999998</v>
          </cell>
        </row>
        <row r="133">
          <cell r="B133" t="str">
            <v>INCREASE TO LGS / TS-1 REMAINING AFTER VOLUMETRIC INCREASE:</v>
          </cell>
          <cell r="G133">
            <v>-0.81638604030013084</v>
          </cell>
          <cell r="J133" t="str">
            <v>LGS / TS-1 Comm. Inc</v>
          </cell>
          <cell r="K133">
            <v>200040.46555999998</v>
          </cell>
        </row>
        <row r="134">
          <cell r="J134" t="str">
            <v>LGS / TS-1 Ind. Inc</v>
          </cell>
          <cell r="K134">
            <v>569346.71805395978</v>
          </cell>
        </row>
        <row r="135">
          <cell r="B135" t="str">
            <v xml:space="preserve">INCREASE TO RATE SCHEDULE LGS / TS-2 </v>
          </cell>
          <cell r="G135">
            <v>375269.63811170898</v>
          </cell>
          <cell r="J135" t="str">
            <v>Total</v>
          </cell>
          <cell r="K135">
            <v>769387.1836139597</v>
          </cell>
        </row>
        <row r="136">
          <cell r="E136" t="str">
            <v>NUMBER</v>
          </cell>
          <cell r="F136" t="str">
            <v>INCREASE</v>
          </cell>
        </row>
        <row r="137">
          <cell r="B137" t="str">
            <v xml:space="preserve"> CUSTOMER CHARGE :</v>
          </cell>
          <cell r="E137" t="str">
            <v>OF BILLS</v>
          </cell>
          <cell r="F137" t="str">
            <v>PER BILL</v>
          </cell>
          <cell r="I137" t="str">
            <v>Bills</v>
          </cell>
        </row>
        <row r="138">
          <cell r="E138">
            <v>336</v>
          </cell>
          <cell r="F138">
            <v>350</v>
          </cell>
          <cell r="G138">
            <v>117600</v>
          </cell>
          <cell r="I138">
            <v>24</v>
          </cell>
          <cell r="J138">
            <v>350</v>
          </cell>
          <cell r="K138">
            <v>8400</v>
          </cell>
        </row>
        <row r="140">
          <cell r="B140" t="str">
            <v>INCREASE TO LGS / TS-2 REMAINING AFTER CUSTOMER CHARGE INCREASE:</v>
          </cell>
          <cell r="G140">
            <v>257669.63811170898</v>
          </cell>
        </row>
        <row r="141">
          <cell r="I141" t="str">
            <v>Volume</v>
          </cell>
          <cell r="K141" t="str">
            <v>Increase</v>
          </cell>
        </row>
        <row r="142">
          <cell r="B142" t="str">
            <v xml:space="preserve"> VOLUMETRIC RATE INCREASE:</v>
          </cell>
          <cell r="C142" t="str">
            <v>NON-GAS</v>
          </cell>
          <cell r="D142" t="str">
            <v>RATIO</v>
          </cell>
          <cell r="E142" t="str">
            <v>VOLUMES</v>
          </cell>
          <cell r="F142" t="str">
            <v>PER MCF</v>
          </cell>
          <cell r="I142" t="str">
            <v>LGS 2-Ind</v>
          </cell>
          <cell r="J142" t="str">
            <v>Rate</v>
          </cell>
          <cell r="K142" t="str">
            <v>LGS 2-Ind</v>
          </cell>
        </row>
        <row r="143">
          <cell r="B143" t="str">
            <v>LGS ADMIN CHARGE</v>
          </cell>
          <cell r="C143">
            <v>66387.951700000005</v>
          </cell>
          <cell r="D143">
            <v>0</v>
          </cell>
          <cell r="E143">
            <v>1052107</v>
          </cell>
          <cell r="F143">
            <v>0</v>
          </cell>
          <cell r="G143">
            <v>0</v>
          </cell>
        </row>
        <row r="144">
          <cell r="B144" t="str">
            <v>DEMAND/SS CHARGE</v>
          </cell>
          <cell r="C144">
            <v>27870.6</v>
          </cell>
          <cell r="D144">
            <v>0</v>
          </cell>
          <cell r="E144">
            <v>92902</v>
          </cell>
          <cell r="F144">
            <v>0</v>
          </cell>
          <cell r="G144">
            <v>0</v>
          </cell>
          <cell r="K144">
            <v>0</v>
          </cell>
        </row>
        <row r="145">
          <cell r="B145" t="str">
            <v>FIRST 20,000</v>
          </cell>
          <cell r="C145">
            <v>1731115.1410999999</v>
          </cell>
          <cell r="D145">
            <v>0.57793649238510825</v>
          </cell>
          <cell r="E145">
            <v>6175937</v>
          </cell>
          <cell r="F145">
            <v>2.41E-2</v>
          </cell>
          <cell r="G145">
            <v>148917</v>
          </cell>
          <cell r="H145">
            <v>0</v>
          </cell>
          <cell r="I145">
            <v>699221</v>
          </cell>
          <cell r="J145">
            <v>2.41E-2</v>
          </cell>
          <cell r="K145">
            <v>16851.2261</v>
          </cell>
        </row>
        <row r="146">
          <cell r="B146" t="str">
            <v>NEXT 80,000</v>
          </cell>
          <cell r="C146">
            <v>1049143.3581000001</v>
          </cell>
          <cell r="D146">
            <v>0.35025875402150491</v>
          </cell>
          <cell r="E146">
            <v>6943371</v>
          </cell>
          <cell r="F146">
            <v>1.2999999999999999E-2</v>
          </cell>
          <cell r="G146">
            <v>90251</v>
          </cell>
          <cell r="I146">
            <v>291587</v>
          </cell>
          <cell r="J146">
            <v>1.2999999999999999E-2</v>
          </cell>
          <cell r="K146">
            <v>3790.6309999999999</v>
          </cell>
        </row>
        <row r="147">
          <cell r="B147" t="str">
            <v>OVER 100,000</v>
          </cell>
          <cell r="C147">
            <v>215079.50750000001</v>
          </cell>
          <cell r="D147">
            <v>7.1804753593386852E-2</v>
          </cell>
          <cell r="E147">
            <v>1530815</v>
          </cell>
          <cell r="F147">
            <v>1.21E-2</v>
          </cell>
          <cell r="G147">
            <v>18502</v>
          </cell>
          <cell r="I147">
            <v>61299</v>
          </cell>
          <cell r="J147">
            <v>1.21E-2</v>
          </cell>
          <cell r="K147">
            <v>741.71789999999999</v>
          </cell>
        </row>
        <row r="148">
          <cell r="B148" t="str">
            <v>TOTAL</v>
          </cell>
          <cell r="C148">
            <v>2995338.0066999998</v>
          </cell>
          <cell r="D148">
            <v>1</v>
          </cell>
          <cell r="E148">
            <v>14650123</v>
          </cell>
          <cell r="G148">
            <v>257670</v>
          </cell>
        </row>
        <row r="149">
          <cell r="I149">
            <v>1052107</v>
          </cell>
          <cell r="K149">
            <v>21383.575000000001</v>
          </cell>
        </row>
        <row r="150">
          <cell r="B150" t="str">
            <v>INCREASE TO LGS / TS-2 REMAINING AFTER VOLUMETRIC INCREASE:</v>
          </cell>
          <cell r="G150">
            <v>-0.36188829102320597</v>
          </cell>
        </row>
        <row r="151">
          <cell r="J151" t="str">
            <v>LGS-2 Ind. Inc</v>
          </cell>
          <cell r="K151">
            <v>29783.575000000001</v>
          </cell>
        </row>
        <row r="152">
          <cell r="J152" t="str">
            <v>TS-2 Ind. Inc</v>
          </cell>
          <cell r="K152">
            <v>345486.06311170897</v>
          </cell>
        </row>
        <row r="153">
          <cell r="J153" t="str">
            <v>Total</v>
          </cell>
          <cell r="K153">
            <v>375269.63811170898</v>
          </cell>
        </row>
      </sheetData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fall"/>
      <sheetName val="Revenue Calculation"/>
      <sheetName val="Payment Calculation"/>
      <sheetName val="Inputs"/>
    </sheetNames>
    <sheetDataSet>
      <sheetData sheetId="0"/>
      <sheetData sheetId="1"/>
      <sheetData sheetId="2">
        <row r="24">
          <cell r="C24">
            <v>15704800</v>
          </cell>
        </row>
        <row r="25">
          <cell r="C25">
            <v>120640</v>
          </cell>
        </row>
      </sheetData>
      <sheetData sheetId="3">
        <row r="4">
          <cell r="B4">
            <v>19768</v>
          </cell>
        </row>
        <row r="5">
          <cell r="B5">
            <v>24451.25</v>
          </cell>
        </row>
        <row r="7">
          <cell r="B7">
            <v>45</v>
          </cell>
        </row>
        <row r="8">
          <cell r="B8">
            <v>2022000</v>
          </cell>
        </row>
        <row r="12">
          <cell r="B12">
            <v>117.58544989650554</v>
          </cell>
        </row>
        <row r="17">
          <cell r="B17">
            <v>187.83333333333212</v>
          </cell>
        </row>
        <row r="32">
          <cell r="B32">
            <v>0</v>
          </cell>
        </row>
        <row r="34">
          <cell r="B34">
            <v>0</v>
          </cell>
        </row>
        <row r="50">
          <cell r="B50">
            <v>272400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3, Pg 6-8"/>
      <sheetName val="Ex 3, Pg 9-10"/>
      <sheetName val="Sch1"/>
      <sheetName val="Sch2"/>
      <sheetName val="Sch3"/>
      <sheetName val="Sch4"/>
      <sheetName val="Sch5"/>
      <sheetName val="Sch5-2"/>
      <sheetName val="Sch5-3"/>
      <sheetName val="Sch6&amp;7"/>
      <sheetName val="Sch8"/>
      <sheetName val="Sch9"/>
      <sheetName val="Sch10"/>
      <sheetName val="Macros"/>
    </sheetNames>
    <sheetDataSet>
      <sheetData sheetId="0" refreshError="1"/>
      <sheetData sheetId="1"/>
      <sheetData sheetId="2">
        <row r="1">
          <cell r="G1" t="str">
            <v>Exhibit No. 3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5"/>
  <sheetViews>
    <sheetView tabSelected="1" zoomScaleNormal="100" workbookViewId="0">
      <selection activeCell="A2" sqref="A2:E2"/>
    </sheetView>
  </sheetViews>
  <sheetFormatPr defaultColWidth="9.140625" defaultRowHeight="15"/>
  <cols>
    <col min="1" max="1" width="7.85546875" style="107" bestFit="1" customWidth="1"/>
    <col min="2" max="2" width="2.85546875" style="108" customWidth="1"/>
    <col min="3" max="3" width="28" style="108" customWidth="1"/>
    <col min="4" max="4" width="0" style="108" hidden="1" customWidth="1"/>
    <col min="5" max="5" width="2" style="108" customWidth="1"/>
    <col min="6" max="6" width="15" style="112" bestFit="1" customWidth="1"/>
    <col min="7" max="7" width="20.5703125" style="108" customWidth="1"/>
    <col min="8" max="8" width="3.7109375" style="108" customWidth="1"/>
    <col min="9" max="9" width="25.42578125" style="108" customWidth="1"/>
    <col min="10" max="10" width="15.7109375" style="108" bestFit="1" customWidth="1"/>
    <col min="11" max="16384" width="9.140625" style="108"/>
  </cols>
  <sheetData>
    <row r="2" spans="1:10" s="106" customFormat="1" ht="60">
      <c r="A2" s="128" t="s">
        <v>0</v>
      </c>
      <c r="B2" s="129"/>
      <c r="C2" s="129"/>
      <c r="D2" s="129" t="s">
        <v>1</v>
      </c>
      <c r="E2" s="129"/>
      <c r="F2" s="127" t="s">
        <v>2</v>
      </c>
      <c r="G2" s="128" t="s">
        <v>3</v>
      </c>
      <c r="H2" s="128"/>
      <c r="I2" s="128" t="s">
        <v>4</v>
      </c>
      <c r="J2" s="128" t="s">
        <v>5</v>
      </c>
    </row>
    <row r="3" spans="1:10" ht="24.75" customHeight="1">
      <c r="A3" s="107">
        <v>1</v>
      </c>
      <c r="B3" s="108" t="s">
        <v>6</v>
      </c>
      <c r="D3" s="109">
        <v>2</v>
      </c>
      <c r="F3" s="110">
        <v>15821883.527727328</v>
      </c>
      <c r="G3" s="110">
        <v>0</v>
      </c>
      <c r="H3" s="110"/>
      <c r="I3" s="111">
        <f>F3-G3</f>
        <v>15821883.527727328</v>
      </c>
    </row>
    <row r="4" spans="1:10" ht="24.75" customHeight="1">
      <c r="A4" s="107">
        <f>1+A3</f>
        <v>2</v>
      </c>
      <c r="B4" s="108" t="s">
        <v>7</v>
      </c>
      <c r="D4" s="109">
        <v>3</v>
      </c>
      <c r="F4" s="112">
        <v>16006949.709243715</v>
      </c>
      <c r="G4" s="112">
        <v>0</v>
      </c>
      <c r="H4" s="112"/>
      <c r="I4" s="113">
        <f>F4-G4</f>
        <v>16006949.709243715</v>
      </c>
    </row>
    <row r="5" spans="1:10" ht="24.75" customHeight="1">
      <c r="A5" s="107">
        <f t="shared" ref="A5:A11" si="0">1+A4</f>
        <v>3</v>
      </c>
      <c r="B5" s="108" t="s">
        <v>8</v>
      </c>
      <c r="D5" s="109">
        <v>4</v>
      </c>
      <c r="F5" s="112">
        <v>9903030.0800000001</v>
      </c>
      <c r="G5" s="112">
        <f>+'Schedule III'!C21</f>
        <v>1216637</v>
      </c>
      <c r="H5" s="112"/>
      <c r="I5" s="113">
        <f t="shared" ref="I5:I8" si="1">F5-G5</f>
        <v>8686393.0800000001</v>
      </c>
    </row>
    <row r="6" spans="1:10" ht="24.75" customHeight="1">
      <c r="A6" s="107">
        <f t="shared" si="0"/>
        <v>4</v>
      </c>
      <c r="B6" s="108" t="s">
        <v>9</v>
      </c>
      <c r="D6" s="109">
        <v>5</v>
      </c>
      <c r="F6" s="112">
        <v>3893351.6560080228</v>
      </c>
      <c r="G6" s="112">
        <f>+'Schedule III'!C44</f>
        <v>821153.87214920495</v>
      </c>
      <c r="H6" s="112"/>
      <c r="I6" s="113">
        <f t="shared" si="1"/>
        <v>3072197.783858818</v>
      </c>
    </row>
    <row r="7" spans="1:10" ht="24.75" customHeight="1">
      <c r="A7" s="107">
        <f t="shared" si="0"/>
        <v>5</v>
      </c>
      <c r="B7" s="108" t="s">
        <v>10</v>
      </c>
      <c r="D7" s="109">
        <v>6</v>
      </c>
      <c r="F7" s="112">
        <v>10311660</v>
      </c>
      <c r="G7" s="112">
        <f>+'PSC 3-3(b)'!Q15</f>
        <v>2388855</v>
      </c>
      <c r="H7" s="112"/>
      <c r="I7" s="113">
        <f t="shared" si="1"/>
        <v>7922805</v>
      </c>
    </row>
    <row r="8" spans="1:10" ht="24.75" customHeight="1">
      <c r="A8" s="107">
        <f t="shared" si="0"/>
        <v>6</v>
      </c>
      <c r="B8" s="108" t="s">
        <v>11</v>
      </c>
      <c r="D8" s="109">
        <v>7</v>
      </c>
      <c r="F8" s="114">
        <v>2512595.9507916025</v>
      </c>
      <c r="G8" s="114">
        <f>+'PSC 3-3(b)'!Q16</f>
        <v>794173</v>
      </c>
      <c r="H8" s="114"/>
      <c r="I8" s="114">
        <f t="shared" si="1"/>
        <v>1718422.9507916025</v>
      </c>
      <c r="J8" s="115"/>
    </row>
    <row r="9" spans="1:10" ht="24.75" customHeight="1">
      <c r="A9" s="107">
        <f t="shared" si="0"/>
        <v>7</v>
      </c>
      <c r="C9" s="108" t="s">
        <v>12</v>
      </c>
      <c r="D9" s="107"/>
      <c r="F9" s="110">
        <f>SUM(F3:F8)</f>
        <v>58449470.923770666</v>
      </c>
      <c r="G9" s="110">
        <f>SUM(G3:G8)</f>
        <v>5220818.8721492048</v>
      </c>
      <c r="H9" s="110"/>
      <c r="I9" s="110">
        <f>SUM(I3:I8)</f>
        <v>53228652.051621467</v>
      </c>
      <c r="J9" s="116">
        <f>I9-F9</f>
        <v>-5220818.8721491992</v>
      </c>
    </row>
    <row r="10" spans="1:10" ht="24.75" customHeight="1">
      <c r="A10" s="107">
        <f t="shared" si="0"/>
        <v>8</v>
      </c>
      <c r="B10" s="108" t="s">
        <v>13</v>
      </c>
      <c r="D10" s="109">
        <v>2</v>
      </c>
      <c r="F10" s="114">
        <v>-49314301.215355426</v>
      </c>
      <c r="G10" s="117">
        <v>3467250</v>
      </c>
      <c r="H10" s="117" t="s">
        <v>14</v>
      </c>
      <c r="I10" s="114">
        <f>F10+G10</f>
        <v>-45847051.215355426</v>
      </c>
      <c r="J10" s="114">
        <f t="shared" ref="J10:J11" si="2">I10-F10</f>
        <v>3467250</v>
      </c>
    </row>
    <row r="11" spans="1:10" ht="24.75" customHeight="1">
      <c r="A11" s="107">
        <f t="shared" si="0"/>
        <v>9</v>
      </c>
      <c r="B11" s="108" t="s">
        <v>15</v>
      </c>
      <c r="D11" s="107"/>
      <c r="F11" s="118">
        <f>+F9+F10</f>
        <v>9135169.70841524</v>
      </c>
      <c r="G11" s="119"/>
      <c r="H11" s="119"/>
      <c r="I11" s="118">
        <f>+I9+I10</f>
        <v>7381600.8362660408</v>
      </c>
      <c r="J11" s="118">
        <f t="shared" si="2"/>
        <v>-1753568.8721491992</v>
      </c>
    </row>
    <row r="12" spans="1:10">
      <c r="D12" s="107"/>
    </row>
    <row r="13" spans="1:10">
      <c r="D13" s="107"/>
      <c r="F13" s="120"/>
      <c r="I13" s="120"/>
    </row>
    <row r="14" spans="1:10">
      <c r="D14" s="107"/>
    </row>
    <row r="15" spans="1:10">
      <c r="C15" s="108" t="s">
        <v>16</v>
      </c>
    </row>
  </sheetData>
  <pageMargins left="0.75" right="0.75" top="1.54" bottom="1" header="0.5" footer="0.5"/>
  <pageSetup orientation="landscape" verticalDpi="1200" r:id="rId1"/>
  <headerFooter alignWithMargins="0">
    <oddHeader xml:space="preserve">&amp;C&amp;"Times New Roman,Bold"Delta Natural Gas Company, Inc.
Revenue Rquirement Summary With and Without PRP Roll-in
Forecasted Test Period 12 ME 12/31/22&amp;R&amp;"Times New Roman,Regular"&amp;11Attachment PSC 3-3 (a)
Witnesses:  John B. Brown
William Steven Seeelye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43"/>
  <sheetViews>
    <sheetView view="pageBreakPreview" topLeftCell="A16" zoomScaleNormal="100" zoomScaleSheetLayoutView="100" workbookViewId="0">
      <selection activeCell="E44" sqref="E44"/>
    </sheetView>
  </sheetViews>
  <sheetFormatPr defaultColWidth="9.140625" defaultRowHeight="15"/>
  <cols>
    <col min="1" max="1" width="14.42578125" style="19" customWidth="1"/>
    <col min="2" max="2" width="18.5703125" style="19" bestFit="1" customWidth="1"/>
    <col min="3" max="4" width="12.7109375" style="19" customWidth="1"/>
    <col min="5" max="5" width="11.28515625" style="19" bestFit="1" customWidth="1"/>
    <col min="6" max="6" width="12.7109375" style="19" customWidth="1"/>
    <col min="7" max="7" width="12.42578125" style="19" bestFit="1" customWidth="1"/>
    <col min="8" max="8" width="13.140625" style="19" bestFit="1" customWidth="1"/>
    <col min="9" max="9" width="2.7109375" style="19" customWidth="1"/>
    <col min="10" max="10" width="10.7109375" style="19" customWidth="1"/>
    <col min="11" max="11" width="8.140625" style="19" bestFit="1" customWidth="1"/>
    <col min="12" max="12" width="12.7109375" style="19" customWidth="1"/>
    <col min="13" max="14" width="11.28515625" style="19" bestFit="1" customWidth="1"/>
    <col min="15" max="15" width="8.42578125" style="19" bestFit="1" customWidth="1"/>
    <col min="16" max="16" width="11.28515625" style="19" bestFit="1" customWidth="1"/>
    <col min="17" max="17" width="2.7109375" style="19" customWidth="1"/>
    <col min="18" max="18" width="13.7109375" style="19" bestFit="1" customWidth="1"/>
    <col min="19" max="19" width="7.7109375" style="19" bestFit="1" customWidth="1"/>
    <col min="20" max="20" width="7.42578125" style="19" bestFit="1" customWidth="1"/>
    <col min="21" max="16384" width="9.140625" style="19"/>
  </cols>
  <sheetData>
    <row r="1" spans="1:19">
      <c r="A1" s="22" t="s">
        <v>70</v>
      </c>
      <c r="B1" s="7">
        <v>2017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>
      <c r="A2" s="22" t="s">
        <v>72</v>
      </c>
      <c r="B2" s="25"/>
      <c r="C2" s="25"/>
      <c r="D2" s="14" t="s">
        <v>73</v>
      </c>
      <c r="E2" s="25"/>
      <c r="F2" s="125" t="s">
        <v>75</v>
      </c>
      <c r="G2" s="125"/>
      <c r="H2" s="1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>
      <c r="A3" s="25"/>
      <c r="B3" s="25"/>
      <c r="C3" s="25"/>
      <c r="D3" s="16" t="s">
        <v>74</v>
      </c>
      <c r="E3" s="25"/>
      <c r="F3" s="20"/>
      <c r="G3" s="14"/>
      <c r="H3" s="20"/>
      <c r="I3" s="25"/>
      <c r="J3" s="23" t="s">
        <v>76</v>
      </c>
      <c r="K3" s="25"/>
      <c r="L3" s="25"/>
      <c r="M3" s="25"/>
      <c r="N3" s="25"/>
      <c r="O3" s="25"/>
      <c r="P3" s="25"/>
      <c r="Q3" s="25"/>
      <c r="R3" s="25"/>
      <c r="S3" s="25"/>
    </row>
    <row r="4" spans="1:19">
      <c r="A4" s="25"/>
      <c r="B4" s="25"/>
      <c r="C4" s="16">
        <v>2017</v>
      </c>
      <c r="D4" s="16" t="s">
        <v>77</v>
      </c>
      <c r="E4" s="25"/>
      <c r="F4" s="16"/>
      <c r="G4" s="16" t="s">
        <v>78</v>
      </c>
      <c r="H4" s="16"/>
      <c r="I4" s="25"/>
      <c r="J4" s="16" t="s">
        <v>79</v>
      </c>
      <c r="K4" s="25"/>
      <c r="L4" s="25"/>
      <c r="M4" s="25"/>
      <c r="N4" s="25"/>
      <c r="O4" s="16" t="s">
        <v>80</v>
      </c>
      <c r="P4" s="16" t="s">
        <v>80</v>
      </c>
      <c r="Q4" s="25"/>
      <c r="R4" s="25"/>
      <c r="S4" s="25"/>
    </row>
    <row r="5" spans="1:19">
      <c r="A5" s="25"/>
      <c r="B5" s="25"/>
      <c r="C5" s="123" t="s">
        <v>81</v>
      </c>
      <c r="D5" s="10">
        <v>6</v>
      </c>
      <c r="E5" s="25"/>
      <c r="F5" s="123" t="s">
        <v>82</v>
      </c>
      <c r="G5" s="123" t="s">
        <v>83</v>
      </c>
      <c r="H5" s="123" t="s">
        <v>84</v>
      </c>
      <c r="I5" s="25"/>
      <c r="J5" s="123" t="s">
        <v>85</v>
      </c>
      <c r="K5" s="25"/>
      <c r="L5" s="25"/>
      <c r="M5" s="25"/>
      <c r="N5" s="25"/>
      <c r="O5" s="123" t="s">
        <v>65</v>
      </c>
      <c r="P5" s="123" t="s">
        <v>86</v>
      </c>
      <c r="Q5" s="25"/>
      <c r="R5" s="25"/>
      <c r="S5" s="25"/>
    </row>
    <row r="6" spans="1:19">
      <c r="A6" s="25">
        <v>1</v>
      </c>
      <c r="B6" s="25" t="s">
        <v>87</v>
      </c>
      <c r="C6" s="100">
        <v>1891971</v>
      </c>
      <c r="D6" s="2">
        <v>3.1E-2</v>
      </c>
      <c r="E6" s="25"/>
      <c r="F6" s="100">
        <v>-263930</v>
      </c>
      <c r="G6" s="18">
        <f>ROUND(IF(D$5=1,-0.5*D6*C6,-D6*C6),0)</f>
        <v>-58651</v>
      </c>
      <c r="H6" s="18">
        <f t="shared" ref="H6:H11" si="0">SUM(F6:G6)</f>
        <v>-322581</v>
      </c>
      <c r="I6" s="25"/>
      <c r="J6" s="5">
        <f t="shared" ref="J6:J11" si="1">C6+H6</f>
        <v>1569390</v>
      </c>
      <c r="K6" s="25"/>
      <c r="L6" s="25"/>
      <c r="M6" s="25"/>
      <c r="N6" s="25"/>
      <c r="O6" s="11">
        <v>1E-4</v>
      </c>
      <c r="P6" s="17">
        <f>ROUND(IF(D$5=1,-0.5*O6*C6,-O6*C6),0)</f>
        <v>-189</v>
      </c>
      <c r="Q6" s="25"/>
      <c r="R6" s="25"/>
      <c r="S6" s="25"/>
    </row>
    <row r="7" spans="1:19">
      <c r="A7" s="25">
        <v>2</v>
      </c>
      <c r="B7" s="25" t="s">
        <v>88</v>
      </c>
      <c r="C7" s="100">
        <v>90359</v>
      </c>
      <c r="D7" s="2">
        <v>2.3300000000000001E-2</v>
      </c>
      <c r="E7" s="25"/>
      <c r="F7" s="100">
        <v>-9473</v>
      </c>
      <c r="G7" s="18">
        <f>ROUND(IF(D$5=1,-0.5*D7*C7,-D7*C7),0)</f>
        <v>-2105</v>
      </c>
      <c r="H7" s="18">
        <f t="shared" si="0"/>
        <v>-11578</v>
      </c>
      <c r="I7" s="25"/>
      <c r="J7" s="5">
        <f t="shared" si="1"/>
        <v>78781</v>
      </c>
      <c r="K7" s="25"/>
      <c r="L7" s="25"/>
      <c r="M7" s="25"/>
      <c r="N7" s="25"/>
      <c r="O7" s="11">
        <v>2.0000000000000001E-4</v>
      </c>
      <c r="P7" s="5">
        <f>ROUND(IF(D$5=1,-0.5*O7*C7,-O7*C7),0)</f>
        <v>-18</v>
      </c>
      <c r="Q7" s="25"/>
      <c r="R7" s="25"/>
      <c r="S7" s="25"/>
    </row>
    <row r="8" spans="1:19">
      <c r="A8" s="25">
        <v>3</v>
      </c>
      <c r="B8" s="25" t="s">
        <v>89</v>
      </c>
      <c r="C8" s="100">
        <v>185093</v>
      </c>
      <c r="D8" s="2">
        <v>2.69E-2</v>
      </c>
      <c r="E8" s="25"/>
      <c r="F8" s="100">
        <v>-22406</v>
      </c>
      <c r="G8" s="18">
        <f>ROUND(IF(D$5=1,-0.5*D8*C8,-D8*C8),0)</f>
        <v>-4979</v>
      </c>
      <c r="H8" s="18">
        <f t="shared" si="0"/>
        <v>-27385</v>
      </c>
      <c r="I8" s="25"/>
      <c r="J8" s="5">
        <f t="shared" si="1"/>
        <v>157708</v>
      </c>
      <c r="K8" s="25"/>
      <c r="L8" s="25"/>
      <c r="M8" s="25"/>
      <c r="N8" s="25"/>
      <c r="O8" s="11">
        <v>4.1999999999999997E-3</v>
      </c>
      <c r="P8" s="5">
        <f>ROUND(IF(D$5=1,-0.5*O8*C8,-O8*C8),0)</f>
        <v>-777</v>
      </c>
      <c r="Q8" s="25"/>
      <c r="R8" s="25"/>
      <c r="S8" s="25"/>
    </row>
    <row r="9" spans="1:19">
      <c r="A9" s="25">
        <v>4</v>
      </c>
      <c r="B9" s="25" t="s">
        <v>90</v>
      </c>
      <c r="C9" s="100">
        <v>0</v>
      </c>
      <c r="D9" s="2">
        <v>2.2499999999999999E-2</v>
      </c>
      <c r="E9" s="25"/>
      <c r="F9" s="100">
        <v>0</v>
      </c>
      <c r="G9" s="18">
        <f>ROUND(IF(D$5=1,-0.5*D9*C9,-D9*C9),0)</f>
        <v>0</v>
      </c>
      <c r="H9" s="18">
        <f t="shared" si="0"/>
        <v>0</v>
      </c>
      <c r="I9" s="25"/>
      <c r="J9" s="5">
        <f t="shared" si="1"/>
        <v>0</v>
      </c>
      <c r="K9" s="25"/>
      <c r="L9" s="25"/>
      <c r="M9" s="25"/>
      <c r="N9" s="25"/>
      <c r="O9" s="11">
        <v>0</v>
      </c>
      <c r="P9" s="5">
        <f>IF(D$5=1,-0.5*O9*C9,-O9*C9)</f>
        <v>0</v>
      </c>
      <c r="Q9" s="25"/>
      <c r="R9" s="25"/>
      <c r="S9" s="25"/>
    </row>
    <row r="10" spans="1:19">
      <c r="A10" s="25">
        <v>5</v>
      </c>
      <c r="B10" s="25" t="s">
        <v>91</v>
      </c>
      <c r="C10" s="100">
        <v>0</v>
      </c>
      <c r="D10" s="2">
        <v>2.0500000000000001E-2</v>
      </c>
      <c r="E10" s="25"/>
      <c r="F10" s="100">
        <v>0</v>
      </c>
      <c r="G10" s="18">
        <f>ROUND(IF(D$5=1,-0.5*D10*C10,-D10*C10),0)</f>
        <v>0</v>
      </c>
      <c r="H10" s="18">
        <f t="shared" si="0"/>
        <v>0</v>
      </c>
      <c r="I10" s="25"/>
      <c r="J10" s="5">
        <f t="shared" si="1"/>
        <v>0</v>
      </c>
      <c r="K10" s="25"/>
      <c r="L10" s="25"/>
      <c r="M10" s="25"/>
      <c r="N10" s="25"/>
      <c r="O10" s="11">
        <v>0</v>
      </c>
      <c r="P10" s="5">
        <f>IF(D$5=1,-0.5*O10*C10,-O10*C10)</f>
        <v>0</v>
      </c>
      <c r="Q10" s="25"/>
      <c r="R10" s="25"/>
      <c r="S10" s="25"/>
    </row>
    <row r="11" spans="1:19">
      <c r="A11" s="25">
        <v>6</v>
      </c>
      <c r="B11" s="25" t="s">
        <v>92</v>
      </c>
      <c r="C11" s="101">
        <v>312527</v>
      </c>
      <c r="D11" s="3" t="s">
        <v>93</v>
      </c>
      <c r="E11" s="25"/>
      <c r="F11" s="101">
        <v>-4429</v>
      </c>
      <c r="G11" s="21">
        <f>P12</f>
        <v>-984</v>
      </c>
      <c r="H11" s="21">
        <f t="shared" si="0"/>
        <v>-5413</v>
      </c>
      <c r="I11" s="25"/>
      <c r="J11" s="6">
        <f t="shared" si="1"/>
        <v>307114</v>
      </c>
      <c r="K11" s="25"/>
      <c r="L11" s="25"/>
      <c r="M11" s="25"/>
      <c r="N11" s="25"/>
      <c r="O11" s="24">
        <v>0</v>
      </c>
      <c r="P11" s="6">
        <f>IF(D$5=1,-0.5*O11*C11,-O11*C11)</f>
        <v>0</v>
      </c>
      <c r="Q11" s="25"/>
      <c r="R11" s="25"/>
      <c r="S11" s="25"/>
    </row>
    <row r="12" spans="1:19">
      <c r="A12" s="25"/>
      <c r="B12" s="25"/>
      <c r="C12" s="18">
        <f>SUM(C6:C11)</f>
        <v>2479950</v>
      </c>
      <c r="D12" s="18"/>
      <c r="E12" s="25"/>
      <c r="F12" s="100">
        <f>SUM(F5:F11)</f>
        <v>-300238</v>
      </c>
      <c r="G12" s="18">
        <f>SUM(G5:G11)</f>
        <v>-66719</v>
      </c>
      <c r="H12" s="18">
        <f>SUM(H5:H11)</f>
        <v>-366957</v>
      </c>
      <c r="I12" s="25"/>
      <c r="J12" s="5">
        <f>SUM(J6:J11)</f>
        <v>2112993</v>
      </c>
      <c r="K12" s="25"/>
      <c r="L12" s="25"/>
      <c r="M12" s="25"/>
      <c r="N12" s="25"/>
      <c r="O12" s="5"/>
      <c r="P12" s="17">
        <f>SUM(P5:P11)</f>
        <v>-984</v>
      </c>
      <c r="Q12" s="25"/>
      <c r="R12" s="25"/>
      <c r="S12" s="25"/>
    </row>
    <row r="13" spans="1:19" ht="14.25" customHeight="1">
      <c r="A13" s="25"/>
      <c r="B13" s="25"/>
      <c r="C13" s="18"/>
      <c r="D13" s="18"/>
      <c r="E13" s="18"/>
      <c r="F13" s="18"/>
      <c r="G13" s="25"/>
      <c r="H13" s="25"/>
      <c r="I13" s="25"/>
      <c r="J13" s="25"/>
      <c r="K13" s="25"/>
      <c r="L13" s="25"/>
      <c r="M13" s="16"/>
      <c r="N13" s="20"/>
      <c r="O13" s="25"/>
      <c r="P13" s="25"/>
      <c r="Q13" s="25"/>
      <c r="R13" s="25"/>
      <c r="S13" s="25"/>
    </row>
    <row r="14" spans="1:19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6"/>
      <c r="N14" s="20"/>
      <c r="O14" s="25"/>
      <c r="P14" s="25"/>
      <c r="Q14" s="25"/>
      <c r="R14" s="25"/>
      <c r="S14" s="25"/>
    </row>
    <row r="15" spans="1:19">
      <c r="A15" s="84"/>
      <c r="B15" s="84"/>
      <c r="C15" s="84"/>
      <c r="D15" s="95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19">
      <c r="A16" s="84"/>
      <c r="B16" s="84"/>
      <c r="C16" s="93"/>
      <c r="D16" s="95" t="s">
        <v>94</v>
      </c>
      <c r="E16" s="93"/>
      <c r="F16" s="93"/>
      <c r="G16" s="48">
        <v>0.5</v>
      </c>
      <c r="H16" s="93"/>
      <c r="I16" s="84"/>
      <c r="J16" s="49"/>
      <c r="K16" s="95" t="s">
        <v>95</v>
      </c>
      <c r="L16" s="124" t="s">
        <v>96</v>
      </c>
      <c r="M16" s="124"/>
      <c r="N16" s="124"/>
      <c r="O16" s="124"/>
      <c r="P16" s="124"/>
      <c r="Q16" s="84"/>
      <c r="R16" s="50" t="s">
        <v>97</v>
      </c>
      <c r="S16" s="84"/>
    </row>
    <row r="17" spans="1:19">
      <c r="A17" s="84"/>
      <c r="B17" s="84"/>
      <c r="C17" s="95" t="s">
        <v>76</v>
      </c>
      <c r="D17" s="95" t="s">
        <v>83</v>
      </c>
      <c r="E17" s="95" t="s">
        <v>97</v>
      </c>
      <c r="F17" s="95" t="s">
        <v>97</v>
      </c>
      <c r="G17" s="95" t="s">
        <v>98</v>
      </c>
      <c r="H17" s="95" t="s">
        <v>99</v>
      </c>
      <c r="I17" s="84"/>
      <c r="J17" s="95"/>
      <c r="K17" s="95" t="s">
        <v>100</v>
      </c>
      <c r="L17" s="95"/>
      <c r="M17" s="95" t="s">
        <v>97</v>
      </c>
      <c r="N17" s="95" t="s">
        <v>98</v>
      </c>
      <c r="O17" s="95" t="s">
        <v>95</v>
      </c>
      <c r="P17" s="95"/>
      <c r="Q17" s="84"/>
      <c r="R17" s="95" t="s">
        <v>79</v>
      </c>
      <c r="S17" s="84"/>
    </row>
    <row r="18" spans="1:19">
      <c r="A18" s="84"/>
      <c r="B18" s="84"/>
      <c r="C18" s="122" t="s">
        <v>81</v>
      </c>
      <c r="D18" s="122" t="s">
        <v>101</v>
      </c>
      <c r="E18" s="122" t="s">
        <v>83</v>
      </c>
      <c r="F18" s="122" t="s">
        <v>102</v>
      </c>
      <c r="G18" s="122" t="s">
        <v>78</v>
      </c>
      <c r="H18" s="122" t="s">
        <v>103</v>
      </c>
      <c r="I18" s="84"/>
      <c r="J18" s="122" t="s">
        <v>104</v>
      </c>
      <c r="K18" s="122">
        <f>D5</f>
        <v>6</v>
      </c>
      <c r="L18" s="122" t="s">
        <v>82</v>
      </c>
      <c r="M18" s="122" t="s">
        <v>83</v>
      </c>
      <c r="N18" s="122" t="s">
        <v>86</v>
      </c>
      <c r="O18" s="122" t="s">
        <v>86</v>
      </c>
      <c r="P18" s="122" t="s">
        <v>84</v>
      </c>
      <c r="Q18" s="84"/>
      <c r="R18" s="122" t="s">
        <v>85</v>
      </c>
      <c r="S18" s="84"/>
    </row>
    <row r="19" spans="1:19">
      <c r="A19" s="84">
        <v>7</v>
      </c>
      <c r="B19" s="84" t="s">
        <v>87</v>
      </c>
      <c r="C19" s="87">
        <f t="shared" ref="C19:C24" si="2">C6</f>
        <v>1891971</v>
      </c>
      <c r="D19" s="51">
        <v>0.98499999999999999</v>
      </c>
      <c r="E19" s="87">
        <f>ROUND(C19*-D19,0)</f>
        <v>-1863591</v>
      </c>
      <c r="F19" s="52">
        <f>C19+E19</f>
        <v>28380</v>
      </c>
      <c r="G19" s="52">
        <f t="shared" ref="G19:G24" si="3">ROUND(F19*-$G$16,0)</f>
        <v>-14190</v>
      </c>
      <c r="H19" s="53">
        <f t="shared" ref="H19:H24" si="4">F19+G19</f>
        <v>14190</v>
      </c>
      <c r="I19" s="84"/>
      <c r="J19" s="84">
        <v>15</v>
      </c>
      <c r="K19" s="54">
        <f>IFERROR(VLOOKUP(J19,'Tax Rates'!$A$1:$AA$12,$K$18+1,FALSE),0)</f>
        <v>6.2330000000000003E-2</v>
      </c>
      <c r="L19" s="102">
        <v>-1883127</v>
      </c>
      <c r="M19" s="52">
        <v>0</v>
      </c>
      <c r="N19" s="52">
        <v>0</v>
      </c>
      <c r="O19" s="87">
        <f>ROUND(K19*-H19,0)</f>
        <v>-884</v>
      </c>
      <c r="P19" s="55">
        <f t="shared" ref="P19:P24" si="5">SUM(L19:O19)</f>
        <v>-1884011</v>
      </c>
      <c r="Q19" s="84"/>
      <c r="R19" s="52">
        <f>C19+P19</f>
        <v>7960</v>
      </c>
      <c r="S19" s="84"/>
    </row>
    <row r="20" spans="1:19">
      <c r="A20" s="84">
        <v>8</v>
      </c>
      <c r="B20" s="84" t="s">
        <v>88</v>
      </c>
      <c r="C20" s="33">
        <f t="shared" si="2"/>
        <v>90359</v>
      </c>
      <c r="D20" s="56">
        <f>-E20/C20</f>
        <v>0</v>
      </c>
      <c r="E20" s="34">
        <v>0</v>
      </c>
      <c r="F20" s="52">
        <f>C20+E20</f>
        <v>90359</v>
      </c>
      <c r="G20" s="52">
        <f t="shared" si="3"/>
        <v>-45180</v>
      </c>
      <c r="H20" s="53">
        <f t="shared" si="4"/>
        <v>45179</v>
      </c>
      <c r="I20" s="84"/>
      <c r="J20" s="84">
        <v>15</v>
      </c>
      <c r="K20" s="54">
        <f>IFERROR(VLOOKUP(J20,'Tax Rates'!$A$1:$AA$12,$K$18+1,FALSE),0)</f>
        <v>6.2330000000000003E-2</v>
      </c>
      <c r="L20" s="102">
        <v>-62200</v>
      </c>
      <c r="M20" s="52">
        <f t="shared" ref="M20" si="6">E20</f>
        <v>0</v>
      </c>
      <c r="N20" s="52">
        <v>0</v>
      </c>
      <c r="O20" s="87">
        <f>ROUND(K20*-H20,0)</f>
        <v>-2816</v>
      </c>
      <c r="P20" s="55">
        <f t="shared" si="5"/>
        <v>-65016</v>
      </c>
      <c r="Q20" s="84"/>
      <c r="R20" s="52">
        <f>C20+P20</f>
        <v>25343</v>
      </c>
      <c r="S20" s="84"/>
    </row>
    <row r="21" spans="1:19">
      <c r="A21" s="84">
        <v>9</v>
      </c>
      <c r="B21" s="84" t="s">
        <v>89</v>
      </c>
      <c r="C21" s="33">
        <f t="shared" si="2"/>
        <v>185093</v>
      </c>
      <c r="D21" s="51">
        <v>1</v>
      </c>
      <c r="E21" s="87">
        <f>ROUND(C21*-D21,0)</f>
        <v>-185093</v>
      </c>
      <c r="F21" s="52">
        <f>C21+E21</f>
        <v>0</v>
      </c>
      <c r="G21" s="57">
        <f t="shared" si="3"/>
        <v>0</v>
      </c>
      <c r="H21" s="53">
        <f t="shared" si="4"/>
        <v>0</v>
      </c>
      <c r="I21" s="84"/>
      <c r="J21" s="84">
        <v>20</v>
      </c>
      <c r="K21" s="54">
        <f>IFERROR(VLOOKUP(J21,'Tax Rates'!$A$1:$AA$12,$K$18+1,FALSE),0)</f>
        <v>5.2850000000000001E-2</v>
      </c>
      <c r="L21" s="102">
        <v>-185093</v>
      </c>
      <c r="M21" s="52">
        <v>0</v>
      </c>
      <c r="N21" s="52">
        <v>0</v>
      </c>
      <c r="O21" s="87">
        <f>ROUND(K21*-H21,0)</f>
        <v>0</v>
      </c>
      <c r="P21" s="55">
        <f t="shared" si="5"/>
        <v>-185093</v>
      </c>
      <c r="Q21" s="84"/>
      <c r="R21" s="52">
        <f>C21+P21</f>
        <v>0</v>
      </c>
      <c r="S21" s="84"/>
    </row>
    <row r="22" spans="1:19">
      <c r="A22" s="84">
        <v>10</v>
      </c>
      <c r="B22" s="84" t="s">
        <v>90</v>
      </c>
      <c r="C22" s="33">
        <f t="shared" si="2"/>
        <v>0</v>
      </c>
      <c r="D22" s="51">
        <v>0</v>
      </c>
      <c r="E22" s="87">
        <f>ROUND(C22*-D22,0)</f>
        <v>0</v>
      </c>
      <c r="F22" s="52">
        <f>C22+E22</f>
        <v>0</v>
      </c>
      <c r="G22" s="57">
        <f t="shared" si="3"/>
        <v>0</v>
      </c>
      <c r="H22" s="53">
        <f t="shared" si="4"/>
        <v>0</v>
      </c>
      <c r="I22" s="84"/>
      <c r="J22" s="84">
        <v>7</v>
      </c>
      <c r="K22" s="54">
        <f>IFERROR(VLOOKUP(J22,'Tax Rates'!$A$1:$AA$12,$K$18+1,FALSE),0)</f>
        <v>8.9249999999999996E-2</v>
      </c>
      <c r="L22" s="102">
        <v>0</v>
      </c>
      <c r="M22" s="52">
        <v>0</v>
      </c>
      <c r="N22" s="52">
        <v>0</v>
      </c>
      <c r="O22" s="87">
        <f>ROUND(K22*-H22,0)</f>
        <v>0</v>
      </c>
      <c r="P22" s="55">
        <f t="shared" si="5"/>
        <v>0</v>
      </c>
      <c r="Q22" s="84"/>
      <c r="R22" s="52">
        <f>C22+P22</f>
        <v>0</v>
      </c>
      <c r="S22" s="84"/>
    </row>
    <row r="23" spans="1:19">
      <c r="A23" s="84">
        <v>11</v>
      </c>
      <c r="B23" s="84" t="s">
        <v>91</v>
      </c>
      <c r="C23" s="33">
        <f t="shared" si="2"/>
        <v>0</v>
      </c>
      <c r="D23" s="51">
        <v>0</v>
      </c>
      <c r="E23" s="87">
        <f>ROUND(C23*-D23,0)</f>
        <v>0</v>
      </c>
      <c r="F23" s="52">
        <f>C23+E23</f>
        <v>0</v>
      </c>
      <c r="G23" s="57">
        <f t="shared" si="3"/>
        <v>0</v>
      </c>
      <c r="H23" s="53">
        <f t="shared" si="4"/>
        <v>0</v>
      </c>
      <c r="I23" s="84"/>
      <c r="J23" s="84">
        <v>15</v>
      </c>
      <c r="K23" s="54">
        <f>IFERROR(VLOOKUP(J23,'Tax Rates'!$A$1:$AA$12,$K$18+1,FALSE),0)</f>
        <v>6.2330000000000003E-2</v>
      </c>
      <c r="L23" s="102">
        <v>0</v>
      </c>
      <c r="M23" s="52">
        <v>0</v>
      </c>
      <c r="N23" s="52">
        <v>0</v>
      </c>
      <c r="O23" s="87">
        <f>ROUND(K23*-H23,0)</f>
        <v>0</v>
      </c>
      <c r="P23" s="55">
        <f t="shared" si="5"/>
        <v>0</v>
      </c>
      <c r="Q23" s="84"/>
      <c r="R23" s="52">
        <f>C23+P23</f>
        <v>0</v>
      </c>
      <c r="S23" s="84"/>
    </row>
    <row r="24" spans="1:19">
      <c r="A24" s="84">
        <v>12</v>
      </c>
      <c r="B24" s="84" t="s">
        <v>92</v>
      </c>
      <c r="C24" s="88">
        <f t="shared" si="2"/>
        <v>312527</v>
      </c>
      <c r="D24" s="58" t="s">
        <v>105</v>
      </c>
      <c r="E24" s="88">
        <v>0</v>
      </c>
      <c r="F24" s="59">
        <v>0</v>
      </c>
      <c r="G24" s="59">
        <f t="shared" si="3"/>
        <v>0</v>
      </c>
      <c r="H24" s="60">
        <f t="shared" si="4"/>
        <v>0</v>
      </c>
      <c r="I24" s="84"/>
      <c r="J24" s="61" t="s">
        <v>105</v>
      </c>
      <c r="K24" s="62" t="s">
        <v>105</v>
      </c>
      <c r="L24" s="103">
        <v>0</v>
      </c>
      <c r="M24" s="59">
        <v>0</v>
      </c>
      <c r="N24" s="63">
        <v>0</v>
      </c>
      <c r="O24" s="88">
        <v>0</v>
      </c>
      <c r="P24" s="64">
        <f t="shared" si="5"/>
        <v>0</v>
      </c>
      <c r="Q24" s="84"/>
      <c r="R24" s="65" t="s">
        <v>105</v>
      </c>
      <c r="S24" s="84"/>
    </row>
    <row r="25" spans="1:19">
      <c r="A25" s="84"/>
      <c r="B25" s="84"/>
      <c r="C25" s="87">
        <f>SUM(C18:C24)</f>
        <v>2479950</v>
      </c>
      <c r="D25" s="84"/>
      <c r="E25" s="87">
        <f>SUM(E19:E24)</f>
        <v>-2048684</v>
      </c>
      <c r="F25" s="87">
        <f>SUM(F19:F24)</f>
        <v>118739</v>
      </c>
      <c r="G25" s="87">
        <f>SUM(G19:G24)</f>
        <v>-59370</v>
      </c>
      <c r="H25" s="55">
        <f>SUM(H19:H24)</f>
        <v>59369</v>
      </c>
      <c r="I25" s="84"/>
      <c r="J25" s="84"/>
      <c r="K25" s="84"/>
      <c r="L25" s="55">
        <f>SUM(L19:L24)</f>
        <v>-2130420</v>
      </c>
      <c r="M25" s="87">
        <f>SUM(M19:M24)</f>
        <v>0</v>
      </c>
      <c r="N25" s="87">
        <f>SUM(N19:N24)</f>
        <v>0</v>
      </c>
      <c r="O25" s="87">
        <f>SUM(O19:O24)</f>
        <v>-3700</v>
      </c>
      <c r="P25" s="55">
        <f>SUM(P19:P24)</f>
        <v>-2134120</v>
      </c>
      <c r="Q25" s="84"/>
      <c r="R25" s="52">
        <f>SUM(R19:R24)</f>
        <v>33303</v>
      </c>
      <c r="S25" s="84"/>
    </row>
    <row r="26" spans="1:19">
      <c r="A26" s="84"/>
      <c r="B26" s="84"/>
      <c r="C26" s="87"/>
      <c r="D26" s="84"/>
      <c r="E26" s="87"/>
      <c r="F26" s="87"/>
      <c r="G26" s="87"/>
      <c r="H26" s="55"/>
      <c r="I26" s="84"/>
      <c r="J26" s="55"/>
      <c r="K26" s="87"/>
      <c r="L26" s="87"/>
      <c r="M26" s="87"/>
      <c r="N26" s="55"/>
      <c r="O26" s="84"/>
      <c r="P26" s="84"/>
      <c r="Q26" s="84"/>
      <c r="R26" s="84"/>
      <c r="S26" s="84"/>
    </row>
    <row r="27" spans="1:19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</row>
    <row r="28" spans="1:19">
      <c r="A28" s="84"/>
      <c r="B28" s="84"/>
      <c r="C28" s="84"/>
      <c r="D28" s="84"/>
      <c r="E28" s="87"/>
      <c r="F28" s="50" t="s">
        <v>106</v>
      </c>
      <c r="G28" s="66" t="s">
        <v>114</v>
      </c>
      <c r="H28" s="67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>
      <c r="A29" s="84"/>
      <c r="B29" s="84"/>
      <c r="C29" s="84"/>
      <c r="D29" s="124" t="s">
        <v>107</v>
      </c>
      <c r="E29" s="124"/>
      <c r="F29" s="50" t="s">
        <v>108</v>
      </c>
      <c r="G29" s="50" t="s">
        <v>109</v>
      </c>
      <c r="H29" s="95" t="s">
        <v>110</v>
      </c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>
      <c r="A30" s="84"/>
      <c r="B30" s="84"/>
      <c r="C30" s="84"/>
      <c r="D30" s="122" t="s">
        <v>76</v>
      </c>
      <c r="E30" s="122" t="s">
        <v>97</v>
      </c>
      <c r="F30" s="122" t="s">
        <v>5</v>
      </c>
      <c r="G30" s="122" t="s">
        <v>65</v>
      </c>
      <c r="H30" s="122" t="s">
        <v>111</v>
      </c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>
      <c r="A31" s="84">
        <v>13</v>
      </c>
      <c r="B31" s="84" t="s">
        <v>87</v>
      </c>
      <c r="C31" s="84"/>
      <c r="D31" s="52">
        <f t="shared" ref="D31:D36" si="7">J6</f>
        <v>1569390</v>
      </c>
      <c r="E31" s="52">
        <f t="shared" ref="E31:E36" si="8">R19</f>
        <v>7960</v>
      </c>
      <c r="F31" s="52">
        <f>E31-D31</f>
        <v>-1561430</v>
      </c>
      <c r="G31" s="68">
        <v>0.37959999999999999</v>
      </c>
      <c r="H31" s="52">
        <f>ROUND(F31*0.3796,0)</f>
        <v>-592719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>
      <c r="A32" s="84">
        <v>14</v>
      </c>
      <c r="B32" s="84" t="s">
        <v>88</v>
      </c>
      <c r="C32" s="84"/>
      <c r="D32" s="57">
        <f t="shared" si="7"/>
        <v>78781</v>
      </c>
      <c r="E32" s="52">
        <f t="shared" si="8"/>
        <v>25343</v>
      </c>
      <c r="F32" s="52">
        <f>E32-D32</f>
        <v>-53438</v>
      </c>
      <c r="G32" s="67">
        <f>G31</f>
        <v>0.37959999999999999</v>
      </c>
      <c r="H32" s="52">
        <f t="shared" ref="H32:H36" si="9">ROUND(F32*0.3796,0)</f>
        <v>-20285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8">
      <c r="A33" s="84">
        <v>15</v>
      </c>
      <c r="B33" s="84" t="s">
        <v>89</v>
      </c>
      <c r="C33" s="84"/>
      <c r="D33" s="57">
        <f t="shared" si="7"/>
        <v>157708</v>
      </c>
      <c r="E33" s="52">
        <f t="shared" si="8"/>
        <v>0</v>
      </c>
      <c r="F33" s="52">
        <f>E33-D33</f>
        <v>-157708</v>
      </c>
      <c r="G33" s="67">
        <f>G31</f>
        <v>0.37959999999999999</v>
      </c>
      <c r="H33" s="52">
        <f t="shared" si="9"/>
        <v>-59866</v>
      </c>
    </row>
    <row r="34" spans="1:8">
      <c r="A34" s="84">
        <v>16</v>
      </c>
      <c r="B34" s="84" t="s">
        <v>90</v>
      </c>
      <c r="C34" s="84"/>
      <c r="D34" s="57">
        <f t="shared" si="7"/>
        <v>0</v>
      </c>
      <c r="E34" s="52">
        <f t="shared" si="8"/>
        <v>0</v>
      </c>
      <c r="F34" s="52">
        <f>E34-D34</f>
        <v>0</v>
      </c>
      <c r="G34" s="67">
        <f>G31</f>
        <v>0.37959999999999999</v>
      </c>
      <c r="H34" s="52">
        <f t="shared" si="9"/>
        <v>0</v>
      </c>
    </row>
    <row r="35" spans="1:8">
      <c r="A35" s="84">
        <v>17</v>
      </c>
      <c r="B35" s="84" t="s">
        <v>91</v>
      </c>
      <c r="C35" s="84"/>
      <c r="D35" s="57">
        <f t="shared" si="7"/>
        <v>0</v>
      </c>
      <c r="E35" s="52">
        <f t="shared" si="8"/>
        <v>0</v>
      </c>
      <c r="F35" s="52">
        <f>E35-D35</f>
        <v>0</v>
      </c>
      <c r="G35" s="67">
        <f>G31</f>
        <v>0.37959999999999999</v>
      </c>
      <c r="H35" s="52">
        <f t="shared" si="9"/>
        <v>0</v>
      </c>
    </row>
    <row r="36" spans="1:8">
      <c r="A36" s="84">
        <v>18</v>
      </c>
      <c r="B36" s="84" t="s">
        <v>92</v>
      </c>
      <c r="C36" s="84"/>
      <c r="D36" s="59">
        <f t="shared" si="7"/>
        <v>307114</v>
      </c>
      <c r="E36" s="65" t="str">
        <f t="shared" si="8"/>
        <v>NA</v>
      </c>
      <c r="F36" s="59">
        <f>-D36</f>
        <v>-307114</v>
      </c>
      <c r="G36" s="69">
        <f>G31</f>
        <v>0.37959999999999999</v>
      </c>
      <c r="H36" s="59">
        <f t="shared" si="9"/>
        <v>-116580</v>
      </c>
    </row>
    <row r="37" spans="1:8">
      <c r="A37" s="84"/>
      <c r="B37" s="84"/>
      <c r="C37" s="84"/>
      <c r="D37" s="52">
        <f>SUM(D31:D36)</f>
        <v>2112993</v>
      </c>
      <c r="E37" s="52">
        <f>SUM(E31:E36)</f>
        <v>33303</v>
      </c>
      <c r="F37" s="52">
        <f>SUM(F31:F36)</f>
        <v>-2079690</v>
      </c>
      <c r="G37" s="84"/>
      <c r="H37" s="52">
        <f>SUM(H31:H36)</f>
        <v>-789450</v>
      </c>
    </row>
    <row r="39" spans="1:8" s="27" customFormat="1">
      <c r="A39" s="74" t="s">
        <v>73</v>
      </c>
      <c r="B39" s="84" t="s">
        <v>112</v>
      </c>
      <c r="C39" s="84"/>
      <c r="D39" s="84"/>
      <c r="E39" s="84"/>
      <c r="F39" s="84"/>
      <c r="G39" s="84"/>
      <c r="H39" s="84"/>
    </row>
    <row r="40" spans="1:8" s="27" customFormat="1">
      <c r="A40" s="74" t="s">
        <v>114</v>
      </c>
      <c r="B40" s="84" t="s">
        <v>115</v>
      </c>
      <c r="C40" s="84"/>
      <c r="D40" s="84"/>
      <c r="E40" s="84"/>
      <c r="F40" s="84"/>
      <c r="G40" s="84"/>
      <c r="H40" s="84"/>
    </row>
    <row r="41" spans="1:8" s="27" customFormat="1">
      <c r="A41" s="84"/>
      <c r="B41" s="84" t="s">
        <v>116</v>
      </c>
      <c r="C41" s="84"/>
      <c r="D41" s="84"/>
      <c r="E41" s="84"/>
      <c r="F41" s="84"/>
      <c r="G41" s="84"/>
      <c r="H41" s="84"/>
    </row>
    <row r="42" spans="1:8" s="27" customFormat="1">
      <c r="A42" s="84"/>
      <c r="B42" s="84" t="s">
        <v>117</v>
      </c>
      <c r="C42" s="84"/>
      <c r="D42" s="84"/>
      <c r="E42" s="84"/>
      <c r="F42" s="84"/>
      <c r="G42" s="84"/>
      <c r="H42" s="84"/>
    </row>
    <row r="43" spans="1:8" s="27" customFormat="1">
      <c r="A43" s="84"/>
      <c r="B43" s="84" t="s">
        <v>118</v>
      </c>
      <c r="C43" s="84"/>
      <c r="D43" s="84"/>
      <c r="E43" s="84"/>
      <c r="F43" s="84"/>
      <c r="G43" s="84"/>
      <c r="H43" s="84"/>
    </row>
  </sheetData>
  <mergeCells count="3">
    <mergeCell ref="F2:H2"/>
    <mergeCell ref="L16:P16"/>
    <mergeCell ref="D29:E29"/>
  </mergeCells>
  <pageMargins left="0.25" right="0.25" top="0.75" bottom="0.75" header="0.3" footer="0.3"/>
  <pageSetup scale="66" orientation="landscape" r:id="rId1"/>
  <headerFooter>
    <oddHeader>&amp;RResponse to PSC 3-3
Page &amp;P of &amp;N
Witnesses: John Brown and
William Steven Seelye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48"/>
  <sheetViews>
    <sheetView view="pageBreakPreview" topLeftCell="A19" zoomScaleNormal="100" zoomScaleSheetLayoutView="100" workbookViewId="0">
      <selection activeCell="E44" sqref="E44"/>
    </sheetView>
  </sheetViews>
  <sheetFormatPr defaultColWidth="9.140625" defaultRowHeight="15"/>
  <cols>
    <col min="1" max="1" width="14.42578125" style="19" customWidth="1"/>
    <col min="2" max="2" width="18.5703125" style="19" bestFit="1" customWidth="1"/>
    <col min="3" max="4" width="12.7109375" style="19" customWidth="1"/>
    <col min="5" max="5" width="11.28515625" style="19" bestFit="1" customWidth="1"/>
    <col min="6" max="6" width="12.7109375" style="19" customWidth="1"/>
    <col min="7" max="7" width="12.42578125" style="19" bestFit="1" customWidth="1"/>
    <col min="8" max="8" width="13.140625" style="19" bestFit="1" customWidth="1"/>
    <col min="9" max="9" width="2.7109375" style="19" customWidth="1"/>
    <col min="10" max="10" width="10.7109375" style="19" customWidth="1"/>
    <col min="11" max="11" width="8.140625" style="19" bestFit="1" customWidth="1"/>
    <col min="12" max="12" width="12.7109375" style="19" customWidth="1"/>
    <col min="13" max="14" width="11.28515625" style="19" bestFit="1" customWidth="1"/>
    <col min="15" max="15" width="8.42578125" style="19" bestFit="1" customWidth="1"/>
    <col min="16" max="16" width="11.28515625" style="19" bestFit="1" customWidth="1"/>
    <col min="17" max="17" width="2.7109375" style="19" customWidth="1"/>
    <col min="18" max="18" width="13.7109375" style="19" bestFit="1" customWidth="1"/>
    <col min="19" max="19" width="7.7109375" style="19" bestFit="1" customWidth="1"/>
    <col min="20" max="20" width="7.42578125" style="19" bestFit="1" customWidth="1"/>
    <col min="21" max="16384" width="9.140625" style="19"/>
  </cols>
  <sheetData>
    <row r="1" spans="1:18">
      <c r="A1" s="22" t="s">
        <v>70</v>
      </c>
      <c r="B1" s="7">
        <v>2018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>
      <c r="A2" s="22" t="s">
        <v>72</v>
      </c>
      <c r="B2" s="25"/>
      <c r="C2" s="25"/>
      <c r="D2" s="14" t="s">
        <v>73</v>
      </c>
      <c r="E2" s="25"/>
      <c r="F2" s="125" t="s">
        <v>75</v>
      </c>
      <c r="G2" s="125"/>
      <c r="H2" s="1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>
      <c r="A3" s="25"/>
      <c r="B3" s="25"/>
      <c r="C3" s="25"/>
      <c r="D3" s="16" t="s">
        <v>74</v>
      </c>
      <c r="E3" s="25"/>
      <c r="F3" s="20"/>
      <c r="G3" s="14"/>
      <c r="H3" s="20"/>
      <c r="I3" s="25"/>
      <c r="J3" s="23" t="s">
        <v>76</v>
      </c>
      <c r="K3" s="25"/>
      <c r="L3" s="25"/>
      <c r="M3" s="25"/>
      <c r="N3" s="25"/>
      <c r="O3" s="25"/>
      <c r="P3" s="25"/>
      <c r="Q3" s="25"/>
      <c r="R3" s="25"/>
    </row>
    <row r="4" spans="1:18">
      <c r="A4" s="25"/>
      <c r="B4" s="25"/>
      <c r="C4" s="16">
        <v>2018</v>
      </c>
      <c r="D4" s="16" t="s">
        <v>77</v>
      </c>
      <c r="E4" s="25"/>
      <c r="F4" s="16"/>
      <c r="G4" s="16" t="s">
        <v>78</v>
      </c>
      <c r="H4" s="16"/>
      <c r="I4" s="25"/>
      <c r="J4" s="16" t="s">
        <v>79</v>
      </c>
      <c r="K4" s="25"/>
      <c r="L4" s="25"/>
      <c r="M4" s="25"/>
      <c r="N4" s="25"/>
      <c r="O4" s="16" t="s">
        <v>80</v>
      </c>
      <c r="P4" s="16" t="s">
        <v>80</v>
      </c>
      <c r="Q4" s="25"/>
      <c r="R4" s="25"/>
    </row>
    <row r="5" spans="1:18">
      <c r="A5" s="25"/>
      <c r="B5" s="25"/>
      <c r="C5" s="123" t="s">
        <v>81</v>
      </c>
      <c r="D5" s="10">
        <v>5</v>
      </c>
      <c r="E5" s="25"/>
      <c r="F5" s="123" t="s">
        <v>82</v>
      </c>
      <c r="G5" s="123" t="s">
        <v>83</v>
      </c>
      <c r="H5" s="123" t="s">
        <v>84</v>
      </c>
      <c r="I5" s="25"/>
      <c r="J5" s="123" t="s">
        <v>85</v>
      </c>
      <c r="K5" s="25"/>
      <c r="L5" s="25"/>
      <c r="M5" s="25"/>
      <c r="N5" s="25"/>
      <c r="O5" s="123" t="s">
        <v>65</v>
      </c>
      <c r="P5" s="123" t="s">
        <v>86</v>
      </c>
      <c r="Q5" s="25"/>
      <c r="R5" s="25"/>
    </row>
    <row r="6" spans="1:18">
      <c r="A6" s="25">
        <v>1</v>
      </c>
      <c r="B6" s="25" t="s">
        <v>87</v>
      </c>
      <c r="C6" s="100">
        <v>2669534</v>
      </c>
      <c r="D6" s="2">
        <v>3.1E-2</v>
      </c>
      <c r="E6" s="25"/>
      <c r="F6" s="100">
        <v>-289646</v>
      </c>
      <c r="G6" s="18">
        <f>ROUND(IF(D$5=1,-0.5*D6*C6,-D6*C6),0)</f>
        <v>-82756</v>
      </c>
      <c r="H6" s="18">
        <f t="shared" ref="H6:H11" si="0">SUM(F6:G6)</f>
        <v>-372402</v>
      </c>
      <c r="I6" s="25"/>
      <c r="J6" s="5">
        <f t="shared" ref="J6:J11" si="1">C6+H6</f>
        <v>2297132</v>
      </c>
      <c r="K6" s="25"/>
      <c r="L6" s="25"/>
      <c r="M6" s="25"/>
      <c r="N6" s="25"/>
      <c r="O6" s="11">
        <v>1E-4</v>
      </c>
      <c r="P6" s="17">
        <f>ROUND(IF(D$5=1,-0.5*O6*C6,-O6*C6),0)</f>
        <v>-267</v>
      </c>
      <c r="Q6" s="25"/>
      <c r="R6" s="25"/>
    </row>
    <row r="7" spans="1:18">
      <c r="A7" s="25">
        <v>2</v>
      </c>
      <c r="B7" s="25" t="s">
        <v>88</v>
      </c>
      <c r="C7" s="100">
        <v>611904</v>
      </c>
      <c r="D7" s="2">
        <v>2.3300000000000001E-2</v>
      </c>
      <c r="E7" s="25"/>
      <c r="F7" s="100">
        <v>-49900</v>
      </c>
      <c r="G7" s="18">
        <f>ROUND(IF(D$5=1,-0.5*D7*C7,-D7*C7),0)</f>
        <v>-14257</v>
      </c>
      <c r="H7" s="18">
        <f t="shared" si="0"/>
        <v>-64157</v>
      </c>
      <c r="I7" s="25"/>
      <c r="J7" s="5">
        <f t="shared" si="1"/>
        <v>547747</v>
      </c>
      <c r="K7" s="25"/>
      <c r="L7" s="25"/>
      <c r="M7" s="25"/>
      <c r="N7" s="25"/>
      <c r="O7" s="11">
        <v>2.0000000000000001E-4</v>
      </c>
      <c r="P7" s="5">
        <f>ROUND(IF(D$5=1,-0.5*O7*C7,-O7*C7),0)</f>
        <v>-122</v>
      </c>
      <c r="Q7" s="25"/>
      <c r="R7" s="25"/>
    </row>
    <row r="8" spans="1:18">
      <c r="A8" s="25">
        <v>3</v>
      </c>
      <c r="B8" s="25" t="s">
        <v>89</v>
      </c>
      <c r="C8" s="100">
        <v>166771</v>
      </c>
      <c r="D8" s="2">
        <v>2.69E-2</v>
      </c>
      <c r="E8" s="25"/>
      <c r="F8" s="100">
        <v>-15701</v>
      </c>
      <c r="G8" s="18">
        <f>ROUND(IF(D$5=1,-0.5*D8*C8,-D8*C8),0)</f>
        <v>-4486</v>
      </c>
      <c r="H8" s="18">
        <f t="shared" si="0"/>
        <v>-20187</v>
      </c>
      <c r="I8" s="25"/>
      <c r="J8" s="5">
        <f t="shared" si="1"/>
        <v>146584</v>
      </c>
      <c r="K8" s="25"/>
      <c r="L8" s="25"/>
      <c r="M8" s="25"/>
      <c r="N8" s="25"/>
      <c r="O8" s="11">
        <v>4.1999999999999997E-3</v>
      </c>
      <c r="P8" s="5">
        <f>ROUND(IF(D$5=1,-0.5*O8*C8,-O8*C8),0)</f>
        <v>-700</v>
      </c>
      <c r="Q8" s="25"/>
      <c r="R8" s="25"/>
    </row>
    <row r="9" spans="1:18">
      <c r="A9" s="25">
        <v>4</v>
      </c>
      <c r="B9" s="25" t="s">
        <v>90</v>
      </c>
      <c r="C9" s="100">
        <v>0</v>
      </c>
      <c r="D9" s="2">
        <v>2.2499999999999999E-2</v>
      </c>
      <c r="E9" s="25"/>
      <c r="F9" s="100">
        <v>0</v>
      </c>
      <c r="G9" s="18">
        <f>ROUND(IF(D$5=1,-0.5*D9*C9,-D9*C9),0)</f>
        <v>0</v>
      </c>
      <c r="H9" s="18">
        <f t="shared" si="0"/>
        <v>0</v>
      </c>
      <c r="I9" s="25"/>
      <c r="J9" s="5">
        <f t="shared" si="1"/>
        <v>0</v>
      </c>
      <c r="K9" s="25"/>
      <c r="L9" s="25"/>
      <c r="M9" s="25"/>
      <c r="N9" s="25"/>
      <c r="O9" s="11">
        <v>0</v>
      </c>
      <c r="P9" s="5">
        <f>IF(D$5=1,-0.5*O9*C9,-O9*C9)</f>
        <v>0</v>
      </c>
      <c r="Q9" s="25"/>
      <c r="R9" s="25"/>
    </row>
    <row r="10" spans="1:18">
      <c r="A10" s="25">
        <v>5</v>
      </c>
      <c r="B10" s="25" t="s">
        <v>91</v>
      </c>
      <c r="C10" s="100">
        <v>0</v>
      </c>
      <c r="D10" s="2">
        <v>2.0500000000000001E-2</v>
      </c>
      <c r="E10" s="25"/>
      <c r="F10" s="100">
        <v>0</v>
      </c>
      <c r="G10" s="18">
        <f>ROUND(IF(D$5=1,-0.5*D10*C10,-D10*C10),0)</f>
        <v>0</v>
      </c>
      <c r="H10" s="18">
        <f t="shared" si="0"/>
        <v>0</v>
      </c>
      <c r="I10" s="25"/>
      <c r="J10" s="5">
        <f t="shared" si="1"/>
        <v>0</v>
      </c>
      <c r="K10" s="25"/>
      <c r="L10" s="25"/>
      <c r="M10" s="25"/>
      <c r="N10" s="25"/>
      <c r="O10" s="11">
        <v>0</v>
      </c>
      <c r="P10" s="5">
        <f>IF(D$5=1,-0.5*O10*C10,-O10*C10)</f>
        <v>0</v>
      </c>
      <c r="Q10" s="25"/>
      <c r="R10" s="25"/>
    </row>
    <row r="11" spans="1:18">
      <c r="A11" s="25">
        <v>6</v>
      </c>
      <c r="B11" s="25" t="s">
        <v>92</v>
      </c>
      <c r="C11" s="101">
        <v>441538</v>
      </c>
      <c r="D11" s="3" t="s">
        <v>93</v>
      </c>
      <c r="E11" s="25"/>
      <c r="F11" s="101">
        <v>-3811</v>
      </c>
      <c r="G11" s="21">
        <f>P12</f>
        <v>-1089</v>
      </c>
      <c r="H11" s="21">
        <f t="shared" si="0"/>
        <v>-4900</v>
      </c>
      <c r="I11" s="25"/>
      <c r="J11" s="6">
        <f t="shared" si="1"/>
        <v>436638</v>
      </c>
      <c r="K11" s="25"/>
      <c r="L11" s="25"/>
      <c r="M11" s="25"/>
      <c r="N11" s="25"/>
      <c r="O11" s="24">
        <v>0</v>
      </c>
      <c r="P11" s="6">
        <f>IF(D$5=1,-0.5*O11*C11,-O11*C11)</f>
        <v>0</v>
      </c>
      <c r="Q11" s="25"/>
      <c r="R11" s="25"/>
    </row>
    <row r="12" spans="1:18">
      <c r="A12" s="25"/>
      <c r="B12" s="25"/>
      <c r="C12" s="18">
        <f>SUM(C6:C11)</f>
        <v>3889747</v>
      </c>
      <c r="D12" s="18"/>
      <c r="E12" s="25"/>
      <c r="F12" s="100">
        <f>SUM(F5:F11)</f>
        <v>-359058</v>
      </c>
      <c r="G12" s="18">
        <f>SUM(G5:G11)</f>
        <v>-102588</v>
      </c>
      <c r="H12" s="18">
        <f>SUM(H5:H11)</f>
        <v>-461646</v>
      </c>
      <c r="I12" s="25"/>
      <c r="J12" s="5">
        <f>SUM(J6:J11)</f>
        <v>3428101</v>
      </c>
      <c r="K12" s="25"/>
      <c r="L12" s="25"/>
      <c r="M12" s="25"/>
      <c r="N12" s="25"/>
      <c r="O12" s="5"/>
      <c r="P12" s="17">
        <f>SUM(P5:P11)</f>
        <v>-1089</v>
      </c>
      <c r="Q12" s="25"/>
      <c r="R12" s="25"/>
    </row>
    <row r="13" spans="1:18" ht="14.25" customHeight="1">
      <c r="A13" s="25"/>
      <c r="B13" s="25"/>
      <c r="C13" s="18"/>
      <c r="D13" s="18"/>
      <c r="E13" s="18"/>
      <c r="F13" s="18"/>
      <c r="G13" s="25"/>
      <c r="H13" s="25"/>
      <c r="I13" s="25"/>
      <c r="J13" s="25"/>
      <c r="K13" s="25"/>
      <c r="L13" s="25"/>
      <c r="M13" s="16"/>
      <c r="N13" s="20"/>
      <c r="O13" s="25"/>
      <c r="P13" s="25"/>
      <c r="Q13" s="25"/>
      <c r="R13" s="25"/>
    </row>
    <row r="14" spans="1:18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6"/>
      <c r="N14" s="20"/>
      <c r="O14" s="25"/>
      <c r="P14" s="25"/>
      <c r="Q14" s="25"/>
      <c r="R14" s="25"/>
    </row>
    <row r="15" spans="1:18">
      <c r="A15" s="25"/>
      <c r="B15" s="25"/>
      <c r="C15" s="25"/>
      <c r="D15" s="16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s="27" customFormat="1">
      <c r="A16" s="84"/>
      <c r="B16" s="84"/>
      <c r="C16" s="93"/>
      <c r="D16" s="95" t="s">
        <v>94</v>
      </c>
      <c r="E16" s="93"/>
      <c r="F16" s="93"/>
      <c r="G16" s="48">
        <v>0</v>
      </c>
      <c r="H16" s="93"/>
      <c r="I16" s="84"/>
      <c r="J16" s="49"/>
      <c r="K16" s="95" t="s">
        <v>95</v>
      </c>
      <c r="L16" s="124" t="s">
        <v>96</v>
      </c>
      <c r="M16" s="124"/>
      <c r="N16" s="124"/>
      <c r="O16" s="124"/>
      <c r="P16" s="124"/>
      <c r="Q16" s="84"/>
      <c r="R16" s="50" t="s">
        <v>97</v>
      </c>
    </row>
    <row r="17" spans="1:18" s="27" customFormat="1">
      <c r="A17" s="84"/>
      <c r="B17" s="84"/>
      <c r="C17" s="95" t="s">
        <v>76</v>
      </c>
      <c r="D17" s="95" t="s">
        <v>83</v>
      </c>
      <c r="E17" s="95" t="s">
        <v>97</v>
      </c>
      <c r="F17" s="95" t="s">
        <v>97</v>
      </c>
      <c r="G17" s="95" t="s">
        <v>98</v>
      </c>
      <c r="H17" s="95" t="s">
        <v>99</v>
      </c>
      <c r="I17" s="84"/>
      <c r="J17" s="95"/>
      <c r="K17" s="95" t="s">
        <v>100</v>
      </c>
      <c r="L17" s="95"/>
      <c r="M17" s="95" t="s">
        <v>97</v>
      </c>
      <c r="N17" s="95" t="s">
        <v>98</v>
      </c>
      <c r="O17" s="95" t="s">
        <v>95</v>
      </c>
      <c r="P17" s="95"/>
      <c r="Q17" s="84"/>
      <c r="R17" s="95" t="s">
        <v>79</v>
      </c>
    </row>
    <row r="18" spans="1:18" s="27" customFormat="1">
      <c r="A18" s="84"/>
      <c r="B18" s="84"/>
      <c r="C18" s="122" t="s">
        <v>81</v>
      </c>
      <c r="D18" s="122" t="s">
        <v>101</v>
      </c>
      <c r="E18" s="122" t="s">
        <v>83</v>
      </c>
      <c r="F18" s="122" t="s">
        <v>102</v>
      </c>
      <c r="G18" s="122" t="s">
        <v>78</v>
      </c>
      <c r="H18" s="122" t="s">
        <v>103</v>
      </c>
      <c r="I18" s="84"/>
      <c r="J18" s="122" t="s">
        <v>104</v>
      </c>
      <c r="K18" s="122">
        <f>D5</f>
        <v>5</v>
      </c>
      <c r="L18" s="122" t="s">
        <v>82</v>
      </c>
      <c r="M18" s="122" t="s">
        <v>83</v>
      </c>
      <c r="N18" s="122" t="s">
        <v>86</v>
      </c>
      <c r="O18" s="122" t="s">
        <v>86</v>
      </c>
      <c r="P18" s="122" t="s">
        <v>84</v>
      </c>
      <c r="Q18" s="84"/>
      <c r="R18" s="122" t="s">
        <v>85</v>
      </c>
    </row>
    <row r="19" spans="1:18" s="27" customFormat="1">
      <c r="A19" s="84">
        <v>7</v>
      </c>
      <c r="B19" s="84" t="s">
        <v>87</v>
      </c>
      <c r="C19" s="87">
        <f t="shared" ref="C19:C24" si="2">C6</f>
        <v>2669534</v>
      </c>
      <c r="D19" s="51">
        <v>0.77700000000000002</v>
      </c>
      <c r="E19" s="87">
        <f>ROUND(C19*-D19,0)</f>
        <v>-2074228</v>
      </c>
      <c r="F19" s="52">
        <f>C19+E19</f>
        <v>595306</v>
      </c>
      <c r="G19" s="52">
        <f t="shared" ref="G19:G24" si="3">ROUND(F19*-$G$16,0)</f>
        <v>0</v>
      </c>
      <c r="H19" s="53">
        <f t="shared" ref="H19:H24" si="4">F19+G19</f>
        <v>595306</v>
      </c>
      <c r="I19" s="84"/>
      <c r="J19" s="84">
        <v>15</v>
      </c>
      <c r="K19" s="54">
        <f>IFERROR(VLOOKUP(J19,'Tax Rates'!$A$1:$AA$12,$K$18+1,FALSE),0)</f>
        <v>6.9250000000000006E-2</v>
      </c>
      <c r="L19" s="102">
        <v>-2257255</v>
      </c>
      <c r="M19" s="52">
        <v>0</v>
      </c>
      <c r="N19" s="52">
        <f t="shared" ref="N19:N24" si="5">G19</f>
        <v>0</v>
      </c>
      <c r="O19" s="87">
        <f>ROUND(K19*-H19,0)</f>
        <v>-41225</v>
      </c>
      <c r="P19" s="55">
        <f>SUM(L19:O19)</f>
        <v>-2298480</v>
      </c>
      <c r="Q19" s="84"/>
      <c r="R19" s="52">
        <f>C19+P19</f>
        <v>371054</v>
      </c>
    </row>
    <row r="20" spans="1:18" s="27" customFormat="1">
      <c r="A20" s="84">
        <v>8</v>
      </c>
      <c r="B20" s="84" t="s">
        <v>88</v>
      </c>
      <c r="C20" s="33">
        <f t="shared" si="2"/>
        <v>611904</v>
      </c>
      <c r="D20" s="56">
        <f>-E20/C20</f>
        <v>0.82199658770003137</v>
      </c>
      <c r="E20" s="34">
        <v>-502983</v>
      </c>
      <c r="F20" s="52">
        <f>C20+E20</f>
        <v>108921</v>
      </c>
      <c r="G20" s="52">
        <f t="shared" si="3"/>
        <v>0</v>
      </c>
      <c r="H20" s="53">
        <f t="shared" si="4"/>
        <v>108921</v>
      </c>
      <c r="I20" s="84"/>
      <c r="J20" s="84">
        <v>15</v>
      </c>
      <c r="K20" s="54">
        <f>IFERROR(VLOOKUP(J20,'Tax Rates'!$A$1:$AA$12,$K$18+1,FALSE),0)</f>
        <v>6.9250000000000006E-2</v>
      </c>
      <c r="L20" s="102">
        <v>-536470</v>
      </c>
      <c r="M20" s="52">
        <v>0</v>
      </c>
      <c r="N20" s="52">
        <f t="shared" si="5"/>
        <v>0</v>
      </c>
      <c r="O20" s="87">
        <f>ROUND(K20*-H20,0)</f>
        <v>-7543</v>
      </c>
      <c r="P20" s="55">
        <f t="shared" ref="P20:P24" si="6">SUM(L20:O20)</f>
        <v>-544013</v>
      </c>
      <c r="Q20" s="84"/>
      <c r="R20" s="52">
        <f>C20+P20</f>
        <v>67891</v>
      </c>
    </row>
    <row r="21" spans="1:18" s="27" customFormat="1">
      <c r="A21" s="84">
        <v>9</v>
      </c>
      <c r="B21" s="84" t="s">
        <v>89</v>
      </c>
      <c r="C21" s="33">
        <f t="shared" si="2"/>
        <v>166771</v>
      </c>
      <c r="D21" s="51">
        <v>1</v>
      </c>
      <c r="E21" s="87">
        <f>ROUND(C21*-D21,0)</f>
        <v>-166771</v>
      </c>
      <c r="F21" s="52">
        <f>C21+E21</f>
        <v>0</v>
      </c>
      <c r="G21" s="57">
        <f t="shared" si="3"/>
        <v>0</v>
      </c>
      <c r="H21" s="53">
        <f t="shared" si="4"/>
        <v>0</v>
      </c>
      <c r="I21" s="84"/>
      <c r="J21" s="84">
        <v>20</v>
      </c>
      <c r="K21" s="54">
        <f>IFERROR(VLOOKUP(J21,'Tax Rates'!$A$1:$AA$12,$K$18+1,FALSE),0)</f>
        <v>5.713E-2</v>
      </c>
      <c r="L21" s="102">
        <v>-166771</v>
      </c>
      <c r="M21" s="52">
        <v>0</v>
      </c>
      <c r="N21" s="52">
        <f t="shared" si="5"/>
        <v>0</v>
      </c>
      <c r="O21" s="87">
        <f>ROUND(K21*-H21,0)</f>
        <v>0</v>
      </c>
      <c r="P21" s="55">
        <f t="shared" si="6"/>
        <v>-166771</v>
      </c>
      <c r="Q21" s="84"/>
      <c r="R21" s="52">
        <f>C21+P21</f>
        <v>0</v>
      </c>
    </row>
    <row r="22" spans="1:18" s="27" customFormat="1">
      <c r="A22" s="84">
        <v>10</v>
      </c>
      <c r="B22" s="84" t="s">
        <v>90</v>
      </c>
      <c r="C22" s="33">
        <f t="shared" si="2"/>
        <v>0</v>
      </c>
      <c r="D22" s="51">
        <v>0</v>
      </c>
      <c r="E22" s="87">
        <f>ROUND(C22*-D22,0)</f>
        <v>0</v>
      </c>
      <c r="F22" s="52">
        <f>C22+E22</f>
        <v>0</v>
      </c>
      <c r="G22" s="57">
        <f t="shared" si="3"/>
        <v>0</v>
      </c>
      <c r="H22" s="53">
        <f t="shared" si="4"/>
        <v>0</v>
      </c>
      <c r="I22" s="84"/>
      <c r="J22" s="84">
        <v>7</v>
      </c>
      <c r="K22" s="54">
        <f>IFERROR(VLOOKUP(J22,'Tax Rates'!$A$1:$AA$12,$K$18+1,FALSE),0)</f>
        <v>8.9249999999999996E-2</v>
      </c>
      <c r="L22" s="102">
        <v>0</v>
      </c>
      <c r="M22" s="52">
        <f t="shared" ref="M22:M24" si="7">E22</f>
        <v>0</v>
      </c>
      <c r="N22" s="52">
        <f t="shared" si="5"/>
        <v>0</v>
      </c>
      <c r="O22" s="87">
        <f>ROUND(K22*-H22,0)</f>
        <v>0</v>
      </c>
      <c r="P22" s="55">
        <f t="shared" si="6"/>
        <v>0</v>
      </c>
      <c r="Q22" s="84"/>
      <c r="R22" s="52">
        <f>C22+P22</f>
        <v>0</v>
      </c>
    </row>
    <row r="23" spans="1:18" s="27" customFormat="1">
      <c r="A23" s="84">
        <v>11</v>
      </c>
      <c r="B23" s="84" t="s">
        <v>91</v>
      </c>
      <c r="C23" s="33">
        <f t="shared" si="2"/>
        <v>0</v>
      </c>
      <c r="D23" s="51">
        <v>0</v>
      </c>
      <c r="E23" s="87">
        <f>ROUND(C23*-D23,0)</f>
        <v>0</v>
      </c>
      <c r="F23" s="52">
        <f>C23+E23</f>
        <v>0</v>
      </c>
      <c r="G23" s="57">
        <f t="shared" si="3"/>
        <v>0</v>
      </c>
      <c r="H23" s="53">
        <f t="shared" si="4"/>
        <v>0</v>
      </c>
      <c r="I23" s="84"/>
      <c r="J23" s="84">
        <v>15</v>
      </c>
      <c r="K23" s="54">
        <f>IFERROR(VLOOKUP(J23,'Tax Rates'!$A$1:$AA$12,$K$18+1,FALSE),0)</f>
        <v>6.9250000000000006E-2</v>
      </c>
      <c r="L23" s="102">
        <v>0</v>
      </c>
      <c r="M23" s="52">
        <f t="shared" si="7"/>
        <v>0</v>
      </c>
      <c r="N23" s="52">
        <f t="shared" si="5"/>
        <v>0</v>
      </c>
      <c r="O23" s="87">
        <f>ROUND(K23*-H23,0)</f>
        <v>0</v>
      </c>
      <c r="P23" s="55">
        <f t="shared" si="6"/>
        <v>0</v>
      </c>
      <c r="Q23" s="84"/>
      <c r="R23" s="52">
        <f>C23+P23</f>
        <v>0</v>
      </c>
    </row>
    <row r="24" spans="1:18" s="27" customFormat="1">
      <c r="A24" s="84">
        <v>12</v>
      </c>
      <c r="B24" s="84" t="s">
        <v>92</v>
      </c>
      <c r="C24" s="88">
        <f t="shared" si="2"/>
        <v>441538</v>
      </c>
      <c r="D24" s="58" t="s">
        <v>105</v>
      </c>
      <c r="E24" s="88">
        <v>0</v>
      </c>
      <c r="F24" s="59">
        <v>0</v>
      </c>
      <c r="G24" s="59">
        <f t="shared" si="3"/>
        <v>0</v>
      </c>
      <c r="H24" s="60">
        <f t="shared" si="4"/>
        <v>0</v>
      </c>
      <c r="I24" s="84"/>
      <c r="J24" s="61" t="s">
        <v>105</v>
      </c>
      <c r="K24" s="62" t="s">
        <v>105</v>
      </c>
      <c r="L24" s="103">
        <v>0</v>
      </c>
      <c r="M24" s="59">
        <f t="shared" si="7"/>
        <v>0</v>
      </c>
      <c r="N24" s="63">
        <f t="shared" si="5"/>
        <v>0</v>
      </c>
      <c r="O24" s="88">
        <v>0</v>
      </c>
      <c r="P24" s="64">
        <f t="shared" si="6"/>
        <v>0</v>
      </c>
      <c r="Q24" s="84"/>
      <c r="R24" s="65" t="s">
        <v>105</v>
      </c>
    </row>
    <row r="25" spans="1:18" s="27" customFormat="1">
      <c r="A25" s="84"/>
      <c r="B25" s="84"/>
      <c r="C25" s="87">
        <f>SUM(C18:C24)</f>
        <v>3889747</v>
      </c>
      <c r="D25" s="84"/>
      <c r="E25" s="87">
        <f>SUM(E19:E24)</f>
        <v>-2743982</v>
      </c>
      <c r="F25" s="87">
        <f>SUM(F19:F24)</f>
        <v>704227</v>
      </c>
      <c r="G25" s="87">
        <f>SUM(G19:G24)</f>
        <v>0</v>
      </c>
      <c r="H25" s="55">
        <f>SUM(H19:H24)</f>
        <v>704227</v>
      </c>
      <c r="I25" s="84"/>
      <c r="J25" s="84"/>
      <c r="K25" s="84"/>
      <c r="L25" s="55">
        <f>SUM(L19:L24)</f>
        <v>-2960496</v>
      </c>
      <c r="M25" s="87">
        <f>SUM(M19:M24)</f>
        <v>0</v>
      </c>
      <c r="N25" s="87">
        <f>SUM(N19:N24)</f>
        <v>0</v>
      </c>
      <c r="O25" s="87">
        <f>SUM(O19:O24)</f>
        <v>-48768</v>
      </c>
      <c r="P25" s="55">
        <f>SUM(P19:P24)</f>
        <v>-3009264</v>
      </c>
      <c r="Q25" s="84"/>
      <c r="R25" s="52">
        <f>SUM(R19:R24)</f>
        <v>438945</v>
      </c>
    </row>
    <row r="26" spans="1:18" s="27" customFormat="1">
      <c r="A26" s="84"/>
      <c r="B26" s="84"/>
      <c r="C26" s="87"/>
      <c r="D26" s="84"/>
      <c r="E26" s="87"/>
      <c r="F26" s="87"/>
      <c r="G26" s="87"/>
      <c r="H26" s="55"/>
      <c r="I26" s="84"/>
      <c r="J26" s="55"/>
      <c r="K26" s="87"/>
      <c r="L26" s="87"/>
      <c r="M26" s="87"/>
      <c r="N26" s="55"/>
      <c r="O26" s="84"/>
      <c r="P26" s="84"/>
      <c r="Q26" s="84"/>
      <c r="R26" s="84"/>
    </row>
    <row r="27" spans="1:18" s="27" customForma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s="27" customFormat="1">
      <c r="A28" s="84"/>
      <c r="B28" s="84"/>
      <c r="C28" s="84"/>
      <c r="D28" s="84"/>
      <c r="E28" s="87"/>
      <c r="F28" s="50" t="s">
        <v>106</v>
      </c>
      <c r="G28" s="66" t="s">
        <v>114</v>
      </c>
      <c r="H28" s="67"/>
      <c r="I28" s="84"/>
      <c r="J28" s="84"/>
      <c r="K28" s="84"/>
      <c r="L28" s="84"/>
      <c r="M28" s="84"/>
      <c r="N28" s="84"/>
      <c r="O28" s="84"/>
      <c r="P28" s="84"/>
      <c r="Q28" s="84"/>
      <c r="R28" s="84"/>
    </row>
    <row r="29" spans="1:18" s="27" customFormat="1">
      <c r="A29" s="84"/>
      <c r="B29" s="84"/>
      <c r="C29" s="84"/>
      <c r="D29" s="124" t="s">
        <v>107</v>
      </c>
      <c r="E29" s="124"/>
      <c r="F29" s="50" t="s">
        <v>108</v>
      </c>
      <c r="G29" s="50" t="s">
        <v>109</v>
      </c>
      <c r="H29" s="95" t="s">
        <v>110</v>
      </c>
      <c r="I29" s="84"/>
      <c r="J29" s="84"/>
      <c r="K29" s="84"/>
      <c r="L29" s="84"/>
      <c r="M29" s="84"/>
      <c r="N29" s="84"/>
      <c r="O29" s="84"/>
      <c r="P29" s="84"/>
      <c r="Q29" s="84"/>
      <c r="R29" s="84"/>
    </row>
    <row r="30" spans="1:18" s="27" customFormat="1">
      <c r="A30" s="84"/>
      <c r="B30" s="84"/>
      <c r="C30" s="84"/>
      <c r="D30" s="122" t="s">
        <v>76</v>
      </c>
      <c r="E30" s="122" t="s">
        <v>97</v>
      </c>
      <c r="F30" s="122" t="s">
        <v>5</v>
      </c>
      <c r="G30" s="122" t="s">
        <v>65</v>
      </c>
      <c r="H30" s="122" t="s">
        <v>111</v>
      </c>
      <c r="I30" s="84"/>
      <c r="J30" s="84"/>
      <c r="K30" s="84"/>
      <c r="L30" s="84"/>
      <c r="M30" s="84"/>
      <c r="N30" s="84"/>
      <c r="O30" s="84"/>
      <c r="P30" s="84"/>
      <c r="Q30" s="84"/>
      <c r="R30" s="84"/>
    </row>
    <row r="31" spans="1:18" s="27" customFormat="1">
      <c r="A31" s="84">
        <v>13</v>
      </c>
      <c r="B31" s="84" t="s">
        <v>87</v>
      </c>
      <c r="C31" s="84"/>
      <c r="D31" s="52">
        <f t="shared" ref="D31:D36" si="8">J6</f>
        <v>2297132</v>
      </c>
      <c r="E31" s="52">
        <f t="shared" ref="E31:E36" si="9">R19</f>
        <v>371054</v>
      </c>
      <c r="F31" s="52">
        <f>E31-D31</f>
        <v>-1926078</v>
      </c>
      <c r="G31" s="68">
        <v>0.2495</v>
      </c>
      <c r="H31" s="52">
        <f>ROUND(F31*G31,0)</f>
        <v>-480556</v>
      </c>
      <c r="I31" s="84"/>
      <c r="J31" s="84"/>
      <c r="K31" s="84"/>
      <c r="L31" s="84"/>
      <c r="M31" s="84"/>
      <c r="N31" s="84"/>
      <c r="O31" s="84"/>
      <c r="P31" s="84"/>
      <c r="Q31" s="84"/>
      <c r="R31" s="84"/>
    </row>
    <row r="32" spans="1:18" s="27" customFormat="1">
      <c r="A32" s="84">
        <v>14</v>
      </c>
      <c r="B32" s="84" t="s">
        <v>88</v>
      </c>
      <c r="C32" s="84"/>
      <c r="D32" s="57">
        <f t="shared" si="8"/>
        <v>547747</v>
      </c>
      <c r="E32" s="52">
        <f t="shared" si="9"/>
        <v>67891</v>
      </c>
      <c r="F32" s="52">
        <f>E32-D32</f>
        <v>-479856</v>
      </c>
      <c r="G32" s="67">
        <f>G31</f>
        <v>0.2495</v>
      </c>
      <c r="H32" s="52">
        <f t="shared" ref="H32:H36" si="10">ROUND(F32*G32,0)</f>
        <v>-119724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</row>
    <row r="33" spans="1:10" s="27" customFormat="1">
      <c r="A33" s="84">
        <v>15</v>
      </c>
      <c r="B33" s="84" t="s">
        <v>89</v>
      </c>
      <c r="C33" s="84"/>
      <c r="D33" s="57">
        <f t="shared" si="8"/>
        <v>146584</v>
      </c>
      <c r="E33" s="52">
        <f t="shared" si="9"/>
        <v>0</v>
      </c>
      <c r="F33" s="52">
        <f>E33-D33</f>
        <v>-146584</v>
      </c>
      <c r="G33" s="67">
        <f>G31</f>
        <v>0.2495</v>
      </c>
      <c r="H33" s="52">
        <f t="shared" si="10"/>
        <v>-36573</v>
      </c>
      <c r="I33" s="84"/>
      <c r="J33" s="84"/>
    </row>
    <row r="34" spans="1:10" s="27" customFormat="1">
      <c r="A34" s="84">
        <v>16</v>
      </c>
      <c r="B34" s="84" t="s">
        <v>90</v>
      </c>
      <c r="C34" s="84"/>
      <c r="D34" s="57">
        <f t="shared" si="8"/>
        <v>0</v>
      </c>
      <c r="E34" s="52">
        <f t="shared" si="9"/>
        <v>0</v>
      </c>
      <c r="F34" s="52">
        <f>E34-D34</f>
        <v>0</v>
      </c>
      <c r="G34" s="67">
        <f>G31</f>
        <v>0.2495</v>
      </c>
      <c r="H34" s="52">
        <f t="shared" si="10"/>
        <v>0</v>
      </c>
      <c r="I34" s="84"/>
      <c r="J34" s="84"/>
    </row>
    <row r="35" spans="1:10" s="27" customFormat="1">
      <c r="A35" s="84">
        <v>17</v>
      </c>
      <c r="B35" s="84" t="s">
        <v>91</v>
      </c>
      <c r="C35" s="84"/>
      <c r="D35" s="57">
        <f t="shared" si="8"/>
        <v>0</v>
      </c>
      <c r="E35" s="52">
        <f t="shared" si="9"/>
        <v>0</v>
      </c>
      <c r="F35" s="52">
        <f>E35-D35</f>
        <v>0</v>
      </c>
      <c r="G35" s="67">
        <f>G31</f>
        <v>0.2495</v>
      </c>
      <c r="H35" s="52">
        <f t="shared" si="10"/>
        <v>0</v>
      </c>
      <c r="I35" s="84"/>
      <c r="J35" s="84"/>
    </row>
    <row r="36" spans="1:10" s="27" customFormat="1">
      <c r="A36" s="84">
        <v>18</v>
      </c>
      <c r="B36" s="84" t="s">
        <v>92</v>
      </c>
      <c r="C36" s="84"/>
      <c r="D36" s="59">
        <f t="shared" si="8"/>
        <v>436638</v>
      </c>
      <c r="E36" s="65" t="str">
        <f t="shared" si="9"/>
        <v>NA</v>
      </c>
      <c r="F36" s="59">
        <f>-D36</f>
        <v>-436638</v>
      </c>
      <c r="G36" s="69">
        <f>G31</f>
        <v>0.2495</v>
      </c>
      <c r="H36" s="59">
        <f t="shared" si="10"/>
        <v>-108941</v>
      </c>
      <c r="I36" s="84"/>
      <c r="J36" s="84"/>
    </row>
    <row r="37" spans="1:10" s="27" customFormat="1">
      <c r="A37" s="84"/>
      <c r="B37" s="84"/>
      <c r="C37" s="84"/>
      <c r="D37" s="52">
        <f>SUM(D31:D36)</f>
        <v>3428101</v>
      </c>
      <c r="E37" s="52">
        <f>SUM(E31:E36)</f>
        <v>438945</v>
      </c>
      <c r="F37" s="52">
        <f>SUM(F31:F36)</f>
        <v>-2989156</v>
      </c>
      <c r="G37" s="84"/>
      <c r="H37" s="52">
        <f>SUM(H31:H36)</f>
        <v>-745794</v>
      </c>
      <c r="I37" s="84"/>
      <c r="J37" s="84"/>
    </row>
    <row r="39" spans="1:10" s="27" customFormat="1">
      <c r="A39" s="74" t="s">
        <v>73</v>
      </c>
      <c r="B39" s="84" t="s">
        <v>112</v>
      </c>
      <c r="C39" s="84"/>
      <c r="D39" s="84"/>
      <c r="E39" s="84"/>
      <c r="F39" s="84"/>
      <c r="G39" s="84"/>
      <c r="H39" s="84"/>
      <c r="I39" s="84"/>
      <c r="J39" s="84"/>
    </row>
    <row r="40" spans="1:10" s="27" customFormat="1">
      <c r="A40" s="74" t="s">
        <v>114</v>
      </c>
      <c r="B40" s="84" t="s">
        <v>119</v>
      </c>
      <c r="C40" s="84"/>
      <c r="D40" s="84"/>
      <c r="E40" s="84"/>
      <c r="F40" s="84"/>
      <c r="G40" s="84"/>
      <c r="H40" s="84"/>
      <c r="I40" s="84"/>
      <c r="J40" s="84"/>
    </row>
    <row r="41" spans="1:10" s="27" customFormat="1">
      <c r="A41" s="84"/>
      <c r="B41" s="84" t="s">
        <v>116</v>
      </c>
      <c r="C41" s="84"/>
      <c r="D41" s="84"/>
      <c r="E41" s="84"/>
      <c r="F41" s="84"/>
      <c r="G41" s="84"/>
      <c r="H41" s="84"/>
      <c r="I41" s="84"/>
      <c r="J41" s="84"/>
    </row>
    <row r="42" spans="1:10" s="27" customFormat="1">
      <c r="A42" s="84"/>
      <c r="B42" s="84" t="s">
        <v>117</v>
      </c>
      <c r="C42" s="84"/>
      <c r="D42" s="84"/>
      <c r="E42" s="84"/>
      <c r="F42" s="84"/>
      <c r="G42" s="84"/>
      <c r="H42" s="84"/>
      <c r="I42" s="84"/>
      <c r="J42" s="84"/>
    </row>
    <row r="43" spans="1:10" s="27" customFormat="1">
      <c r="A43" s="84"/>
      <c r="B43" s="84" t="s">
        <v>118</v>
      </c>
      <c r="C43" s="84"/>
      <c r="D43" s="84"/>
      <c r="E43" s="84"/>
      <c r="F43" s="84"/>
      <c r="G43" s="84"/>
      <c r="H43" s="84"/>
      <c r="I43" s="84"/>
      <c r="J43" s="84"/>
    </row>
    <row r="44" spans="1:10" s="27" customFormat="1">
      <c r="A44" s="25"/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6" t="s">
        <v>120</v>
      </c>
      <c r="C45" s="70"/>
      <c r="D45" s="70"/>
      <c r="E45" s="25"/>
      <c r="F45" s="25"/>
      <c r="G45" s="25"/>
      <c r="H45" s="25"/>
      <c r="I45" s="25"/>
      <c r="J45" s="25"/>
    </row>
    <row r="46" spans="1:10">
      <c r="A46" s="25"/>
      <c r="B46" s="70" t="s">
        <v>121</v>
      </c>
      <c r="C46" s="25"/>
      <c r="D46" s="25"/>
      <c r="E46" s="72">
        <v>0.21</v>
      </c>
      <c r="F46" s="71"/>
      <c r="G46" s="25"/>
      <c r="H46" s="25"/>
      <c r="I46" s="25"/>
      <c r="J46" s="25"/>
    </row>
    <row r="47" spans="1:10">
      <c r="A47" s="25"/>
      <c r="B47" s="70" t="s">
        <v>122</v>
      </c>
      <c r="C47" s="25"/>
      <c r="D47" s="25"/>
      <c r="E47" s="73">
        <f>5%+(E46*-0.05)</f>
        <v>3.95E-2</v>
      </c>
      <c r="F47" s="71"/>
      <c r="G47" s="25"/>
      <c r="H47" s="25"/>
      <c r="I47" s="25"/>
      <c r="J47" s="25"/>
    </row>
    <row r="48" spans="1:10">
      <c r="A48" s="25"/>
      <c r="B48" s="70" t="s">
        <v>123</v>
      </c>
      <c r="C48" s="25"/>
      <c r="D48" s="25"/>
      <c r="E48" s="72">
        <f>SUM(E46:E47)</f>
        <v>0.2495</v>
      </c>
      <c r="F48" s="71"/>
      <c r="G48" s="25"/>
      <c r="H48" s="25"/>
      <c r="I48" s="25"/>
      <c r="J48" s="25"/>
    </row>
  </sheetData>
  <mergeCells count="3">
    <mergeCell ref="F2:H2"/>
    <mergeCell ref="L16:P16"/>
    <mergeCell ref="D29:E29"/>
  </mergeCells>
  <pageMargins left="0.25" right="0.25" top="0.75" bottom="0.75" header="0.3" footer="0.3"/>
  <pageSetup scale="66" orientation="landscape" r:id="rId1"/>
  <headerFooter>
    <oddHeader>&amp;RResponse to PSC 3-3
Page &amp;P of &amp;N
Witnesses: John Brown and
William Steven Seelye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44"/>
  <sheetViews>
    <sheetView view="pageBreakPreview" topLeftCell="A16" zoomScaleNormal="100" zoomScaleSheetLayoutView="100" workbookViewId="0">
      <selection activeCell="E44" sqref="E44"/>
    </sheetView>
  </sheetViews>
  <sheetFormatPr defaultColWidth="9.140625" defaultRowHeight="15"/>
  <cols>
    <col min="1" max="1" width="14.42578125" style="25" customWidth="1"/>
    <col min="2" max="2" width="18.5703125" style="25" bestFit="1" customWidth="1"/>
    <col min="3" max="4" width="12.7109375" style="25" customWidth="1"/>
    <col min="5" max="5" width="11.28515625" style="25" bestFit="1" customWidth="1"/>
    <col min="6" max="6" width="12.7109375" style="25" customWidth="1"/>
    <col min="7" max="7" width="12.42578125" style="25" bestFit="1" customWidth="1"/>
    <col min="8" max="8" width="13.140625" style="25" bestFit="1" customWidth="1"/>
    <col min="9" max="9" width="2.7109375" style="25" customWidth="1"/>
    <col min="10" max="10" width="10.7109375" style="25" customWidth="1"/>
    <col min="11" max="11" width="8.140625" style="25" bestFit="1" customWidth="1"/>
    <col min="12" max="12" width="12.7109375" style="25" customWidth="1"/>
    <col min="13" max="14" width="11.28515625" style="25" bestFit="1" customWidth="1"/>
    <col min="15" max="15" width="8.42578125" style="25" bestFit="1" customWidth="1"/>
    <col min="16" max="16" width="11.28515625" style="25" bestFit="1" customWidth="1"/>
    <col min="17" max="17" width="2.7109375" style="25" customWidth="1"/>
    <col min="18" max="18" width="13.7109375" style="25" bestFit="1" customWidth="1"/>
    <col min="19" max="19" width="7.7109375" style="25" bestFit="1" customWidth="1"/>
    <col min="20" max="20" width="7.42578125" style="25" bestFit="1" customWidth="1"/>
    <col min="21" max="16384" width="9.140625" style="25"/>
  </cols>
  <sheetData>
    <row r="1" spans="1:18">
      <c r="A1" s="22" t="s">
        <v>70</v>
      </c>
      <c r="B1" s="7">
        <v>2019</v>
      </c>
    </row>
    <row r="2" spans="1:18">
      <c r="A2" s="22" t="s">
        <v>72</v>
      </c>
      <c r="D2" s="14" t="s">
        <v>73</v>
      </c>
      <c r="F2" s="125" t="s">
        <v>75</v>
      </c>
      <c r="G2" s="125"/>
      <c r="H2" s="125"/>
    </row>
    <row r="3" spans="1:18">
      <c r="D3" s="16" t="s">
        <v>74</v>
      </c>
      <c r="F3" s="20"/>
      <c r="G3" s="14"/>
      <c r="H3" s="20"/>
      <c r="J3" s="23" t="s">
        <v>76</v>
      </c>
    </row>
    <row r="4" spans="1:18">
      <c r="C4" s="16">
        <v>2019</v>
      </c>
      <c r="D4" s="16" t="s">
        <v>77</v>
      </c>
      <c r="F4" s="16"/>
      <c r="G4" s="16" t="s">
        <v>78</v>
      </c>
      <c r="H4" s="16"/>
      <c r="J4" s="16" t="s">
        <v>79</v>
      </c>
      <c r="O4" s="16" t="s">
        <v>80</v>
      </c>
      <c r="P4" s="16" t="s">
        <v>80</v>
      </c>
    </row>
    <row r="5" spans="1:18">
      <c r="C5" s="123" t="s">
        <v>81</v>
      </c>
      <c r="D5" s="10">
        <v>4</v>
      </c>
      <c r="F5" s="123" t="s">
        <v>82</v>
      </c>
      <c r="G5" s="123" t="s">
        <v>83</v>
      </c>
      <c r="H5" s="123" t="s">
        <v>84</v>
      </c>
      <c r="J5" s="123" t="s">
        <v>85</v>
      </c>
      <c r="O5" s="123" t="s">
        <v>65</v>
      </c>
      <c r="P5" s="123" t="s">
        <v>86</v>
      </c>
    </row>
    <row r="6" spans="1:18">
      <c r="A6" s="25">
        <v>1</v>
      </c>
      <c r="B6" s="25" t="s">
        <v>87</v>
      </c>
      <c r="C6" s="100">
        <v>5352350</v>
      </c>
      <c r="D6" s="2">
        <v>3.1E-2</v>
      </c>
      <c r="F6" s="100">
        <v>-414807</v>
      </c>
      <c r="G6" s="18">
        <f>ROUND(IF(D$5=1,-0.5*D6*C6,-D6*C6),0)</f>
        <v>-165923</v>
      </c>
      <c r="H6" s="18">
        <f t="shared" ref="H6:H11" si="0">SUM(F6:G6)</f>
        <v>-580730</v>
      </c>
      <c r="J6" s="5">
        <f t="shared" ref="J6:J11" si="1">C6+H6</f>
        <v>4771620</v>
      </c>
      <c r="O6" s="11">
        <v>1E-4</v>
      </c>
      <c r="P6" s="17">
        <f>ROUND(IF(D$5=1,-0.5*O6*C6,-O6*C6),0)</f>
        <v>-535</v>
      </c>
    </row>
    <row r="7" spans="1:18">
      <c r="A7" s="25">
        <v>2</v>
      </c>
      <c r="B7" s="25" t="s">
        <v>88</v>
      </c>
      <c r="C7" s="100">
        <v>197537</v>
      </c>
      <c r="D7" s="2">
        <v>2.3300000000000001E-2</v>
      </c>
      <c r="F7" s="100">
        <v>-11507</v>
      </c>
      <c r="G7" s="18">
        <f>ROUND(IF(D$5=1,-0.5*D7*C7,-D7*C7),0)</f>
        <v>-4603</v>
      </c>
      <c r="H7" s="18">
        <f t="shared" si="0"/>
        <v>-16110</v>
      </c>
      <c r="J7" s="5">
        <f t="shared" si="1"/>
        <v>181427</v>
      </c>
      <c r="O7" s="11">
        <v>2.0000000000000001E-4</v>
      </c>
      <c r="P7" s="5">
        <f>ROUND(IF(D$5=1,-0.5*O7*C7,-O7*C7),0)</f>
        <v>-40</v>
      </c>
    </row>
    <row r="8" spans="1:18">
      <c r="A8" s="25">
        <v>3</v>
      </c>
      <c r="B8" s="25" t="s">
        <v>89</v>
      </c>
      <c r="C8" s="100">
        <v>274211</v>
      </c>
      <c r="D8" s="2">
        <v>2.69E-2</v>
      </c>
      <c r="F8" s="100">
        <v>-18440</v>
      </c>
      <c r="G8" s="18">
        <f>ROUND(IF(D$5=1,-0.5*D8*C8,-D8*C8),0)</f>
        <v>-7376</v>
      </c>
      <c r="H8" s="18">
        <f t="shared" si="0"/>
        <v>-25816</v>
      </c>
      <c r="J8" s="5">
        <f t="shared" si="1"/>
        <v>248395</v>
      </c>
      <c r="O8" s="11">
        <v>4.1999999999999997E-3</v>
      </c>
      <c r="P8" s="5">
        <f>ROUND(IF(D$5=1,-0.5*O8*C8,-O8*C8),0)</f>
        <v>-1152</v>
      </c>
    </row>
    <row r="9" spans="1:18">
      <c r="A9" s="25">
        <v>4</v>
      </c>
      <c r="B9" s="25" t="s">
        <v>90</v>
      </c>
      <c r="C9" s="100">
        <v>0</v>
      </c>
      <c r="D9" s="2">
        <v>2.2499999999999999E-2</v>
      </c>
      <c r="F9" s="100">
        <v>0</v>
      </c>
      <c r="G9" s="18">
        <f>ROUND(IF(D$5=1,-0.5*D9*C9,-D9*C9),0)</f>
        <v>0</v>
      </c>
      <c r="H9" s="18">
        <f t="shared" si="0"/>
        <v>0</v>
      </c>
      <c r="J9" s="5">
        <f t="shared" si="1"/>
        <v>0</v>
      </c>
      <c r="O9" s="11">
        <v>0</v>
      </c>
      <c r="P9" s="5">
        <f>IF(D$5=1,-0.5*O9*C9,-O9*C9)</f>
        <v>0</v>
      </c>
    </row>
    <row r="10" spans="1:18">
      <c r="A10" s="25">
        <v>5</v>
      </c>
      <c r="B10" s="25" t="s">
        <v>91</v>
      </c>
      <c r="C10" s="100">
        <v>0</v>
      </c>
      <c r="D10" s="2">
        <v>2.0500000000000001E-2</v>
      </c>
      <c r="F10" s="100">
        <v>0</v>
      </c>
      <c r="G10" s="18">
        <f>ROUND(IF(D$5=1,-0.5*D10*C10,-D10*C10),0)</f>
        <v>0</v>
      </c>
      <c r="H10" s="18">
        <f t="shared" si="0"/>
        <v>0</v>
      </c>
      <c r="J10" s="5">
        <f t="shared" si="1"/>
        <v>0</v>
      </c>
      <c r="O10" s="11">
        <v>0</v>
      </c>
      <c r="P10" s="5">
        <f>IF(D$5=1,-0.5*O10*C10,-O10*C10)</f>
        <v>0</v>
      </c>
    </row>
    <row r="11" spans="1:18">
      <c r="A11" s="25">
        <v>6</v>
      </c>
      <c r="B11" s="25" t="s">
        <v>92</v>
      </c>
      <c r="C11" s="101">
        <v>377580</v>
      </c>
      <c r="D11" s="3" t="s">
        <v>93</v>
      </c>
      <c r="F11" s="101">
        <v>-4318</v>
      </c>
      <c r="G11" s="21">
        <f>P12</f>
        <v>-1727</v>
      </c>
      <c r="H11" s="21">
        <f t="shared" si="0"/>
        <v>-6045</v>
      </c>
      <c r="J11" s="6">
        <f t="shared" si="1"/>
        <v>371535</v>
      </c>
      <c r="O11" s="24">
        <v>0</v>
      </c>
      <c r="P11" s="6">
        <f>IF(D$5=1,-0.5*O11*C11,-O11*C11)</f>
        <v>0</v>
      </c>
    </row>
    <row r="12" spans="1:18">
      <c r="C12" s="18">
        <f>SUM(C6:C11)</f>
        <v>6201678</v>
      </c>
      <c r="D12" s="18"/>
      <c r="F12" s="100">
        <f>SUM(F5:F11)</f>
        <v>-449072</v>
      </c>
      <c r="G12" s="18">
        <f>SUM(G5:G11)</f>
        <v>-179629</v>
      </c>
      <c r="H12" s="18">
        <f>SUM(H5:H11)</f>
        <v>-628701</v>
      </c>
      <c r="J12" s="5">
        <f>SUM(J6:J11)</f>
        <v>5572977</v>
      </c>
      <c r="O12" s="5"/>
      <c r="P12" s="17">
        <f>SUM(P5:P11)</f>
        <v>-1727</v>
      </c>
    </row>
    <row r="13" spans="1:18" ht="14.25" customHeight="1">
      <c r="C13" s="18"/>
      <c r="D13" s="18"/>
      <c r="E13" s="18"/>
      <c r="F13" s="18"/>
      <c r="M13" s="16"/>
      <c r="N13" s="20"/>
    </row>
    <row r="14" spans="1:18">
      <c r="M14" s="16"/>
      <c r="N14" s="20"/>
    </row>
    <row r="15" spans="1:18">
      <c r="D15" s="16"/>
    </row>
    <row r="16" spans="1:18" s="27" customFormat="1">
      <c r="A16" s="84"/>
      <c r="B16" s="84"/>
      <c r="C16" s="93"/>
      <c r="D16" s="95" t="s">
        <v>94</v>
      </c>
      <c r="E16" s="93"/>
      <c r="F16" s="93"/>
      <c r="G16" s="48">
        <v>0</v>
      </c>
      <c r="H16" s="93"/>
      <c r="I16" s="84"/>
      <c r="J16" s="49"/>
      <c r="K16" s="95" t="s">
        <v>95</v>
      </c>
      <c r="L16" s="124" t="s">
        <v>96</v>
      </c>
      <c r="M16" s="124"/>
      <c r="N16" s="124"/>
      <c r="O16" s="124"/>
      <c r="P16" s="124"/>
      <c r="Q16" s="84"/>
      <c r="R16" s="50" t="s">
        <v>97</v>
      </c>
    </row>
    <row r="17" spans="1:18" s="27" customFormat="1">
      <c r="A17" s="84"/>
      <c r="B17" s="84"/>
      <c r="C17" s="95" t="s">
        <v>76</v>
      </c>
      <c r="D17" s="95" t="s">
        <v>83</v>
      </c>
      <c r="E17" s="95" t="s">
        <v>97</v>
      </c>
      <c r="F17" s="95" t="s">
        <v>97</v>
      </c>
      <c r="G17" s="95" t="s">
        <v>98</v>
      </c>
      <c r="H17" s="95" t="s">
        <v>99</v>
      </c>
      <c r="I17" s="84"/>
      <c r="J17" s="95"/>
      <c r="K17" s="95" t="s">
        <v>100</v>
      </c>
      <c r="L17" s="95"/>
      <c r="M17" s="95" t="s">
        <v>97</v>
      </c>
      <c r="N17" s="95" t="s">
        <v>98</v>
      </c>
      <c r="O17" s="95" t="s">
        <v>95</v>
      </c>
      <c r="P17" s="95"/>
      <c r="Q17" s="84"/>
      <c r="R17" s="95" t="s">
        <v>79</v>
      </c>
    </row>
    <row r="18" spans="1:18" s="27" customFormat="1">
      <c r="A18" s="84"/>
      <c r="B18" s="84"/>
      <c r="C18" s="122" t="s">
        <v>81</v>
      </c>
      <c r="D18" s="122" t="s">
        <v>101</v>
      </c>
      <c r="E18" s="122" t="s">
        <v>83</v>
      </c>
      <c r="F18" s="122" t="s">
        <v>102</v>
      </c>
      <c r="G18" s="122" t="s">
        <v>78</v>
      </c>
      <c r="H18" s="122" t="s">
        <v>103</v>
      </c>
      <c r="I18" s="84"/>
      <c r="J18" s="122" t="s">
        <v>104</v>
      </c>
      <c r="K18" s="122">
        <f>D5</f>
        <v>4</v>
      </c>
      <c r="L18" s="122" t="s">
        <v>82</v>
      </c>
      <c r="M18" s="122" t="s">
        <v>83</v>
      </c>
      <c r="N18" s="122" t="s">
        <v>86</v>
      </c>
      <c r="O18" s="122" t="s">
        <v>86</v>
      </c>
      <c r="P18" s="122" t="s">
        <v>84</v>
      </c>
      <c r="Q18" s="84"/>
      <c r="R18" s="122" t="s">
        <v>85</v>
      </c>
    </row>
    <row r="19" spans="1:18" s="27" customFormat="1">
      <c r="A19" s="84">
        <v>7</v>
      </c>
      <c r="B19" s="84" t="s">
        <v>87</v>
      </c>
      <c r="C19" s="87">
        <f t="shared" ref="C19:C24" si="2">C6</f>
        <v>5352350</v>
      </c>
      <c r="D19" s="51">
        <v>0.93300000000000005</v>
      </c>
      <c r="E19" s="87">
        <f>ROUND(C19*-D19,0)</f>
        <v>-4993743</v>
      </c>
      <c r="F19" s="52">
        <f>C19+E19</f>
        <v>358607</v>
      </c>
      <c r="G19" s="52">
        <f t="shared" ref="G19:G24" si="3">ROUND(F19*-$G$16,0)</f>
        <v>0</v>
      </c>
      <c r="H19" s="53">
        <f t="shared" ref="H19:H24" si="4">F19+G19</f>
        <v>358607</v>
      </c>
      <c r="I19" s="84"/>
      <c r="J19" s="84">
        <v>15</v>
      </c>
      <c r="K19" s="54">
        <f>IFERROR(VLOOKUP(J19,'Tax Rates'!$A$1:$AA$12,$K$18+1,FALSE),0)</f>
        <v>7.6950000000000005E-2</v>
      </c>
      <c r="L19" s="102">
        <v>-5076402</v>
      </c>
      <c r="M19" s="52">
        <v>0</v>
      </c>
      <c r="N19" s="52">
        <f t="shared" ref="N19:N24" si="5">G19</f>
        <v>0</v>
      </c>
      <c r="O19" s="87">
        <f>ROUND(K19*-H19,0)</f>
        <v>-27595</v>
      </c>
      <c r="P19" s="55">
        <f t="shared" ref="P19:P24" si="6">SUM(L19:O19)</f>
        <v>-5103997</v>
      </c>
      <c r="Q19" s="84"/>
      <c r="R19" s="52">
        <f>C19+P19</f>
        <v>248353</v>
      </c>
    </row>
    <row r="20" spans="1:18" s="27" customFormat="1">
      <c r="A20" s="84">
        <v>8</v>
      </c>
      <c r="B20" s="84" t="s">
        <v>88</v>
      </c>
      <c r="C20" s="33">
        <f t="shared" si="2"/>
        <v>197537</v>
      </c>
      <c r="D20" s="56">
        <f>-E20/C20</f>
        <v>1</v>
      </c>
      <c r="E20" s="34">
        <v>-197537</v>
      </c>
      <c r="F20" s="52">
        <f>C20+E20</f>
        <v>0</v>
      </c>
      <c r="G20" s="52">
        <f t="shared" si="3"/>
        <v>0</v>
      </c>
      <c r="H20" s="53">
        <f t="shared" si="4"/>
        <v>0</v>
      </c>
      <c r="I20" s="84"/>
      <c r="J20" s="84">
        <v>15</v>
      </c>
      <c r="K20" s="54">
        <f>IFERROR(VLOOKUP(J20,'Tax Rates'!$A$1:$AA$12,$K$18+1,FALSE),0)</f>
        <v>7.6950000000000005E-2</v>
      </c>
      <c r="L20" s="102">
        <v>-197537</v>
      </c>
      <c r="M20" s="52">
        <v>0</v>
      </c>
      <c r="N20" s="52">
        <f t="shared" si="5"/>
        <v>0</v>
      </c>
      <c r="O20" s="87">
        <f>ROUND(K20*-H20,0)</f>
        <v>0</v>
      </c>
      <c r="P20" s="55">
        <f t="shared" si="6"/>
        <v>-197537</v>
      </c>
      <c r="Q20" s="84"/>
      <c r="R20" s="52">
        <f>C20+P20</f>
        <v>0</v>
      </c>
    </row>
    <row r="21" spans="1:18" s="27" customFormat="1">
      <c r="A21" s="84">
        <v>9</v>
      </c>
      <c r="B21" s="84" t="s">
        <v>89</v>
      </c>
      <c r="C21" s="33">
        <f t="shared" si="2"/>
        <v>274211</v>
      </c>
      <c r="D21" s="51">
        <v>1</v>
      </c>
      <c r="E21" s="87">
        <f>ROUND(C21*-D21,0)</f>
        <v>-274211</v>
      </c>
      <c r="F21" s="52">
        <f>C21+E21</f>
        <v>0</v>
      </c>
      <c r="G21" s="57">
        <f t="shared" si="3"/>
        <v>0</v>
      </c>
      <c r="H21" s="53">
        <f t="shared" si="4"/>
        <v>0</v>
      </c>
      <c r="I21" s="84"/>
      <c r="J21" s="84">
        <v>20</v>
      </c>
      <c r="K21" s="54">
        <f>IFERROR(VLOOKUP(J21,'Tax Rates'!$A$1:$AA$12,$K$18+1,FALSE),0)</f>
        <v>6.1769999999999999E-2</v>
      </c>
      <c r="L21" s="102">
        <v>-274211</v>
      </c>
      <c r="M21" s="52">
        <v>0</v>
      </c>
      <c r="N21" s="52">
        <f t="shared" si="5"/>
        <v>0</v>
      </c>
      <c r="O21" s="87">
        <f>ROUND(K21*-H21,0)</f>
        <v>0</v>
      </c>
      <c r="P21" s="55">
        <f t="shared" si="6"/>
        <v>-274211</v>
      </c>
      <c r="Q21" s="84"/>
      <c r="R21" s="52">
        <f>C21+P21</f>
        <v>0</v>
      </c>
    </row>
    <row r="22" spans="1:18" s="27" customFormat="1">
      <c r="A22" s="84">
        <v>10</v>
      </c>
      <c r="B22" s="84" t="s">
        <v>90</v>
      </c>
      <c r="C22" s="33">
        <f t="shared" si="2"/>
        <v>0</v>
      </c>
      <c r="D22" s="51">
        <v>0</v>
      </c>
      <c r="E22" s="87">
        <f>ROUND(C22*-D22,0)</f>
        <v>0</v>
      </c>
      <c r="F22" s="52">
        <f>C22+E22</f>
        <v>0</v>
      </c>
      <c r="G22" s="57">
        <f t="shared" si="3"/>
        <v>0</v>
      </c>
      <c r="H22" s="53">
        <f t="shared" si="4"/>
        <v>0</v>
      </c>
      <c r="I22" s="84"/>
      <c r="J22" s="84">
        <v>7</v>
      </c>
      <c r="K22" s="54">
        <f>IFERROR(VLOOKUP(J22,'Tax Rates'!$A$1:$AA$12,$K$18+1,FALSE),0)</f>
        <v>0.12495000000000001</v>
      </c>
      <c r="L22" s="102">
        <v>0</v>
      </c>
      <c r="M22" s="52">
        <f t="shared" ref="M22:M24" si="7">E22</f>
        <v>0</v>
      </c>
      <c r="N22" s="52">
        <f t="shared" si="5"/>
        <v>0</v>
      </c>
      <c r="O22" s="87">
        <f>ROUND(K22*-H22,0)</f>
        <v>0</v>
      </c>
      <c r="P22" s="55">
        <f t="shared" si="6"/>
        <v>0</v>
      </c>
      <c r="Q22" s="84"/>
      <c r="R22" s="52">
        <f>C22+P22</f>
        <v>0</v>
      </c>
    </row>
    <row r="23" spans="1:18" s="27" customFormat="1">
      <c r="A23" s="84">
        <v>11</v>
      </c>
      <c r="B23" s="84" t="s">
        <v>91</v>
      </c>
      <c r="C23" s="33">
        <f t="shared" si="2"/>
        <v>0</v>
      </c>
      <c r="D23" s="51">
        <v>0</v>
      </c>
      <c r="E23" s="87">
        <f>ROUND(C23*-D23,0)</f>
        <v>0</v>
      </c>
      <c r="F23" s="52">
        <f>C23+E23</f>
        <v>0</v>
      </c>
      <c r="G23" s="57">
        <f t="shared" si="3"/>
        <v>0</v>
      </c>
      <c r="H23" s="53">
        <f t="shared" si="4"/>
        <v>0</v>
      </c>
      <c r="I23" s="84"/>
      <c r="J23" s="84">
        <v>15</v>
      </c>
      <c r="K23" s="54">
        <f>IFERROR(VLOOKUP(J23,'Tax Rates'!$A$1:$AA$12,$K$18+1,FALSE),0)</f>
        <v>7.6950000000000005E-2</v>
      </c>
      <c r="L23" s="102">
        <v>0</v>
      </c>
      <c r="M23" s="52">
        <f t="shared" si="7"/>
        <v>0</v>
      </c>
      <c r="N23" s="52">
        <f t="shared" si="5"/>
        <v>0</v>
      </c>
      <c r="O23" s="87">
        <f>ROUND(K23*-H23,0)</f>
        <v>0</v>
      </c>
      <c r="P23" s="55">
        <f t="shared" si="6"/>
        <v>0</v>
      </c>
      <c r="Q23" s="84"/>
      <c r="R23" s="52">
        <f>C23+P23</f>
        <v>0</v>
      </c>
    </row>
    <row r="24" spans="1:18" s="27" customFormat="1">
      <c r="A24" s="84">
        <v>12</v>
      </c>
      <c r="B24" s="84" t="s">
        <v>92</v>
      </c>
      <c r="C24" s="88">
        <f t="shared" si="2"/>
        <v>377580</v>
      </c>
      <c r="D24" s="58" t="s">
        <v>105</v>
      </c>
      <c r="E24" s="88">
        <v>0</v>
      </c>
      <c r="F24" s="59">
        <v>0</v>
      </c>
      <c r="G24" s="59">
        <f t="shared" si="3"/>
        <v>0</v>
      </c>
      <c r="H24" s="60">
        <f t="shared" si="4"/>
        <v>0</v>
      </c>
      <c r="I24" s="84"/>
      <c r="J24" s="61" t="s">
        <v>105</v>
      </c>
      <c r="K24" s="62" t="s">
        <v>105</v>
      </c>
      <c r="L24" s="103">
        <v>0</v>
      </c>
      <c r="M24" s="59">
        <f t="shared" si="7"/>
        <v>0</v>
      </c>
      <c r="N24" s="63">
        <f t="shared" si="5"/>
        <v>0</v>
      </c>
      <c r="O24" s="88">
        <v>0</v>
      </c>
      <c r="P24" s="64">
        <f t="shared" si="6"/>
        <v>0</v>
      </c>
      <c r="Q24" s="84"/>
      <c r="R24" s="65" t="s">
        <v>105</v>
      </c>
    </row>
    <row r="25" spans="1:18" s="27" customFormat="1">
      <c r="A25" s="84"/>
      <c r="B25" s="84"/>
      <c r="C25" s="87">
        <f>SUM(C18:C24)</f>
        <v>6201678</v>
      </c>
      <c r="D25" s="84"/>
      <c r="E25" s="87">
        <f>SUM(E19:E24)</f>
        <v>-5465491</v>
      </c>
      <c r="F25" s="87">
        <f>SUM(F19:F24)</f>
        <v>358607</v>
      </c>
      <c r="G25" s="87">
        <f>SUM(G19:G24)</f>
        <v>0</v>
      </c>
      <c r="H25" s="55">
        <f>SUM(H19:H24)</f>
        <v>358607</v>
      </c>
      <c r="I25" s="84"/>
      <c r="J25" s="84"/>
      <c r="K25" s="84"/>
      <c r="L25" s="55">
        <f>SUM(L19:L24)</f>
        <v>-5548150</v>
      </c>
      <c r="M25" s="87">
        <f>SUM(M19:M24)</f>
        <v>0</v>
      </c>
      <c r="N25" s="87">
        <f>SUM(N19:N24)</f>
        <v>0</v>
      </c>
      <c r="O25" s="87">
        <f>SUM(O19:O24)</f>
        <v>-27595</v>
      </c>
      <c r="P25" s="55">
        <f>SUM(P19:P24)</f>
        <v>-5575745</v>
      </c>
      <c r="Q25" s="84"/>
      <c r="R25" s="52">
        <f>SUM(R19:R24)</f>
        <v>248353</v>
      </c>
    </row>
    <row r="26" spans="1:18" s="27" customFormat="1">
      <c r="A26" s="84"/>
      <c r="B26" s="84"/>
      <c r="C26" s="87"/>
      <c r="D26" s="84"/>
      <c r="E26" s="87"/>
      <c r="F26" s="87"/>
      <c r="G26" s="87"/>
      <c r="H26" s="55"/>
      <c r="I26" s="84"/>
      <c r="J26" s="55"/>
      <c r="K26" s="87"/>
      <c r="L26" s="87"/>
      <c r="M26" s="87"/>
      <c r="N26" s="55"/>
      <c r="O26" s="84"/>
      <c r="P26" s="84"/>
      <c r="Q26" s="84"/>
      <c r="R26" s="84"/>
    </row>
    <row r="27" spans="1:18" s="27" customForma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s="27" customFormat="1">
      <c r="A28" s="84"/>
      <c r="B28" s="84"/>
      <c r="C28" s="84"/>
      <c r="D28" s="84"/>
      <c r="E28" s="87"/>
      <c r="F28" s="50" t="s">
        <v>106</v>
      </c>
      <c r="G28" s="66"/>
      <c r="H28" s="67"/>
      <c r="I28" s="84"/>
      <c r="J28" s="84"/>
      <c r="K28" s="84"/>
      <c r="L28" s="84"/>
      <c r="M28" s="84"/>
      <c r="N28" s="84"/>
      <c r="O28" s="84"/>
      <c r="P28" s="84"/>
      <c r="Q28" s="84"/>
      <c r="R28" s="84"/>
    </row>
    <row r="29" spans="1:18" s="27" customFormat="1">
      <c r="A29" s="84"/>
      <c r="B29" s="84"/>
      <c r="C29" s="84"/>
      <c r="D29" s="124" t="s">
        <v>107</v>
      </c>
      <c r="E29" s="124"/>
      <c r="F29" s="50" t="s">
        <v>108</v>
      </c>
      <c r="G29" s="50" t="s">
        <v>109</v>
      </c>
      <c r="H29" s="95" t="s">
        <v>110</v>
      </c>
      <c r="I29" s="84"/>
      <c r="J29" s="84"/>
      <c r="K29" s="84"/>
      <c r="L29" s="84"/>
      <c r="M29" s="84"/>
      <c r="N29" s="84"/>
      <c r="O29" s="84"/>
      <c r="P29" s="84"/>
      <c r="Q29" s="84"/>
      <c r="R29" s="84"/>
    </row>
    <row r="30" spans="1:18" s="27" customFormat="1">
      <c r="A30" s="84"/>
      <c r="B30" s="84"/>
      <c r="C30" s="84"/>
      <c r="D30" s="122" t="s">
        <v>76</v>
      </c>
      <c r="E30" s="122" t="s">
        <v>97</v>
      </c>
      <c r="F30" s="122" t="s">
        <v>5</v>
      </c>
      <c r="G30" s="122" t="s">
        <v>65</v>
      </c>
      <c r="H30" s="122" t="s">
        <v>111</v>
      </c>
      <c r="I30" s="84"/>
      <c r="J30" s="84"/>
      <c r="K30" s="84"/>
      <c r="L30" s="84"/>
      <c r="M30" s="84"/>
      <c r="N30" s="84"/>
      <c r="O30" s="84"/>
      <c r="P30" s="84"/>
      <c r="Q30" s="84"/>
      <c r="R30" s="84"/>
    </row>
    <row r="31" spans="1:18" s="27" customFormat="1">
      <c r="A31" s="84">
        <v>13</v>
      </c>
      <c r="B31" s="84" t="s">
        <v>87</v>
      </c>
      <c r="C31" s="84"/>
      <c r="D31" s="52">
        <f>J6</f>
        <v>4771620</v>
      </c>
      <c r="E31" s="52">
        <f>R19</f>
        <v>248353</v>
      </c>
      <c r="F31" s="52">
        <f>E31-D31</f>
        <v>-4523267</v>
      </c>
      <c r="G31" s="68">
        <v>0.2495</v>
      </c>
      <c r="H31" s="52">
        <f>ROUND(F31*G31,0)</f>
        <v>-1128555</v>
      </c>
      <c r="I31" s="84"/>
      <c r="J31" s="84"/>
      <c r="K31" s="84"/>
      <c r="L31" s="84"/>
      <c r="M31" s="84"/>
      <c r="N31" s="84"/>
      <c r="O31" s="84"/>
      <c r="P31" s="84"/>
      <c r="Q31" s="84"/>
      <c r="R31" s="84"/>
    </row>
    <row r="32" spans="1:18" s="27" customFormat="1">
      <c r="A32" s="84">
        <v>14</v>
      </c>
      <c r="B32" s="84" t="s">
        <v>88</v>
      </c>
      <c r="C32" s="84"/>
      <c r="D32" s="57">
        <f t="shared" ref="D32:D36" si="8">J7</f>
        <v>181427</v>
      </c>
      <c r="E32" s="52">
        <f t="shared" ref="E32:E36" si="9">R20</f>
        <v>0</v>
      </c>
      <c r="F32" s="52">
        <f>E32-D32</f>
        <v>-181427</v>
      </c>
      <c r="G32" s="67">
        <f>G31</f>
        <v>0.2495</v>
      </c>
      <c r="H32" s="52">
        <f t="shared" ref="H32:H36" si="10">ROUND(F32*G32,0)</f>
        <v>-45266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</row>
    <row r="33" spans="1:10" s="27" customFormat="1">
      <c r="A33" s="84">
        <v>15</v>
      </c>
      <c r="B33" s="84" t="s">
        <v>89</v>
      </c>
      <c r="C33" s="84"/>
      <c r="D33" s="57">
        <f t="shared" si="8"/>
        <v>248395</v>
      </c>
      <c r="E33" s="52">
        <f t="shared" si="9"/>
        <v>0</v>
      </c>
      <c r="F33" s="52">
        <f>E33-D33</f>
        <v>-248395</v>
      </c>
      <c r="G33" s="67">
        <f>G31</f>
        <v>0.2495</v>
      </c>
      <c r="H33" s="52">
        <f t="shared" si="10"/>
        <v>-61975</v>
      </c>
      <c r="I33" s="84"/>
      <c r="J33" s="84"/>
    </row>
    <row r="34" spans="1:10" s="27" customFormat="1">
      <c r="A34" s="84">
        <v>16</v>
      </c>
      <c r="B34" s="84" t="s">
        <v>90</v>
      </c>
      <c r="C34" s="84"/>
      <c r="D34" s="57">
        <f t="shared" si="8"/>
        <v>0</v>
      </c>
      <c r="E34" s="52">
        <f t="shared" si="9"/>
        <v>0</v>
      </c>
      <c r="F34" s="52">
        <f>E34-D34</f>
        <v>0</v>
      </c>
      <c r="G34" s="67">
        <f>G31</f>
        <v>0.2495</v>
      </c>
      <c r="H34" s="52">
        <f t="shared" si="10"/>
        <v>0</v>
      </c>
      <c r="I34" s="84"/>
      <c r="J34" s="84"/>
    </row>
    <row r="35" spans="1:10" s="27" customFormat="1">
      <c r="A35" s="84">
        <v>17</v>
      </c>
      <c r="B35" s="84" t="s">
        <v>91</v>
      </c>
      <c r="C35" s="84"/>
      <c r="D35" s="57">
        <f t="shared" si="8"/>
        <v>0</v>
      </c>
      <c r="E35" s="52">
        <f t="shared" si="9"/>
        <v>0</v>
      </c>
      <c r="F35" s="52">
        <f>E35-D35</f>
        <v>0</v>
      </c>
      <c r="G35" s="67">
        <f>G31</f>
        <v>0.2495</v>
      </c>
      <c r="H35" s="52">
        <f t="shared" si="10"/>
        <v>0</v>
      </c>
      <c r="I35" s="84"/>
      <c r="J35" s="84"/>
    </row>
    <row r="36" spans="1:10" s="27" customFormat="1">
      <c r="A36" s="84">
        <v>18</v>
      </c>
      <c r="B36" s="84" t="s">
        <v>92</v>
      </c>
      <c r="C36" s="84"/>
      <c r="D36" s="59">
        <f t="shared" si="8"/>
        <v>371535</v>
      </c>
      <c r="E36" s="65" t="str">
        <f t="shared" si="9"/>
        <v>NA</v>
      </c>
      <c r="F36" s="59">
        <f>-D36</f>
        <v>-371535</v>
      </c>
      <c r="G36" s="69">
        <f>G31</f>
        <v>0.2495</v>
      </c>
      <c r="H36" s="59">
        <f t="shared" si="10"/>
        <v>-92698</v>
      </c>
      <c r="I36" s="84"/>
      <c r="J36" s="84"/>
    </row>
    <row r="37" spans="1:10" s="27" customFormat="1">
      <c r="A37" s="84"/>
      <c r="B37" s="84"/>
      <c r="C37" s="84"/>
      <c r="D37" s="52">
        <f>SUM(D31:D36)</f>
        <v>5572977</v>
      </c>
      <c r="E37" s="52">
        <f>SUM(E31:E36)</f>
        <v>248353</v>
      </c>
      <c r="F37" s="52">
        <f>SUM(F31:F36)</f>
        <v>-5324624</v>
      </c>
      <c r="G37" s="84"/>
      <c r="H37" s="52">
        <f>SUM(H31:H36)</f>
        <v>-1328494</v>
      </c>
      <c r="I37" s="84"/>
      <c r="J37" s="84"/>
    </row>
    <row r="39" spans="1:10" s="27" customFormat="1">
      <c r="A39" s="74" t="s">
        <v>73</v>
      </c>
      <c r="B39" s="84" t="s">
        <v>112</v>
      </c>
      <c r="C39" s="84"/>
      <c r="D39" s="84"/>
      <c r="E39" s="84"/>
      <c r="F39" s="84"/>
      <c r="G39" s="84"/>
      <c r="H39" s="84"/>
      <c r="I39" s="84"/>
      <c r="J39" s="84"/>
    </row>
    <row r="40" spans="1:10" s="27" customFormat="1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s="27" customFormat="1">
      <c r="A41" s="25"/>
      <c r="B41" s="26"/>
      <c r="C41" s="70"/>
      <c r="D41" s="70"/>
      <c r="E41" s="25"/>
      <c r="F41" s="25"/>
      <c r="G41" s="25"/>
      <c r="H41" s="25"/>
      <c r="I41" s="25"/>
      <c r="J41" s="25"/>
    </row>
    <row r="42" spans="1:10" s="27" customFormat="1">
      <c r="A42" s="25"/>
      <c r="B42" s="70"/>
      <c r="C42" s="25"/>
      <c r="D42" s="25"/>
      <c r="E42" s="72"/>
      <c r="F42" s="71"/>
      <c r="G42" s="25"/>
      <c r="H42" s="25"/>
      <c r="I42" s="25"/>
      <c r="J42" s="25"/>
    </row>
    <row r="43" spans="1:10" s="27" customFormat="1">
      <c r="A43" s="25"/>
      <c r="B43" s="70"/>
      <c r="C43" s="25"/>
      <c r="D43" s="25"/>
      <c r="E43" s="121"/>
      <c r="F43" s="71"/>
      <c r="G43" s="25"/>
      <c r="H43" s="25"/>
      <c r="I43" s="25"/>
      <c r="J43" s="25"/>
    </row>
    <row r="44" spans="1:10" s="27" customFormat="1">
      <c r="A44" s="25"/>
      <c r="B44" s="70"/>
      <c r="C44" s="25"/>
      <c r="D44" s="25"/>
      <c r="E44" s="72"/>
      <c r="F44" s="71"/>
      <c r="G44" s="25"/>
      <c r="H44" s="25"/>
      <c r="I44" s="25"/>
      <c r="J44" s="25"/>
    </row>
  </sheetData>
  <mergeCells count="3">
    <mergeCell ref="F2:H2"/>
    <mergeCell ref="L16:P16"/>
    <mergeCell ref="D29:E29"/>
  </mergeCells>
  <pageMargins left="0.25" right="0.25" top="0.75" bottom="0.75" header="0.3" footer="0.3"/>
  <pageSetup scale="66" orientation="landscape" r:id="rId1"/>
  <headerFooter>
    <oddHeader>&amp;RResponse to PSC 3-3
Page &amp;P of &amp;N
Witnesses: John Brown and
William Steven Seelye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45"/>
  <sheetViews>
    <sheetView view="pageBreakPreview" topLeftCell="A16" zoomScaleNormal="100" zoomScaleSheetLayoutView="100" workbookViewId="0">
      <selection activeCell="E44" sqref="E44"/>
    </sheetView>
  </sheetViews>
  <sheetFormatPr defaultColWidth="9.140625" defaultRowHeight="15"/>
  <cols>
    <col min="1" max="1" width="14.42578125" style="25" customWidth="1"/>
    <col min="2" max="2" width="18.5703125" style="25" bestFit="1" customWidth="1"/>
    <col min="3" max="4" width="12.7109375" style="25" customWidth="1"/>
    <col min="5" max="5" width="11.28515625" style="25" bestFit="1" customWidth="1"/>
    <col min="6" max="6" width="12.7109375" style="25" customWidth="1"/>
    <col min="7" max="7" width="12.42578125" style="25" bestFit="1" customWidth="1"/>
    <col min="8" max="8" width="13.140625" style="25" bestFit="1" customWidth="1"/>
    <col min="9" max="9" width="2.7109375" style="25" customWidth="1"/>
    <col min="10" max="10" width="10.7109375" style="25" customWidth="1"/>
    <col min="11" max="11" width="8.140625" style="25" bestFit="1" customWidth="1"/>
    <col min="12" max="12" width="12.7109375" style="25" customWidth="1"/>
    <col min="13" max="14" width="11.28515625" style="25" bestFit="1" customWidth="1"/>
    <col min="15" max="15" width="9.7109375" style="25" bestFit="1" customWidth="1"/>
    <col min="16" max="16" width="11.28515625" style="25" bestFit="1" customWidth="1"/>
    <col min="17" max="17" width="2.7109375" style="25" customWidth="1"/>
    <col min="18" max="18" width="13.7109375" style="25" bestFit="1" customWidth="1"/>
    <col min="19" max="19" width="7.7109375" style="25" bestFit="1" customWidth="1"/>
    <col min="20" max="20" width="7.42578125" style="25" bestFit="1" customWidth="1"/>
    <col min="21" max="16384" width="9.140625" style="25"/>
  </cols>
  <sheetData>
    <row r="1" spans="1:18">
      <c r="A1" s="22" t="s">
        <v>70</v>
      </c>
      <c r="B1" s="7">
        <v>2020</v>
      </c>
    </row>
    <row r="2" spans="1:18">
      <c r="A2" s="22" t="s">
        <v>72</v>
      </c>
      <c r="D2" s="14" t="s">
        <v>73</v>
      </c>
      <c r="F2" s="125" t="s">
        <v>75</v>
      </c>
      <c r="G2" s="125"/>
      <c r="H2" s="125"/>
    </row>
    <row r="3" spans="1:18">
      <c r="D3" s="16" t="s">
        <v>74</v>
      </c>
      <c r="F3" s="20"/>
      <c r="G3" s="14"/>
      <c r="H3" s="20"/>
      <c r="J3" s="23" t="s">
        <v>76</v>
      </c>
    </row>
    <row r="4" spans="1:18">
      <c r="C4" s="16">
        <v>2020</v>
      </c>
      <c r="D4" s="16" t="s">
        <v>77</v>
      </c>
      <c r="F4" s="16"/>
      <c r="G4" s="16" t="s">
        <v>78</v>
      </c>
      <c r="H4" s="16"/>
      <c r="J4" s="16" t="s">
        <v>79</v>
      </c>
      <c r="O4" s="16" t="s">
        <v>80</v>
      </c>
      <c r="P4" s="16" t="s">
        <v>80</v>
      </c>
    </row>
    <row r="5" spans="1:18">
      <c r="C5" s="123" t="s">
        <v>81</v>
      </c>
      <c r="D5" s="10">
        <v>3</v>
      </c>
      <c r="F5" s="123" t="s">
        <v>82</v>
      </c>
      <c r="G5" s="123" t="s">
        <v>83</v>
      </c>
      <c r="H5" s="123" t="s">
        <v>84</v>
      </c>
      <c r="J5" s="123" t="s">
        <v>85</v>
      </c>
      <c r="O5" s="123" t="s">
        <v>65</v>
      </c>
      <c r="P5" s="123" t="s">
        <v>86</v>
      </c>
    </row>
    <row r="6" spans="1:18">
      <c r="A6" s="25">
        <v>1</v>
      </c>
      <c r="B6" s="25" t="s">
        <v>87</v>
      </c>
      <c r="C6" s="100">
        <v>5358074</v>
      </c>
      <c r="D6" s="2">
        <v>3.1E-2</v>
      </c>
      <c r="F6" s="100">
        <v>-249150</v>
      </c>
      <c r="G6" s="18">
        <f>ROUND(IF(D$5=1,-0.5*D6*C6,-D6*C6),0)</f>
        <v>-166100</v>
      </c>
      <c r="H6" s="18">
        <f t="shared" ref="H6:H11" si="0">SUM(F6:G6)</f>
        <v>-415250</v>
      </c>
      <c r="J6" s="5">
        <f t="shared" ref="J6:J11" si="1">C6+H6</f>
        <v>4942824</v>
      </c>
      <c r="O6" s="11">
        <v>1E-4</v>
      </c>
      <c r="P6" s="17">
        <f>ROUND(IF(D$5=1,-0.5*O6*C6,-O6*C6),0)</f>
        <v>-536</v>
      </c>
    </row>
    <row r="7" spans="1:18">
      <c r="A7" s="25">
        <v>2</v>
      </c>
      <c r="B7" s="25" t="s">
        <v>88</v>
      </c>
      <c r="C7" s="100">
        <v>0</v>
      </c>
      <c r="D7" s="2">
        <v>2.3300000000000001E-2</v>
      </c>
      <c r="F7" s="100">
        <v>0</v>
      </c>
      <c r="G7" s="18">
        <f>ROUND(IF(D$5=1,-0.5*D7*C7,-D7*C7),0)</f>
        <v>0</v>
      </c>
      <c r="H7" s="18">
        <f t="shared" si="0"/>
        <v>0</v>
      </c>
      <c r="J7" s="5">
        <f t="shared" si="1"/>
        <v>0</v>
      </c>
      <c r="O7" s="11">
        <v>2.0000000000000001E-4</v>
      </c>
      <c r="P7" s="5">
        <f>ROUND(IF(D$5=1,-0.5*O7*C7,-O7*C7),0)</f>
        <v>0</v>
      </c>
    </row>
    <row r="8" spans="1:18">
      <c r="A8" s="25">
        <v>3</v>
      </c>
      <c r="B8" s="25" t="s">
        <v>89</v>
      </c>
      <c r="C8" s="100">
        <v>386910</v>
      </c>
      <c r="D8" s="2">
        <v>2.69E-2</v>
      </c>
      <c r="F8" s="100">
        <v>-15612</v>
      </c>
      <c r="G8" s="18">
        <f>ROUND(IF(D$5=1,-0.5*D8*C8,-D8*C8),0)</f>
        <v>-10408</v>
      </c>
      <c r="H8" s="18">
        <f t="shared" si="0"/>
        <v>-26020</v>
      </c>
      <c r="J8" s="5">
        <f t="shared" si="1"/>
        <v>360890</v>
      </c>
      <c r="O8" s="11">
        <v>4.1999999999999997E-3</v>
      </c>
      <c r="P8" s="5">
        <f>ROUND(IF(D$5=1,-0.5*O8*C8,-O8*C8),0)</f>
        <v>-1625</v>
      </c>
    </row>
    <row r="9" spans="1:18">
      <c r="A9" s="25">
        <v>4</v>
      </c>
      <c r="B9" s="25" t="s">
        <v>90</v>
      </c>
      <c r="C9" s="100">
        <v>0</v>
      </c>
      <c r="D9" s="2">
        <v>2.2499999999999999E-2</v>
      </c>
      <c r="F9" s="100">
        <v>0</v>
      </c>
      <c r="G9" s="18">
        <f>ROUND(IF(D$5=1,-0.5*D9*C9,-D9*C9),0)</f>
        <v>0</v>
      </c>
      <c r="H9" s="18">
        <f t="shared" si="0"/>
        <v>0</v>
      </c>
      <c r="J9" s="5">
        <f t="shared" si="1"/>
        <v>0</v>
      </c>
      <c r="O9" s="11">
        <v>0</v>
      </c>
      <c r="P9" s="5">
        <f>IF(D$5=1,-0.5*O9*C9,-O9*C9)</f>
        <v>0</v>
      </c>
    </row>
    <row r="10" spans="1:18">
      <c r="A10" s="25">
        <v>5</v>
      </c>
      <c r="B10" s="25" t="s">
        <v>91</v>
      </c>
      <c r="C10" s="100">
        <v>0</v>
      </c>
      <c r="D10" s="2">
        <v>2.0500000000000001E-2</v>
      </c>
      <c r="F10" s="100">
        <v>0</v>
      </c>
      <c r="G10" s="18">
        <f>ROUND(IF(D$5=1,-0.5*D10*C10,-D10*C10),0)</f>
        <v>0</v>
      </c>
      <c r="H10" s="18">
        <f t="shared" si="0"/>
        <v>0</v>
      </c>
      <c r="J10" s="5">
        <f t="shared" si="1"/>
        <v>0</v>
      </c>
      <c r="O10" s="11">
        <v>0</v>
      </c>
      <c r="P10" s="5">
        <f>IF(D$5=1,-0.5*O10*C10,-O10*C10)</f>
        <v>0</v>
      </c>
    </row>
    <row r="11" spans="1:18">
      <c r="A11" s="25">
        <v>6</v>
      </c>
      <c r="B11" s="25" t="s">
        <v>92</v>
      </c>
      <c r="C11" s="101">
        <v>253736</v>
      </c>
      <c r="D11" s="3" t="s">
        <v>93</v>
      </c>
      <c r="F11" s="101">
        <v>-3242</v>
      </c>
      <c r="G11" s="21">
        <f>P12</f>
        <v>-2161</v>
      </c>
      <c r="H11" s="21">
        <f t="shared" si="0"/>
        <v>-5403</v>
      </c>
      <c r="J11" s="6">
        <f t="shared" si="1"/>
        <v>248333</v>
      </c>
      <c r="O11" s="24">
        <v>0</v>
      </c>
      <c r="P11" s="6">
        <f>IF(D$5=1,-0.5*O11*C11,-O11*C11)</f>
        <v>0</v>
      </c>
    </row>
    <row r="12" spans="1:18">
      <c r="C12" s="18">
        <f>SUM(C6:C11)</f>
        <v>5998720</v>
      </c>
      <c r="D12" s="18"/>
      <c r="F12" s="100">
        <f>SUM(F5:F11)</f>
        <v>-268004</v>
      </c>
      <c r="G12" s="18">
        <f>SUM(G5:G11)</f>
        <v>-178669</v>
      </c>
      <c r="H12" s="18">
        <f>SUM(H5:H11)</f>
        <v>-446673</v>
      </c>
      <c r="J12" s="5">
        <f>SUM(J6:J11)</f>
        <v>5552047</v>
      </c>
      <c r="O12" s="5"/>
      <c r="P12" s="17">
        <f>SUM(P5:P11)</f>
        <v>-2161</v>
      </c>
    </row>
    <row r="13" spans="1:18" ht="14.25" customHeight="1">
      <c r="C13" s="18"/>
      <c r="D13" s="18"/>
      <c r="E13" s="18"/>
      <c r="F13" s="18"/>
      <c r="M13" s="16"/>
      <c r="N13" s="20"/>
    </row>
    <row r="14" spans="1:18">
      <c r="M14" s="16"/>
      <c r="N14" s="20"/>
    </row>
    <row r="15" spans="1:18">
      <c r="D15" s="16"/>
    </row>
    <row r="16" spans="1:18" s="27" customFormat="1">
      <c r="A16" s="84"/>
      <c r="B16" s="84"/>
      <c r="C16" s="93"/>
      <c r="D16" s="95" t="s">
        <v>94</v>
      </c>
      <c r="E16" s="93"/>
      <c r="F16" s="93"/>
      <c r="G16" s="48">
        <v>0</v>
      </c>
      <c r="H16" s="93"/>
      <c r="I16" s="84"/>
      <c r="J16" s="49"/>
      <c r="K16" s="95" t="s">
        <v>95</v>
      </c>
      <c r="L16" s="124" t="s">
        <v>96</v>
      </c>
      <c r="M16" s="124"/>
      <c r="N16" s="124"/>
      <c r="O16" s="124"/>
      <c r="P16" s="124"/>
      <c r="Q16" s="84"/>
      <c r="R16" s="50" t="s">
        <v>97</v>
      </c>
    </row>
    <row r="17" spans="1:18" s="27" customFormat="1">
      <c r="A17" s="84"/>
      <c r="B17" s="84"/>
      <c r="C17" s="95" t="s">
        <v>76</v>
      </c>
      <c r="D17" s="95" t="s">
        <v>83</v>
      </c>
      <c r="E17" s="95" t="s">
        <v>97</v>
      </c>
      <c r="F17" s="95" t="s">
        <v>97</v>
      </c>
      <c r="G17" s="95" t="s">
        <v>98</v>
      </c>
      <c r="H17" s="95" t="s">
        <v>99</v>
      </c>
      <c r="I17" s="84"/>
      <c r="J17" s="95"/>
      <c r="K17" s="95" t="s">
        <v>100</v>
      </c>
      <c r="L17" s="95"/>
      <c r="M17" s="95" t="s">
        <v>97</v>
      </c>
      <c r="N17" s="95" t="s">
        <v>98</v>
      </c>
      <c r="O17" s="95" t="s">
        <v>95</v>
      </c>
      <c r="P17" s="95"/>
      <c r="Q17" s="84"/>
      <c r="R17" s="95" t="s">
        <v>79</v>
      </c>
    </row>
    <row r="18" spans="1:18" s="27" customFormat="1">
      <c r="A18" s="84"/>
      <c r="B18" s="84"/>
      <c r="C18" s="122" t="s">
        <v>81</v>
      </c>
      <c r="D18" s="122" t="s">
        <v>101</v>
      </c>
      <c r="E18" s="122" t="s">
        <v>83</v>
      </c>
      <c r="F18" s="122" t="s">
        <v>102</v>
      </c>
      <c r="G18" s="122" t="s">
        <v>78</v>
      </c>
      <c r="H18" s="122" t="s">
        <v>103</v>
      </c>
      <c r="I18" s="84"/>
      <c r="J18" s="122" t="s">
        <v>104</v>
      </c>
      <c r="K18" s="122">
        <f>D5</f>
        <v>3</v>
      </c>
      <c r="L18" s="122" t="s">
        <v>82</v>
      </c>
      <c r="M18" s="122" t="s">
        <v>83</v>
      </c>
      <c r="N18" s="122" t="s">
        <v>86</v>
      </c>
      <c r="O18" s="122" t="s">
        <v>86</v>
      </c>
      <c r="P18" s="122" t="s">
        <v>84</v>
      </c>
      <c r="Q18" s="84"/>
      <c r="R18" s="122" t="s">
        <v>85</v>
      </c>
    </row>
    <row r="19" spans="1:18" s="27" customFormat="1">
      <c r="A19" s="84">
        <v>7</v>
      </c>
      <c r="B19" s="84" t="s">
        <v>87</v>
      </c>
      <c r="C19" s="87">
        <f t="shared" ref="C19:C24" si="2">C6</f>
        <v>5358074</v>
      </c>
      <c r="D19" s="56">
        <v>0.74450000000000005</v>
      </c>
      <c r="E19" s="87">
        <f>ROUND(C19*-D19,0)</f>
        <v>-3989086</v>
      </c>
      <c r="F19" s="52">
        <f>C19+E19</f>
        <v>1368988</v>
      </c>
      <c r="G19" s="52">
        <f t="shared" ref="G19:G24" si="3">ROUND(F19*-$G$16,0)</f>
        <v>0</v>
      </c>
      <c r="H19" s="53">
        <f t="shared" ref="H19:H24" si="4">F19+G19</f>
        <v>1368988</v>
      </c>
      <c r="I19" s="84"/>
      <c r="J19" s="84">
        <v>15</v>
      </c>
      <c r="K19" s="54">
        <f>IFERROR(VLOOKUP(J19,'Tax Rates'!$A$1:$AA$12,$K$18+1,FALSE),0)</f>
        <v>8.5500000000000007E-2</v>
      </c>
      <c r="L19" s="102">
        <v>-4187589</v>
      </c>
      <c r="M19" s="52">
        <v>0</v>
      </c>
      <c r="N19" s="52">
        <f t="shared" ref="N19:N24" si="5">G19</f>
        <v>0</v>
      </c>
      <c r="O19" s="87">
        <f>ROUND(K19*-H19,0)</f>
        <v>-117048</v>
      </c>
      <c r="P19" s="55">
        <f>SUM(L19:O19)</f>
        <v>-4304637</v>
      </c>
      <c r="Q19" s="84"/>
      <c r="R19" s="52">
        <f>C19+P19</f>
        <v>1053437</v>
      </c>
    </row>
    <row r="20" spans="1:18" s="27" customFormat="1">
      <c r="A20" s="84">
        <v>8</v>
      </c>
      <c r="B20" s="84" t="s">
        <v>88</v>
      </c>
      <c r="C20" s="33">
        <v>0</v>
      </c>
      <c r="D20" s="56">
        <f>IF(C20=0,0,-E20/C20)</f>
        <v>0</v>
      </c>
      <c r="E20" s="34">
        <v>0</v>
      </c>
      <c r="F20" s="52">
        <f>C20+E20</f>
        <v>0</v>
      </c>
      <c r="G20" s="52">
        <f t="shared" si="3"/>
        <v>0</v>
      </c>
      <c r="H20" s="53">
        <f t="shared" si="4"/>
        <v>0</v>
      </c>
      <c r="I20" s="84"/>
      <c r="J20" s="84">
        <v>15</v>
      </c>
      <c r="K20" s="54">
        <f>IFERROR(VLOOKUP(J20,'Tax Rates'!$A$1:$AA$12,$K$18+1,FALSE),0)</f>
        <v>8.5500000000000007E-2</v>
      </c>
      <c r="L20" s="102">
        <v>0</v>
      </c>
      <c r="M20" s="52">
        <f t="shared" ref="M20:M24" si="6">E20</f>
        <v>0</v>
      </c>
      <c r="N20" s="52">
        <f t="shared" si="5"/>
        <v>0</v>
      </c>
      <c r="O20" s="87">
        <f>ROUND(K20*-H20,0)</f>
        <v>0</v>
      </c>
      <c r="P20" s="55">
        <f t="shared" ref="P20:P24" si="7">SUM(L20:O20)</f>
        <v>0</v>
      </c>
      <c r="Q20" s="84"/>
      <c r="R20" s="52">
        <f>C20+P20</f>
        <v>0</v>
      </c>
    </row>
    <row r="21" spans="1:18" s="27" customFormat="1">
      <c r="A21" s="84">
        <v>9</v>
      </c>
      <c r="B21" s="84" t="s">
        <v>89</v>
      </c>
      <c r="C21" s="33">
        <f t="shared" si="2"/>
        <v>386910</v>
      </c>
      <c r="D21" s="51">
        <v>1</v>
      </c>
      <c r="E21" s="87">
        <f>ROUND(C21*-D21,0)</f>
        <v>-386910</v>
      </c>
      <c r="F21" s="52">
        <f>C21+E21</f>
        <v>0</v>
      </c>
      <c r="G21" s="57">
        <f t="shared" si="3"/>
        <v>0</v>
      </c>
      <c r="H21" s="53">
        <f t="shared" si="4"/>
        <v>0</v>
      </c>
      <c r="I21" s="84"/>
      <c r="J21" s="84">
        <v>20</v>
      </c>
      <c r="K21" s="54">
        <f>IFERROR(VLOOKUP(J21,'Tax Rates'!$A$1:$AA$12,$K$18+1,FALSE),0)</f>
        <v>6.6769999999999996E-2</v>
      </c>
      <c r="L21" s="102">
        <v>-386910</v>
      </c>
      <c r="M21" s="52">
        <v>0</v>
      </c>
      <c r="N21" s="52">
        <f t="shared" si="5"/>
        <v>0</v>
      </c>
      <c r="O21" s="87">
        <f>ROUND(K21*-H21,0)</f>
        <v>0</v>
      </c>
      <c r="P21" s="55">
        <f t="shared" si="7"/>
        <v>-386910</v>
      </c>
      <c r="Q21" s="84"/>
      <c r="R21" s="52">
        <f>C21+P21</f>
        <v>0</v>
      </c>
    </row>
    <row r="22" spans="1:18" s="27" customFormat="1">
      <c r="A22" s="84">
        <v>10</v>
      </c>
      <c r="B22" s="84" t="s">
        <v>90</v>
      </c>
      <c r="C22" s="33">
        <f t="shared" si="2"/>
        <v>0</v>
      </c>
      <c r="D22" s="51">
        <v>0</v>
      </c>
      <c r="E22" s="87">
        <f>ROUND(C22*-D22,0)</f>
        <v>0</v>
      </c>
      <c r="F22" s="52">
        <f>C22+E22</f>
        <v>0</v>
      </c>
      <c r="G22" s="57">
        <f t="shared" si="3"/>
        <v>0</v>
      </c>
      <c r="H22" s="53">
        <f t="shared" si="4"/>
        <v>0</v>
      </c>
      <c r="I22" s="84"/>
      <c r="J22" s="84">
        <v>7</v>
      </c>
      <c r="K22" s="54">
        <f>IFERROR(VLOOKUP(J22,'Tax Rates'!$A$1:$AA$12,$K$18+1,FALSE),0)</f>
        <v>0.17491999999999999</v>
      </c>
      <c r="L22" s="102">
        <v>0</v>
      </c>
      <c r="M22" s="52">
        <f t="shared" si="6"/>
        <v>0</v>
      </c>
      <c r="N22" s="52">
        <f t="shared" si="5"/>
        <v>0</v>
      </c>
      <c r="O22" s="87">
        <f>ROUND(K22*-H22,0)</f>
        <v>0</v>
      </c>
      <c r="P22" s="55">
        <f t="shared" si="7"/>
        <v>0</v>
      </c>
      <c r="Q22" s="84"/>
      <c r="R22" s="52">
        <f>C22+P22</f>
        <v>0</v>
      </c>
    </row>
    <row r="23" spans="1:18" s="27" customFormat="1">
      <c r="A23" s="84">
        <v>11</v>
      </c>
      <c r="B23" s="84" t="s">
        <v>91</v>
      </c>
      <c r="C23" s="33">
        <f t="shared" si="2"/>
        <v>0</v>
      </c>
      <c r="D23" s="51">
        <v>0</v>
      </c>
      <c r="E23" s="87">
        <f>ROUND(C23*-D23,0)</f>
        <v>0</v>
      </c>
      <c r="F23" s="52">
        <f>C23+E23</f>
        <v>0</v>
      </c>
      <c r="G23" s="57">
        <f t="shared" si="3"/>
        <v>0</v>
      </c>
      <c r="H23" s="53">
        <f t="shared" si="4"/>
        <v>0</v>
      </c>
      <c r="I23" s="84"/>
      <c r="J23" s="84">
        <v>15</v>
      </c>
      <c r="K23" s="54">
        <f>IFERROR(VLOOKUP(J23,'Tax Rates'!$A$1:$AA$12,$K$18+1,FALSE),0)</f>
        <v>8.5500000000000007E-2</v>
      </c>
      <c r="L23" s="102">
        <v>0</v>
      </c>
      <c r="M23" s="52">
        <f t="shared" si="6"/>
        <v>0</v>
      </c>
      <c r="N23" s="52">
        <f t="shared" si="5"/>
        <v>0</v>
      </c>
      <c r="O23" s="87">
        <f>ROUND(K23*-H23,0)</f>
        <v>0</v>
      </c>
      <c r="P23" s="55">
        <f t="shared" si="7"/>
        <v>0</v>
      </c>
      <c r="Q23" s="84"/>
      <c r="R23" s="52">
        <f>C23+P23</f>
        <v>0</v>
      </c>
    </row>
    <row r="24" spans="1:18" s="27" customFormat="1">
      <c r="A24" s="84">
        <v>12</v>
      </c>
      <c r="B24" s="84" t="s">
        <v>92</v>
      </c>
      <c r="C24" s="88">
        <f t="shared" si="2"/>
        <v>253736</v>
      </c>
      <c r="D24" s="58" t="s">
        <v>105</v>
      </c>
      <c r="E24" s="88">
        <v>0</v>
      </c>
      <c r="F24" s="59">
        <v>0</v>
      </c>
      <c r="G24" s="59">
        <f t="shared" si="3"/>
        <v>0</v>
      </c>
      <c r="H24" s="60">
        <f t="shared" si="4"/>
        <v>0</v>
      </c>
      <c r="I24" s="84"/>
      <c r="J24" s="61" t="s">
        <v>105</v>
      </c>
      <c r="K24" s="62" t="s">
        <v>105</v>
      </c>
      <c r="L24" s="103">
        <v>0</v>
      </c>
      <c r="M24" s="59">
        <f t="shared" si="6"/>
        <v>0</v>
      </c>
      <c r="N24" s="63">
        <f t="shared" si="5"/>
        <v>0</v>
      </c>
      <c r="O24" s="88">
        <v>0</v>
      </c>
      <c r="P24" s="64">
        <f t="shared" si="7"/>
        <v>0</v>
      </c>
      <c r="Q24" s="84"/>
      <c r="R24" s="65" t="s">
        <v>105</v>
      </c>
    </row>
    <row r="25" spans="1:18" s="27" customFormat="1">
      <c r="A25" s="84"/>
      <c r="B25" s="84"/>
      <c r="C25" s="87">
        <f>SUM(C18:C24)</f>
        <v>5998720</v>
      </c>
      <c r="D25" s="84"/>
      <c r="E25" s="87">
        <f>SUM(E19:E24)</f>
        <v>-4375996</v>
      </c>
      <c r="F25" s="87">
        <f>SUM(F19:F24)</f>
        <v>1368988</v>
      </c>
      <c r="G25" s="87">
        <f>SUM(G19:G24)</f>
        <v>0</v>
      </c>
      <c r="H25" s="55">
        <f>SUM(H19:H24)</f>
        <v>1368988</v>
      </c>
      <c r="I25" s="84"/>
      <c r="J25" s="84"/>
      <c r="K25" s="84"/>
      <c r="L25" s="55">
        <f>SUM(L19:L24)</f>
        <v>-4574499</v>
      </c>
      <c r="M25" s="87">
        <f>SUM(M19:M24)</f>
        <v>0</v>
      </c>
      <c r="N25" s="87">
        <f>SUM(N19:N24)</f>
        <v>0</v>
      </c>
      <c r="O25" s="87">
        <f>SUM(O19:O24)</f>
        <v>-117048</v>
      </c>
      <c r="P25" s="55">
        <f>SUM(P19:P24)</f>
        <v>-4691547</v>
      </c>
      <c r="Q25" s="84"/>
      <c r="R25" s="52">
        <f>SUM(R19:R24)</f>
        <v>1053437</v>
      </c>
    </row>
    <row r="26" spans="1:18" s="27" customFormat="1">
      <c r="A26" s="84"/>
      <c r="B26" s="84"/>
      <c r="C26" s="87"/>
      <c r="D26" s="84"/>
      <c r="E26" s="87"/>
      <c r="F26" s="87"/>
      <c r="G26" s="87"/>
      <c r="H26" s="55"/>
      <c r="I26" s="84"/>
      <c r="J26" s="55"/>
      <c r="K26" s="87"/>
      <c r="L26" s="87"/>
      <c r="M26" s="87"/>
      <c r="N26" s="55"/>
      <c r="O26" s="84"/>
      <c r="P26" s="84"/>
      <c r="Q26" s="84"/>
      <c r="R26" s="84"/>
    </row>
    <row r="27" spans="1:18" s="27" customForma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s="27" customFormat="1">
      <c r="A28" s="84"/>
      <c r="B28" s="84"/>
      <c r="C28" s="84"/>
      <c r="D28" s="84"/>
      <c r="E28" s="87"/>
      <c r="F28" s="50" t="s">
        <v>106</v>
      </c>
      <c r="G28" s="66"/>
      <c r="H28" s="67"/>
      <c r="I28" s="84"/>
      <c r="J28" s="84"/>
      <c r="K28" s="84"/>
      <c r="L28" s="84"/>
      <c r="M28" s="84"/>
      <c r="N28" s="84"/>
      <c r="O28" s="84"/>
      <c r="P28" s="84"/>
      <c r="Q28" s="84"/>
      <c r="R28" s="84"/>
    </row>
    <row r="29" spans="1:18" s="27" customFormat="1">
      <c r="A29" s="84"/>
      <c r="B29" s="84"/>
      <c r="C29" s="84"/>
      <c r="D29" s="124" t="s">
        <v>107</v>
      </c>
      <c r="E29" s="124"/>
      <c r="F29" s="50" t="s">
        <v>108</v>
      </c>
      <c r="G29" s="50" t="s">
        <v>109</v>
      </c>
      <c r="H29" s="95" t="s">
        <v>110</v>
      </c>
      <c r="I29" s="84"/>
      <c r="J29" s="84"/>
      <c r="K29" s="84"/>
      <c r="L29" s="84"/>
      <c r="M29" s="84"/>
      <c r="N29" s="84"/>
      <c r="O29" s="84"/>
      <c r="P29" s="84"/>
      <c r="Q29" s="84"/>
      <c r="R29" s="84"/>
    </row>
    <row r="30" spans="1:18" s="27" customFormat="1">
      <c r="A30" s="84"/>
      <c r="B30" s="84"/>
      <c r="C30" s="84"/>
      <c r="D30" s="122" t="s">
        <v>76</v>
      </c>
      <c r="E30" s="122" t="s">
        <v>97</v>
      </c>
      <c r="F30" s="122" t="s">
        <v>5</v>
      </c>
      <c r="G30" s="122" t="s">
        <v>65</v>
      </c>
      <c r="H30" s="122" t="s">
        <v>111</v>
      </c>
      <c r="I30" s="84"/>
      <c r="J30" s="84"/>
      <c r="K30" s="84"/>
      <c r="L30" s="84"/>
      <c r="M30" s="84"/>
      <c r="N30" s="84"/>
      <c r="O30" s="84"/>
      <c r="P30" s="84"/>
      <c r="Q30" s="84"/>
      <c r="R30" s="84"/>
    </row>
    <row r="31" spans="1:18" s="27" customFormat="1">
      <c r="A31" s="84">
        <v>13</v>
      </c>
      <c r="B31" s="84" t="s">
        <v>87</v>
      </c>
      <c r="C31" s="84"/>
      <c r="D31" s="52">
        <f t="shared" ref="D31:D36" si="8">J6</f>
        <v>4942824</v>
      </c>
      <c r="E31" s="52">
        <f t="shared" ref="E31:E36" si="9">R19</f>
        <v>1053437</v>
      </c>
      <c r="F31" s="52">
        <f>E31-D31</f>
        <v>-3889387</v>
      </c>
      <c r="G31" s="68">
        <v>0.2495</v>
      </c>
      <c r="H31" s="52">
        <f>ROUND(F31*G31,0)</f>
        <v>-970402</v>
      </c>
      <c r="I31" s="84"/>
      <c r="J31" s="84"/>
      <c r="K31" s="84"/>
      <c r="L31" s="84"/>
      <c r="M31" s="84"/>
      <c r="N31" s="84"/>
      <c r="O31" s="84"/>
      <c r="P31" s="84"/>
      <c r="Q31" s="84"/>
      <c r="R31" s="84"/>
    </row>
    <row r="32" spans="1:18" s="27" customFormat="1">
      <c r="A32" s="84">
        <v>14</v>
      </c>
      <c r="B32" s="84" t="s">
        <v>88</v>
      </c>
      <c r="C32" s="84"/>
      <c r="D32" s="57">
        <f t="shared" si="8"/>
        <v>0</v>
      </c>
      <c r="E32" s="52">
        <f t="shared" si="9"/>
        <v>0</v>
      </c>
      <c r="F32" s="52">
        <f>E32-D32</f>
        <v>0</v>
      </c>
      <c r="G32" s="67">
        <f>G31</f>
        <v>0.2495</v>
      </c>
      <c r="H32" s="52">
        <f t="shared" ref="H32:H36" si="10">ROUND(F32*G32,0)</f>
        <v>0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</row>
    <row r="33" spans="1:10" s="27" customFormat="1">
      <c r="A33" s="84">
        <v>15</v>
      </c>
      <c r="B33" s="84" t="s">
        <v>89</v>
      </c>
      <c r="C33" s="84"/>
      <c r="D33" s="57">
        <f t="shared" si="8"/>
        <v>360890</v>
      </c>
      <c r="E33" s="52">
        <f t="shared" si="9"/>
        <v>0</v>
      </c>
      <c r="F33" s="52">
        <f>E33-D33</f>
        <v>-360890</v>
      </c>
      <c r="G33" s="67">
        <f>G31</f>
        <v>0.2495</v>
      </c>
      <c r="H33" s="52">
        <f t="shared" si="10"/>
        <v>-90042</v>
      </c>
      <c r="I33" s="84"/>
      <c r="J33" s="84"/>
    </row>
    <row r="34" spans="1:10" s="27" customFormat="1">
      <c r="A34" s="84">
        <v>16</v>
      </c>
      <c r="B34" s="84" t="s">
        <v>90</v>
      </c>
      <c r="C34" s="84"/>
      <c r="D34" s="57">
        <f t="shared" si="8"/>
        <v>0</v>
      </c>
      <c r="E34" s="52">
        <f t="shared" si="9"/>
        <v>0</v>
      </c>
      <c r="F34" s="52">
        <f>E34-D34</f>
        <v>0</v>
      </c>
      <c r="G34" s="67">
        <f>G31</f>
        <v>0.2495</v>
      </c>
      <c r="H34" s="52">
        <f t="shared" si="10"/>
        <v>0</v>
      </c>
      <c r="I34" s="84"/>
      <c r="J34" s="84"/>
    </row>
    <row r="35" spans="1:10" s="27" customFormat="1">
      <c r="A35" s="84">
        <v>17</v>
      </c>
      <c r="B35" s="84" t="s">
        <v>91</v>
      </c>
      <c r="C35" s="84"/>
      <c r="D35" s="57">
        <f t="shared" si="8"/>
        <v>0</v>
      </c>
      <c r="E35" s="52">
        <f t="shared" si="9"/>
        <v>0</v>
      </c>
      <c r="F35" s="52">
        <f>E35-D35</f>
        <v>0</v>
      </c>
      <c r="G35" s="67">
        <f>G31</f>
        <v>0.2495</v>
      </c>
      <c r="H35" s="52">
        <f t="shared" si="10"/>
        <v>0</v>
      </c>
      <c r="I35" s="84"/>
      <c r="J35" s="84"/>
    </row>
    <row r="36" spans="1:10" s="27" customFormat="1">
      <c r="A36" s="84">
        <v>18</v>
      </c>
      <c r="B36" s="84" t="s">
        <v>92</v>
      </c>
      <c r="C36" s="84"/>
      <c r="D36" s="59">
        <f t="shared" si="8"/>
        <v>248333</v>
      </c>
      <c r="E36" s="65" t="str">
        <f t="shared" si="9"/>
        <v>NA</v>
      </c>
      <c r="F36" s="59">
        <f>-D36</f>
        <v>-248333</v>
      </c>
      <c r="G36" s="69">
        <f>G31</f>
        <v>0.2495</v>
      </c>
      <c r="H36" s="59">
        <f t="shared" si="10"/>
        <v>-61959</v>
      </c>
      <c r="I36" s="84"/>
      <c r="J36" s="84"/>
    </row>
    <row r="37" spans="1:10" s="27" customFormat="1">
      <c r="A37" s="84"/>
      <c r="B37" s="84"/>
      <c r="C37" s="84"/>
      <c r="D37" s="52">
        <f>SUM(D31:D36)</f>
        <v>5552047</v>
      </c>
      <c r="E37" s="52">
        <f>SUM(E31:E36)</f>
        <v>1053437</v>
      </c>
      <c r="F37" s="52">
        <f>SUM(F31:F36)</f>
        <v>-4498610</v>
      </c>
      <c r="G37" s="84"/>
      <c r="H37" s="52">
        <f>SUM(H31:H36)</f>
        <v>-1122403</v>
      </c>
      <c r="I37" s="84"/>
      <c r="J37" s="84"/>
    </row>
    <row r="39" spans="1:10" s="27" customFormat="1">
      <c r="A39" s="74" t="s">
        <v>73</v>
      </c>
      <c r="B39" s="84" t="s">
        <v>112</v>
      </c>
      <c r="C39" s="84"/>
      <c r="D39" s="84"/>
      <c r="E39" s="84"/>
      <c r="F39" s="84"/>
      <c r="G39" s="84"/>
      <c r="H39" s="84"/>
      <c r="I39" s="84"/>
      <c r="J39" s="84"/>
    </row>
    <row r="40" spans="1:10" s="27" customFormat="1">
      <c r="A40" s="74"/>
      <c r="B40" s="84"/>
      <c r="C40" s="84"/>
      <c r="D40" s="84"/>
      <c r="E40" s="84"/>
      <c r="F40" s="84"/>
      <c r="G40" s="84"/>
      <c r="H40" s="84"/>
      <c r="I40" s="84"/>
      <c r="J40" s="84"/>
    </row>
    <row r="41" spans="1:10" s="27" customFormat="1">
      <c r="A41" s="74"/>
      <c r="B41" s="25"/>
      <c r="C41" s="25"/>
      <c r="D41" s="25"/>
      <c r="E41" s="25"/>
      <c r="F41" s="25"/>
      <c r="G41" s="25"/>
      <c r="H41" s="25"/>
      <c r="I41" s="25"/>
      <c r="J41" s="25"/>
    </row>
    <row r="42" spans="1:10" s="27" customFormat="1">
      <c r="A42" s="84"/>
      <c r="B42" s="26"/>
      <c r="C42" s="70"/>
      <c r="D42" s="70"/>
      <c r="E42" s="25"/>
      <c r="F42" s="25"/>
      <c r="G42" s="25"/>
      <c r="H42" s="25"/>
      <c r="I42" s="25"/>
      <c r="J42" s="25"/>
    </row>
    <row r="43" spans="1:10" s="27" customFormat="1">
      <c r="A43" s="84"/>
      <c r="B43" s="70"/>
      <c r="C43" s="25"/>
      <c r="D43" s="25"/>
      <c r="E43" s="72"/>
      <c r="F43" s="71"/>
      <c r="G43" s="25"/>
      <c r="H43" s="25"/>
      <c r="I43" s="25"/>
      <c r="J43" s="25"/>
    </row>
    <row r="44" spans="1:10" s="27" customFormat="1">
      <c r="A44" s="84"/>
      <c r="B44" s="70"/>
      <c r="C44" s="25"/>
      <c r="D44" s="25"/>
      <c r="E44" s="121"/>
      <c r="F44" s="71"/>
      <c r="G44" s="25"/>
      <c r="H44" s="25"/>
      <c r="I44" s="25"/>
      <c r="J44" s="25"/>
    </row>
    <row r="45" spans="1:10">
      <c r="B45" s="70"/>
      <c r="E45" s="72"/>
      <c r="F45" s="71"/>
    </row>
  </sheetData>
  <mergeCells count="3">
    <mergeCell ref="F2:H2"/>
    <mergeCell ref="L16:P16"/>
    <mergeCell ref="D29:E29"/>
  </mergeCells>
  <pageMargins left="0.25" right="0.25" top="0.75" bottom="0.75" header="0.3" footer="0.3"/>
  <pageSetup scale="66" orientation="landscape" r:id="rId1"/>
  <headerFooter>
    <oddHeader>&amp;RResponse to PSC 3-3
Page &amp;P of &amp;N
Witnesses: John Brown and
William Steven Seelye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45"/>
  <sheetViews>
    <sheetView view="pageBreakPreview" zoomScaleNormal="100" zoomScaleSheetLayoutView="100" workbookViewId="0">
      <selection activeCell="H17" sqref="H17"/>
    </sheetView>
  </sheetViews>
  <sheetFormatPr defaultColWidth="9.140625" defaultRowHeight="15"/>
  <cols>
    <col min="1" max="1" width="14.42578125" style="25" customWidth="1"/>
    <col min="2" max="2" width="18.5703125" style="25" bestFit="1" customWidth="1"/>
    <col min="3" max="4" width="12.7109375" style="25" customWidth="1"/>
    <col min="5" max="5" width="11.28515625" style="25" bestFit="1" customWidth="1"/>
    <col min="6" max="6" width="12.7109375" style="25" customWidth="1"/>
    <col min="7" max="7" width="12.42578125" style="25" bestFit="1" customWidth="1"/>
    <col min="8" max="8" width="13.140625" style="25" bestFit="1" customWidth="1"/>
    <col min="9" max="9" width="2.7109375" style="25" customWidth="1"/>
    <col min="10" max="10" width="10.7109375" style="25" customWidth="1"/>
    <col min="11" max="11" width="8.140625" style="25" bestFit="1" customWidth="1"/>
    <col min="12" max="12" width="12.7109375" style="25" customWidth="1"/>
    <col min="13" max="14" width="11.28515625" style="25" bestFit="1" customWidth="1"/>
    <col min="15" max="15" width="9.7109375" style="25" bestFit="1" customWidth="1"/>
    <col min="16" max="16" width="11.28515625" style="25" bestFit="1" customWidth="1"/>
    <col min="17" max="17" width="2.7109375" style="25" customWidth="1"/>
    <col min="18" max="18" width="13.7109375" style="25" bestFit="1" customWidth="1"/>
    <col min="19" max="19" width="7.7109375" style="25" bestFit="1" customWidth="1"/>
    <col min="20" max="20" width="7.42578125" style="25" bestFit="1" customWidth="1"/>
    <col min="21" max="16384" width="9.140625" style="25"/>
  </cols>
  <sheetData>
    <row r="1" spans="1:18">
      <c r="A1" s="22" t="s">
        <v>70</v>
      </c>
      <c r="B1" s="7">
        <v>2021</v>
      </c>
    </row>
    <row r="2" spans="1:18">
      <c r="A2" s="22" t="s">
        <v>72</v>
      </c>
      <c r="D2" s="14" t="s">
        <v>73</v>
      </c>
      <c r="F2" s="125" t="s">
        <v>75</v>
      </c>
      <c r="G2" s="125"/>
      <c r="H2" s="125"/>
    </row>
    <row r="3" spans="1:18">
      <c r="D3" s="16" t="s">
        <v>74</v>
      </c>
      <c r="F3" s="20"/>
      <c r="G3" s="14"/>
      <c r="H3" s="20"/>
      <c r="J3" s="23" t="s">
        <v>76</v>
      </c>
    </row>
    <row r="4" spans="1:18">
      <c r="C4" s="16">
        <v>2021</v>
      </c>
      <c r="D4" s="16" t="s">
        <v>77</v>
      </c>
      <c r="F4" s="16"/>
      <c r="G4" s="16" t="s">
        <v>78</v>
      </c>
      <c r="H4" s="16"/>
      <c r="J4" s="16" t="s">
        <v>79</v>
      </c>
      <c r="O4" s="16" t="s">
        <v>80</v>
      </c>
      <c r="P4" s="16" t="s">
        <v>80</v>
      </c>
    </row>
    <row r="5" spans="1:18">
      <c r="C5" s="123" t="s">
        <v>81</v>
      </c>
      <c r="D5" s="10">
        <v>2</v>
      </c>
      <c r="F5" s="123" t="s">
        <v>82</v>
      </c>
      <c r="G5" s="123" t="s">
        <v>83</v>
      </c>
      <c r="H5" s="123" t="s">
        <v>84</v>
      </c>
      <c r="J5" s="123" t="s">
        <v>85</v>
      </c>
      <c r="O5" s="123" t="s">
        <v>65</v>
      </c>
      <c r="P5" s="123" t="s">
        <v>86</v>
      </c>
    </row>
    <row r="6" spans="1:18">
      <c r="A6" s="25">
        <v>1</v>
      </c>
      <c r="B6" s="25" t="s">
        <v>87</v>
      </c>
      <c r="C6" s="100">
        <v>5350289</v>
      </c>
      <c r="D6" s="2">
        <v>3.1E-2</v>
      </c>
      <c r="F6" s="100">
        <v>-82929</v>
      </c>
      <c r="G6" s="18">
        <f>ROUND(IF(D$5=1,-0.5*D6*C6,-D6*C6),0)</f>
        <v>-165859</v>
      </c>
      <c r="H6" s="18">
        <f t="shared" ref="H6:H11" si="0">SUM(F6:G6)</f>
        <v>-248788</v>
      </c>
      <c r="J6" s="5">
        <f t="shared" ref="J6:J11" si="1">C6+H6</f>
        <v>5101501</v>
      </c>
      <c r="O6" s="11">
        <v>1E-4</v>
      </c>
      <c r="P6" s="17">
        <f>ROUND(IF(D$5=1,-0.5*O6*C6,-O6*C6),0)</f>
        <v>-535</v>
      </c>
    </row>
    <row r="7" spans="1:18">
      <c r="A7" s="25">
        <v>2</v>
      </c>
      <c r="B7" s="25" t="s">
        <v>88</v>
      </c>
      <c r="C7" s="100">
        <v>147311</v>
      </c>
      <c r="D7" s="2">
        <v>2.3300000000000001E-2</v>
      </c>
      <c r="F7" s="100">
        <v>-1716</v>
      </c>
      <c r="G7" s="18">
        <f>ROUND(IF(D$5=1,-0.5*D7*C7,-D7*C7),0)</f>
        <v>-3432</v>
      </c>
      <c r="H7" s="18">
        <f t="shared" si="0"/>
        <v>-5148</v>
      </c>
      <c r="J7" s="5">
        <f t="shared" si="1"/>
        <v>142163</v>
      </c>
      <c r="O7" s="11">
        <v>2.0000000000000001E-4</v>
      </c>
      <c r="P7" s="5">
        <f>ROUND(IF(D$5=1,-0.5*O7*C7,-O7*C7),0)</f>
        <v>-29</v>
      </c>
    </row>
    <row r="8" spans="1:18">
      <c r="A8" s="25">
        <v>3</v>
      </c>
      <c r="B8" s="25" t="s">
        <v>89</v>
      </c>
      <c r="C8" s="100">
        <v>568050</v>
      </c>
      <c r="D8" s="2">
        <v>2.69E-2</v>
      </c>
      <c r="F8" s="100">
        <v>-7640</v>
      </c>
      <c r="G8" s="18">
        <f>ROUND(IF(D$5=1,-0.5*D8*C8,-D8*C8),0)</f>
        <v>-15281</v>
      </c>
      <c r="H8" s="18">
        <f t="shared" si="0"/>
        <v>-22921</v>
      </c>
      <c r="J8" s="5">
        <f t="shared" si="1"/>
        <v>545129</v>
      </c>
      <c r="O8" s="11">
        <v>4.1999999999999997E-3</v>
      </c>
      <c r="P8" s="5">
        <f>ROUND(IF(D$5=1,-0.5*O8*C8,-O8*C8),0)</f>
        <v>-2386</v>
      </c>
    </row>
    <row r="9" spans="1:18">
      <c r="A9" s="25">
        <v>4</v>
      </c>
      <c r="B9" s="25" t="s">
        <v>90</v>
      </c>
      <c r="C9" s="100">
        <v>0</v>
      </c>
      <c r="D9" s="2">
        <v>2.2499999999999999E-2</v>
      </c>
      <c r="F9" s="100">
        <v>0</v>
      </c>
      <c r="G9" s="18">
        <f>ROUND(IF(D$5=1,-0.5*D9*C9,-D9*C9),0)</f>
        <v>0</v>
      </c>
      <c r="H9" s="18">
        <f t="shared" si="0"/>
        <v>0</v>
      </c>
      <c r="J9" s="5">
        <f t="shared" si="1"/>
        <v>0</v>
      </c>
      <c r="O9" s="11">
        <v>0</v>
      </c>
      <c r="P9" s="5">
        <f>IF(D$5=1,-0.5*O9*C9,-O9*C9)</f>
        <v>0</v>
      </c>
    </row>
    <row r="10" spans="1:18">
      <c r="A10" s="25">
        <v>5</v>
      </c>
      <c r="B10" s="25" t="s">
        <v>91</v>
      </c>
      <c r="C10" s="100">
        <v>0</v>
      </c>
      <c r="D10" s="2">
        <v>2.0500000000000001E-2</v>
      </c>
      <c r="F10" s="100">
        <v>0</v>
      </c>
      <c r="G10" s="18">
        <f>ROUND(IF(D$5=1,-0.5*D10*C10,-D10*C10),0)</f>
        <v>0</v>
      </c>
      <c r="H10" s="18">
        <f t="shared" si="0"/>
        <v>0</v>
      </c>
      <c r="J10" s="5">
        <f t="shared" si="1"/>
        <v>0</v>
      </c>
      <c r="O10" s="11">
        <v>0</v>
      </c>
      <c r="P10" s="5">
        <f>IF(D$5=1,-0.5*O10*C10,-O10*C10)</f>
        <v>0</v>
      </c>
    </row>
    <row r="11" spans="1:18">
      <c r="A11" s="25">
        <v>6</v>
      </c>
      <c r="B11" s="25" t="s">
        <v>92</v>
      </c>
      <c r="C11" s="101">
        <v>253736</v>
      </c>
      <c r="D11" s="3" t="s">
        <v>93</v>
      </c>
      <c r="F11" s="101">
        <v>-1476</v>
      </c>
      <c r="G11" s="21">
        <f>P12</f>
        <v>-2950</v>
      </c>
      <c r="H11" s="21">
        <f t="shared" si="0"/>
        <v>-4426</v>
      </c>
      <c r="J11" s="6">
        <f t="shared" si="1"/>
        <v>249310</v>
      </c>
      <c r="O11" s="24">
        <v>0</v>
      </c>
      <c r="P11" s="6">
        <f>IF(D$5=1,-0.5*O11*C11,-O11*C11)</f>
        <v>0</v>
      </c>
    </row>
    <row r="12" spans="1:18">
      <c r="C12" s="18">
        <f>SUM(C6:C11)</f>
        <v>6319386</v>
      </c>
      <c r="D12" s="18"/>
      <c r="F12" s="100">
        <f>SUM(F5:F11)</f>
        <v>-93761</v>
      </c>
      <c r="G12" s="18">
        <f>SUM(G5:G11)</f>
        <v>-187522</v>
      </c>
      <c r="H12" s="18">
        <f>SUM(H5:H11)</f>
        <v>-281283</v>
      </c>
      <c r="J12" s="5">
        <f>SUM(J6:J11)</f>
        <v>6038103</v>
      </c>
      <c r="O12" s="5"/>
      <c r="P12" s="17">
        <f>SUM(P5:P11)</f>
        <v>-2950</v>
      </c>
    </row>
    <row r="13" spans="1:18" ht="14.25" customHeight="1">
      <c r="C13" s="18"/>
      <c r="D13" s="18"/>
      <c r="E13" s="18"/>
      <c r="F13" s="18"/>
      <c r="M13" s="16"/>
      <c r="N13" s="20"/>
    </row>
    <row r="14" spans="1:18">
      <c r="M14" s="16"/>
      <c r="N14" s="20"/>
    </row>
    <row r="15" spans="1:18">
      <c r="D15" s="16"/>
    </row>
    <row r="16" spans="1:18" s="27" customFormat="1">
      <c r="A16" s="84"/>
      <c r="B16" s="84"/>
      <c r="C16" s="93"/>
      <c r="D16" s="95" t="s">
        <v>94</v>
      </c>
      <c r="E16" s="93"/>
      <c r="F16" s="93"/>
      <c r="G16" s="48">
        <v>0</v>
      </c>
      <c r="H16" s="93"/>
      <c r="I16" s="84"/>
      <c r="J16" s="49"/>
      <c r="K16" s="95" t="s">
        <v>95</v>
      </c>
      <c r="L16" s="124" t="s">
        <v>96</v>
      </c>
      <c r="M16" s="124"/>
      <c r="N16" s="124"/>
      <c r="O16" s="124"/>
      <c r="P16" s="124"/>
      <c r="Q16" s="84"/>
      <c r="R16" s="50" t="s">
        <v>97</v>
      </c>
    </row>
    <row r="17" spans="1:18" s="27" customFormat="1">
      <c r="A17" s="84"/>
      <c r="B17" s="84"/>
      <c r="C17" s="95" t="s">
        <v>76</v>
      </c>
      <c r="D17" s="95" t="s">
        <v>83</v>
      </c>
      <c r="E17" s="95" t="s">
        <v>97</v>
      </c>
      <c r="F17" s="95" t="s">
        <v>97</v>
      </c>
      <c r="G17" s="95" t="s">
        <v>98</v>
      </c>
      <c r="H17" s="95" t="s">
        <v>99</v>
      </c>
      <c r="I17" s="84"/>
      <c r="J17" s="95"/>
      <c r="K17" s="95" t="s">
        <v>100</v>
      </c>
      <c r="L17" s="95"/>
      <c r="M17" s="95" t="s">
        <v>97</v>
      </c>
      <c r="N17" s="95" t="s">
        <v>98</v>
      </c>
      <c r="O17" s="95" t="s">
        <v>95</v>
      </c>
      <c r="P17" s="95"/>
      <c r="Q17" s="84"/>
      <c r="R17" s="95" t="s">
        <v>79</v>
      </c>
    </row>
    <row r="18" spans="1:18" s="27" customFormat="1">
      <c r="A18" s="84"/>
      <c r="B18" s="84"/>
      <c r="C18" s="122" t="s">
        <v>81</v>
      </c>
      <c r="D18" s="122" t="s">
        <v>101</v>
      </c>
      <c r="E18" s="122" t="s">
        <v>83</v>
      </c>
      <c r="F18" s="122" t="s">
        <v>102</v>
      </c>
      <c r="G18" s="122" t="s">
        <v>78</v>
      </c>
      <c r="H18" s="122" t="s">
        <v>103</v>
      </c>
      <c r="I18" s="84"/>
      <c r="J18" s="122" t="s">
        <v>104</v>
      </c>
      <c r="K18" s="122">
        <f>D5</f>
        <v>2</v>
      </c>
      <c r="L18" s="122" t="s">
        <v>82</v>
      </c>
      <c r="M18" s="122" t="s">
        <v>83</v>
      </c>
      <c r="N18" s="122" t="s">
        <v>86</v>
      </c>
      <c r="O18" s="122" t="s">
        <v>86</v>
      </c>
      <c r="P18" s="122" t="s">
        <v>84</v>
      </c>
      <c r="Q18" s="84"/>
      <c r="R18" s="122" t="s">
        <v>85</v>
      </c>
    </row>
    <row r="19" spans="1:18" s="27" customFormat="1">
      <c r="A19" s="84">
        <v>7</v>
      </c>
      <c r="B19" s="84" t="s">
        <v>87</v>
      </c>
      <c r="C19" s="87">
        <f t="shared" ref="C19:C24" si="2">C6</f>
        <v>5350289</v>
      </c>
      <c r="D19" s="56">
        <v>0.74450000000000005</v>
      </c>
      <c r="E19" s="87">
        <f>ROUND(C19*-D19,0)</f>
        <v>-3983290</v>
      </c>
      <c r="F19" s="52">
        <f>C19+E19</f>
        <v>1366999</v>
      </c>
      <c r="G19" s="52">
        <f t="shared" ref="G19:G24" si="3">ROUND(F19*-$G$16,0)</f>
        <v>0</v>
      </c>
      <c r="H19" s="53">
        <f t="shared" ref="H19:H24" si="4">F19+G19</f>
        <v>1366999</v>
      </c>
      <c r="I19" s="84"/>
      <c r="J19" s="84">
        <v>15</v>
      </c>
      <c r="K19" s="54">
        <f>IFERROR(VLOOKUP(J19,'Tax Rates'!$A$1:$AA$12,$K$18+1,FALSE),0)</f>
        <v>9.5000000000000001E-2</v>
      </c>
      <c r="L19" s="102">
        <v>-4051640</v>
      </c>
      <c r="M19" s="52"/>
      <c r="N19" s="52">
        <f t="shared" ref="N19:N24" si="5">G19</f>
        <v>0</v>
      </c>
      <c r="O19" s="87">
        <f>ROUND(K19*-H19,0)</f>
        <v>-129865</v>
      </c>
      <c r="P19" s="55">
        <f t="shared" ref="P19:P24" si="6">SUM(L19:O19)</f>
        <v>-4181505</v>
      </c>
      <c r="Q19" s="84"/>
      <c r="R19" s="52">
        <f>C19+P19</f>
        <v>1168784</v>
      </c>
    </row>
    <row r="20" spans="1:18" s="27" customFormat="1">
      <c r="A20" s="84">
        <v>8</v>
      </c>
      <c r="B20" s="84" t="s">
        <v>88</v>
      </c>
      <c r="C20" s="87">
        <f t="shared" si="2"/>
        <v>147311</v>
      </c>
      <c r="D20" s="56">
        <f>IF(C20=0,0,-E20/C20)</f>
        <v>0</v>
      </c>
      <c r="E20" s="34">
        <v>0</v>
      </c>
      <c r="F20" s="52">
        <f>C20+E20</f>
        <v>147311</v>
      </c>
      <c r="G20" s="52">
        <f t="shared" si="3"/>
        <v>0</v>
      </c>
      <c r="H20" s="53">
        <f t="shared" si="4"/>
        <v>147311</v>
      </c>
      <c r="I20" s="84"/>
      <c r="J20" s="84">
        <v>15</v>
      </c>
      <c r="K20" s="54">
        <f>IFERROR(VLOOKUP(J20,'Tax Rates'!$A$1:$AA$12,$K$18+1,FALSE),0)</f>
        <v>9.5000000000000001E-2</v>
      </c>
      <c r="L20" s="102">
        <v>-7366</v>
      </c>
      <c r="M20" s="52">
        <f t="shared" ref="M20:M24" si="7">E20</f>
        <v>0</v>
      </c>
      <c r="N20" s="52">
        <f t="shared" si="5"/>
        <v>0</v>
      </c>
      <c r="O20" s="87">
        <f>ROUND(K20*-H20,0)</f>
        <v>-13995</v>
      </c>
      <c r="P20" s="55">
        <f t="shared" si="6"/>
        <v>-21361</v>
      </c>
      <c r="Q20" s="84"/>
      <c r="R20" s="52">
        <f>C20+P20</f>
        <v>125950</v>
      </c>
    </row>
    <row r="21" spans="1:18" s="27" customFormat="1">
      <c r="A21" s="84">
        <v>9</v>
      </c>
      <c r="B21" s="84" t="s">
        <v>89</v>
      </c>
      <c r="C21" s="87">
        <f t="shared" si="2"/>
        <v>568050</v>
      </c>
      <c r="D21" s="51">
        <v>1</v>
      </c>
      <c r="E21" s="87">
        <f>ROUND(C21*-D21,0)</f>
        <v>-568050</v>
      </c>
      <c r="F21" s="52">
        <f>C21+E21</f>
        <v>0</v>
      </c>
      <c r="G21" s="57">
        <f t="shared" si="3"/>
        <v>0</v>
      </c>
      <c r="H21" s="53">
        <f t="shared" si="4"/>
        <v>0</v>
      </c>
      <c r="I21" s="84"/>
      <c r="J21" s="84">
        <v>20</v>
      </c>
      <c r="K21" s="54">
        <f>IFERROR(VLOOKUP(J21,'Tax Rates'!$A$1:$AA$12,$K$18+1,FALSE),0)</f>
        <v>7.2190000000000004E-2</v>
      </c>
      <c r="L21" s="102">
        <v>-568050</v>
      </c>
      <c r="M21" s="52"/>
      <c r="N21" s="52">
        <f t="shared" si="5"/>
        <v>0</v>
      </c>
      <c r="O21" s="87">
        <f>ROUND(K21*-H21,0)</f>
        <v>0</v>
      </c>
      <c r="P21" s="55">
        <f t="shared" si="6"/>
        <v>-568050</v>
      </c>
      <c r="Q21" s="84"/>
      <c r="R21" s="52">
        <f>C21+P21</f>
        <v>0</v>
      </c>
    </row>
    <row r="22" spans="1:18" s="27" customFormat="1">
      <c r="A22" s="84">
        <v>10</v>
      </c>
      <c r="B22" s="84" t="s">
        <v>90</v>
      </c>
      <c r="C22" s="87">
        <f t="shared" si="2"/>
        <v>0</v>
      </c>
      <c r="D22" s="51">
        <v>0</v>
      </c>
      <c r="E22" s="87">
        <f>ROUND(C22*-D22,0)</f>
        <v>0</v>
      </c>
      <c r="F22" s="52">
        <f>C22+E22</f>
        <v>0</v>
      </c>
      <c r="G22" s="57">
        <f t="shared" si="3"/>
        <v>0</v>
      </c>
      <c r="H22" s="53">
        <f t="shared" si="4"/>
        <v>0</v>
      </c>
      <c r="I22" s="84"/>
      <c r="J22" s="84">
        <v>7</v>
      </c>
      <c r="K22" s="54">
        <f>IFERROR(VLOOKUP(J22,'Tax Rates'!$A$1:$AA$12,$K$18+1,FALSE),0)</f>
        <v>0.24490000000000001</v>
      </c>
      <c r="L22" s="102">
        <v>0</v>
      </c>
      <c r="M22" s="52">
        <f t="shared" si="7"/>
        <v>0</v>
      </c>
      <c r="N22" s="52">
        <f t="shared" si="5"/>
        <v>0</v>
      </c>
      <c r="O22" s="87">
        <f>ROUND(K22*-H22,0)</f>
        <v>0</v>
      </c>
      <c r="P22" s="55">
        <f t="shared" si="6"/>
        <v>0</v>
      </c>
      <c r="Q22" s="84"/>
      <c r="R22" s="52">
        <f>C22+P22</f>
        <v>0</v>
      </c>
    </row>
    <row r="23" spans="1:18" s="27" customFormat="1">
      <c r="A23" s="84">
        <v>11</v>
      </c>
      <c r="B23" s="84" t="s">
        <v>91</v>
      </c>
      <c r="C23" s="87">
        <f t="shared" si="2"/>
        <v>0</v>
      </c>
      <c r="D23" s="51">
        <v>0</v>
      </c>
      <c r="E23" s="87">
        <f>ROUND(C23*-D23,0)</f>
        <v>0</v>
      </c>
      <c r="F23" s="52">
        <f>C23+E23</f>
        <v>0</v>
      </c>
      <c r="G23" s="57">
        <f t="shared" si="3"/>
        <v>0</v>
      </c>
      <c r="H23" s="53">
        <f t="shared" si="4"/>
        <v>0</v>
      </c>
      <c r="I23" s="84"/>
      <c r="J23" s="84">
        <v>15</v>
      </c>
      <c r="K23" s="54">
        <f>IFERROR(VLOOKUP(J23,'Tax Rates'!$A$1:$AA$12,$K$18+1,FALSE),0)</f>
        <v>9.5000000000000001E-2</v>
      </c>
      <c r="L23" s="102">
        <v>0</v>
      </c>
      <c r="M23" s="52">
        <f t="shared" si="7"/>
        <v>0</v>
      </c>
      <c r="N23" s="52">
        <f t="shared" si="5"/>
        <v>0</v>
      </c>
      <c r="O23" s="87">
        <f>ROUND(K23*-H23,0)</f>
        <v>0</v>
      </c>
      <c r="P23" s="55">
        <f t="shared" si="6"/>
        <v>0</v>
      </c>
      <c r="Q23" s="84"/>
      <c r="R23" s="52">
        <f>C23+P23</f>
        <v>0</v>
      </c>
    </row>
    <row r="24" spans="1:18" s="27" customFormat="1">
      <c r="A24" s="84">
        <v>12</v>
      </c>
      <c r="B24" s="84" t="s">
        <v>92</v>
      </c>
      <c r="C24" s="87">
        <f t="shared" si="2"/>
        <v>253736</v>
      </c>
      <c r="D24" s="58" t="s">
        <v>105</v>
      </c>
      <c r="E24" s="88">
        <v>0</v>
      </c>
      <c r="F24" s="59">
        <v>0</v>
      </c>
      <c r="G24" s="59">
        <f t="shared" si="3"/>
        <v>0</v>
      </c>
      <c r="H24" s="60">
        <f t="shared" si="4"/>
        <v>0</v>
      </c>
      <c r="I24" s="84"/>
      <c r="J24" s="61" t="s">
        <v>105</v>
      </c>
      <c r="K24" s="62" t="s">
        <v>105</v>
      </c>
      <c r="L24" s="103">
        <v>0</v>
      </c>
      <c r="M24" s="59">
        <f t="shared" si="7"/>
        <v>0</v>
      </c>
      <c r="N24" s="63">
        <f t="shared" si="5"/>
        <v>0</v>
      </c>
      <c r="O24" s="88">
        <v>0</v>
      </c>
      <c r="P24" s="64">
        <f t="shared" si="6"/>
        <v>0</v>
      </c>
      <c r="Q24" s="84"/>
      <c r="R24" s="65" t="s">
        <v>105</v>
      </c>
    </row>
    <row r="25" spans="1:18" s="27" customFormat="1">
      <c r="A25" s="84"/>
      <c r="B25" s="84"/>
      <c r="C25" s="87">
        <f>SUM(C18:C24)</f>
        <v>6319386</v>
      </c>
      <c r="D25" s="84"/>
      <c r="E25" s="87">
        <f>SUM(E19:E24)</f>
        <v>-4551340</v>
      </c>
      <c r="F25" s="87">
        <f>SUM(F19:F24)</f>
        <v>1514310</v>
      </c>
      <c r="G25" s="87">
        <f>SUM(G19:G24)</f>
        <v>0</v>
      </c>
      <c r="H25" s="55">
        <f>SUM(H19:H24)</f>
        <v>1514310</v>
      </c>
      <c r="I25" s="84"/>
      <c r="J25" s="84"/>
      <c r="K25" s="84"/>
      <c r="L25" s="55">
        <f>SUM(L19:L24)</f>
        <v>-4627056</v>
      </c>
      <c r="M25" s="87">
        <f>SUM(M19:M24)</f>
        <v>0</v>
      </c>
      <c r="N25" s="87">
        <f>SUM(N19:N24)</f>
        <v>0</v>
      </c>
      <c r="O25" s="87">
        <f>SUM(O19:O24)</f>
        <v>-143860</v>
      </c>
      <c r="P25" s="55">
        <f>SUM(P19:P24)</f>
        <v>-4770916</v>
      </c>
      <c r="Q25" s="84"/>
      <c r="R25" s="52">
        <f>SUM(R19:R24)</f>
        <v>1294734</v>
      </c>
    </row>
    <row r="26" spans="1:18" s="27" customFormat="1">
      <c r="A26" s="84"/>
      <c r="B26" s="84"/>
      <c r="C26" s="87"/>
      <c r="D26" s="84"/>
      <c r="E26" s="87"/>
      <c r="F26" s="87"/>
      <c r="G26" s="87"/>
      <c r="H26" s="55"/>
      <c r="I26" s="84"/>
      <c r="J26" s="55"/>
      <c r="K26" s="87"/>
      <c r="L26" s="87"/>
      <c r="M26" s="87"/>
      <c r="N26" s="55"/>
      <c r="O26" s="84"/>
      <c r="P26" s="84"/>
      <c r="Q26" s="84"/>
      <c r="R26" s="84"/>
    </row>
    <row r="27" spans="1:18" s="27" customForma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s="27" customFormat="1">
      <c r="A28" s="84"/>
      <c r="B28" s="84"/>
      <c r="C28" s="84"/>
      <c r="D28" s="84"/>
      <c r="E28" s="87"/>
      <c r="F28" s="50" t="s">
        <v>106</v>
      </c>
      <c r="G28" s="66"/>
      <c r="H28" s="67"/>
      <c r="I28" s="84"/>
      <c r="J28" s="84"/>
      <c r="K28" s="84"/>
      <c r="L28" s="84"/>
      <c r="M28" s="84"/>
      <c r="N28" s="84"/>
      <c r="O28" s="84"/>
      <c r="P28" s="84"/>
      <c r="Q28" s="84"/>
      <c r="R28" s="84"/>
    </row>
    <row r="29" spans="1:18" s="27" customFormat="1">
      <c r="A29" s="84"/>
      <c r="B29" s="84"/>
      <c r="C29" s="84"/>
      <c r="D29" s="124" t="s">
        <v>107</v>
      </c>
      <c r="E29" s="124"/>
      <c r="F29" s="50" t="s">
        <v>108</v>
      </c>
      <c r="G29" s="50" t="s">
        <v>109</v>
      </c>
      <c r="H29" s="95" t="s">
        <v>110</v>
      </c>
      <c r="I29" s="84"/>
      <c r="J29" s="84"/>
      <c r="K29" s="84"/>
      <c r="L29" s="84"/>
      <c r="M29" s="84"/>
      <c r="N29" s="84"/>
      <c r="O29" s="84"/>
      <c r="P29" s="84"/>
      <c r="Q29" s="84"/>
      <c r="R29" s="84"/>
    </row>
    <row r="30" spans="1:18" s="27" customFormat="1">
      <c r="A30" s="84"/>
      <c r="B30" s="84"/>
      <c r="C30" s="84"/>
      <c r="D30" s="122" t="s">
        <v>76</v>
      </c>
      <c r="E30" s="122" t="s">
        <v>97</v>
      </c>
      <c r="F30" s="122" t="s">
        <v>5</v>
      </c>
      <c r="G30" s="122" t="s">
        <v>65</v>
      </c>
      <c r="H30" s="122" t="s">
        <v>111</v>
      </c>
      <c r="I30" s="84"/>
      <c r="J30" s="84"/>
      <c r="K30" s="84"/>
      <c r="L30" s="84"/>
      <c r="M30" s="84"/>
      <c r="N30" s="84"/>
      <c r="O30" s="84"/>
      <c r="P30" s="84"/>
      <c r="Q30" s="84"/>
      <c r="R30" s="84"/>
    </row>
    <row r="31" spans="1:18" s="27" customFormat="1">
      <c r="A31" s="84">
        <v>13</v>
      </c>
      <c r="B31" s="84" t="s">
        <v>87</v>
      </c>
      <c r="C31" s="84"/>
      <c r="D31" s="52">
        <f t="shared" ref="D31:D36" si="8">J6</f>
        <v>5101501</v>
      </c>
      <c r="E31" s="52">
        <f>R19</f>
        <v>1168784</v>
      </c>
      <c r="F31" s="52">
        <f>E31-D31</f>
        <v>-3932717</v>
      </c>
      <c r="G31" s="68">
        <v>0.2495</v>
      </c>
      <c r="H31" s="52">
        <f>ROUND(F31*G31,0)</f>
        <v>-981213</v>
      </c>
      <c r="I31" s="84"/>
      <c r="J31" s="84"/>
      <c r="K31" s="84"/>
      <c r="L31" s="84"/>
      <c r="M31" s="84"/>
      <c r="N31" s="84"/>
      <c r="O31" s="84"/>
      <c r="P31" s="84"/>
      <c r="Q31" s="84"/>
      <c r="R31" s="84"/>
    </row>
    <row r="32" spans="1:18" s="27" customFormat="1">
      <c r="A32" s="84">
        <v>14</v>
      </c>
      <c r="B32" s="84" t="s">
        <v>88</v>
      </c>
      <c r="C32" s="84"/>
      <c r="D32" s="57">
        <f t="shared" si="8"/>
        <v>142163</v>
      </c>
      <c r="E32" s="52">
        <f t="shared" ref="E32:E36" si="9">R20</f>
        <v>125950</v>
      </c>
      <c r="F32" s="52">
        <f>E32-D32</f>
        <v>-16213</v>
      </c>
      <c r="G32" s="67">
        <f>G31</f>
        <v>0.2495</v>
      </c>
      <c r="H32" s="52">
        <f t="shared" ref="H32:H36" si="10">ROUND(F32*G32,0)</f>
        <v>-4045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</row>
    <row r="33" spans="1:10" s="27" customFormat="1">
      <c r="A33" s="84">
        <v>15</v>
      </c>
      <c r="B33" s="84" t="s">
        <v>89</v>
      </c>
      <c r="C33" s="84"/>
      <c r="D33" s="57">
        <f t="shared" si="8"/>
        <v>545129</v>
      </c>
      <c r="E33" s="52">
        <f t="shared" si="9"/>
        <v>0</v>
      </c>
      <c r="F33" s="52">
        <f>E33-D33</f>
        <v>-545129</v>
      </c>
      <c r="G33" s="67">
        <f>G31</f>
        <v>0.2495</v>
      </c>
      <c r="H33" s="52">
        <f t="shared" si="10"/>
        <v>-136010</v>
      </c>
      <c r="I33" s="84"/>
      <c r="J33" s="84"/>
    </row>
    <row r="34" spans="1:10" s="27" customFormat="1">
      <c r="A34" s="84">
        <v>16</v>
      </c>
      <c r="B34" s="84" t="s">
        <v>90</v>
      </c>
      <c r="C34" s="84"/>
      <c r="D34" s="57">
        <f t="shared" si="8"/>
        <v>0</v>
      </c>
      <c r="E34" s="52">
        <f t="shared" si="9"/>
        <v>0</v>
      </c>
      <c r="F34" s="52">
        <f>E34-D34</f>
        <v>0</v>
      </c>
      <c r="G34" s="67">
        <f>G31</f>
        <v>0.2495</v>
      </c>
      <c r="H34" s="52">
        <f t="shared" si="10"/>
        <v>0</v>
      </c>
      <c r="I34" s="84"/>
      <c r="J34" s="84"/>
    </row>
    <row r="35" spans="1:10" s="27" customFormat="1">
      <c r="A35" s="84">
        <v>17</v>
      </c>
      <c r="B35" s="84" t="s">
        <v>91</v>
      </c>
      <c r="C35" s="84"/>
      <c r="D35" s="57">
        <f t="shared" si="8"/>
        <v>0</v>
      </c>
      <c r="E35" s="52">
        <f t="shared" si="9"/>
        <v>0</v>
      </c>
      <c r="F35" s="52">
        <f>E35-D35</f>
        <v>0</v>
      </c>
      <c r="G35" s="67">
        <f>G31</f>
        <v>0.2495</v>
      </c>
      <c r="H35" s="52">
        <f t="shared" si="10"/>
        <v>0</v>
      </c>
      <c r="I35" s="84"/>
      <c r="J35" s="84"/>
    </row>
    <row r="36" spans="1:10" s="27" customFormat="1">
      <c r="A36" s="84">
        <v>18</v>
      </c>
      <c r="B36" s="84" t="s">
        <v>92</v>
      </c>
      <c r="C36" s="84"/>
      <c r="D36" s="59">
        <f t="shared" si="8"/>
        <v>249310</v>
      </c>
      <c r="E36" s="65" t="str">
        <f t="shared" si="9"/>
        <v>NA</v>
      </c>
      <c r="F36" s="59">
        <f>-D36</f>
        <v>-249310</v>
      </c>
      <c r="G36" s="69">
        <f>G31</f>
        <v>0.2495</v>
      </c>
      <c r="H36" s="59">
        <f t="shared" si="10"/>
        <v>-62203</v>
      </c>
      <c r="I36" s="84"/>
      <c r="J36" s="84"/>
    </row>
    <row r="37" spans="1:10" s="27" customFormat="1">
      <c r="A37" s="84"/>
      <c r="B37" s="84"/>
      <c r="C37" s="84"/>
      <c r="D37" s="52">
        <f>SUM(D31:D36)</f>
        <v>6038103</v>
      </c>
      <c r="E37" s="52">
        <f>SUM(E31:E36)</f>
        <v>1294734</v>
      </c>
      <c r="F37" s="52">
        <f>SUM(F31:F36)</f>
        <v>-4743369</v>
      </c>
      <c r="G37" s="84"/>
      <c r="H37" s="52">
        <f>SUM(H31:H36)</f>
        <v>-1183471</v>
      </c>
      <c r="I37" s="84"/>
      <c r="J37" s="84"/>
    </row>
    <row r="39" spans="1:10" s="27" customFormat="1">
      <c r="A39" s="74" t="s">
        <v>73</v>
      </c>
      <c r="B39" s="84" t="s">
        <v>112</v>
      </c>
      <c r="C39" s="84"/>
      <c r="D39" s="84"/>
      <c r="E39" s="84"/>
      <c r="F39" s="84"/>
      <c r="G39" s="84"/>
      <c r="H39" s="84"/>
      <c r="I39" s="84"/>
      <c r="J39" s="84"/>
    </row>
    <row r="40" spans="1:10" s="27" customFormat="1">
      <c r="A40" s="74"/>
      <c r="B40" s="84"/>
      <c r="C40" s="84"/>
      <c r="D40" s="84"/>
      <c r="E40" s="84"/>
      <c r="F40" s="84"/>
      <c r="G40" s="84"/>
      <c r="H40" s="84"/>
      <c r="I40" s="84"/>
      <c r="J40" s="84"/>
    </row>
    <row r="41" spans="1:10" s="27" customFormat="1">
      <c r="A41" s="74"/>
      <c r="B41" s="25"/>
      <c r="C41" s="25"/>
      <c r="D41" s="25"/>
      <c r="E41" s="25"/>
      <c r="F41" s="25"/>
      <c r="G41" s="25"/>
      <c r="H41" s="25"/>
      <c r="I41" s="25"/>
      <c r="J41" s="25"/>
    </row>
    <row r="42" spans="1:10" s="27" customFormat="1">
      <c r="A42" s="84"/>
      <c r="B42" s="26"/>
      <c r="C42" s="70"/>
      <c r="D42" s="70"/>
      <c r="E42" s="25"/>
      <c r="F42" s="25"/>
      <c r="G42" s="25"/>
      <c r="H42" s="25"/>
      <c r="I42" s="25"/>
      <c r="J42" s="25"/>
    </row>
    <row r="43" spans="1:10" s="27" customFormat="1">
      <c r="A43" s="84"/>
      <c r="B43" s="70"/>
      <c r="C43" s="25"/>
      <c r="D43" s="25"/>
      <c r="E43" s="72"/>
      <c r="F43" s="71"/>
      <c r="G43" s="25"/>
      <c r="H43" s="25"/>
      <c r="I43" s="25"/>
      <c r="J43" s="25"/>
    </row>
    <row r="44" spans="1:10" s="27" customFormat="1">
      <c r="A44" s="84"/>
      <c r="B44" s="70"/>
      <c r="C44" s="25"/>
      <c r="D44" s="25"/>
      <c r="E44" s="121"/>
      <c r="F44" s="71"/>
      <c r="G44" s="25"/>
      <c r="H44" s="25"/>
      <c r="I44" s="25"/>
      <c r="J44" s="25"/>
    </row>
    <row r="45" spans="1:10">
      <c r="B45" s="70"/>
      <c r="E45" s="72"/>
      <c r="F45" s="71"/>
    </row>
  </sheetData>
  <mergeCells count="3">
    <mergeCell ref="F2:H2"/>
    <mergeCell ref="L16:P16"/>
    <mergeCell ref="D29:E29"/>
  </mergeCells>
  <pageMargins left="0.25" right="0.25" top="0.75" bottom="0.75" header="0.3" footer="0.3"/>
  <pageSetup scale="66" orientation="landscape" r:id="rId1"/>
  <headerFooter>
    <oddHeader>&amp;RResponse to PSC 3-3
Page &amp;P of &amp;N
Witnesses: John Brown and
William Steven Seelye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45"/>
  <sheetViews>
    <sheetView zoomScaleNormal="100" zoomScaleSheetLayoutView="100" workbookViewId="0">
      <selection activeCell="L28" sqref="L28"/>
    </sheetView>
  </sheetViews>
  <sheetFormatPr defaultColWidth="9.140625" defaultRowHeight="15"/>
  <cols>
    <col min="1" max="1" width="14.42578125" style="25" customWidth="1"/>
    <col min="2" max="2" width="18.5703125" style="25" bestFit="1" customWidth="1"/>
    <col min="3" max="4" width="12.7109375" style="25" customWidth="1"/>
    <col min="5" max="5" width="11.28515625" style="25" bestFit="1" customWidth="1"/>
    <col min="6" max="6" width="12.7109375" style="25" customWidth="1"/>
    <col min="7" max="7" width="12.42578125" style="25" bestFit="1" customWidth="1"/>
    <col min="8" max="8" width="13.140625" style="25" bestFit="1" customWidth="1"/>
    <col min="9" max="9" width="2.7109375" style="25" customWidth="1"/>
    <col min="10" max="10" width="10.7109375" style="25" customWidth="1"/>
    <col min="11" max="11" width="8.140625" style="25" bestFit="1" customWidth="1"/>
    <col min="12" max="12" width="12.7109375" style="25" customWidth="1"/>
    <col min="13" max="14" width="11.28515625" style="25" bestFit="1" customWidth="1"/>
    <col min="15" max="15" width="8.42578125" style="25" bestFit="1" customWidth="1"/>
    <col min="16" max="16" width="11.28515625" style="25" bestFit="1" customWidth="1"/>
    <col min="17" max="17" width="2.7109375" style="25" customWidth="1"/>
    <col min="18" max="18" width="13.7109375" style="25" bestFit="1" customWidth="1"/>
    <col min="19" max="19" width="7.7109375" style="25" bestFit="1" customWidth="1"/>
    <col min="20" max="20" width="7.42578125" style="25" bestFit="1" customWidth="1"/>
    <col min="21" max="16384" width="9.140625" style="25"/>
  </cols>
  <sheetData>
    <row r="1" spans="1:18">
      <c r="A1" s="22" t="s">
        <v>70</v>
      </c>
      <c r="B1" s="7">
        <v>2022</v>
      </c>
    </row>
    <row r="2" spans="1:18">
      <c r="A2" s="22" t="s">
        <v>72</v>
      </c>
      <c r="D2" s="14" t="s">
        <v>73</v>
      </c>
      <c r="F2" s="125" t="s">
        <v>75</v>
      </c>
      <c r="G2" s="125"/>
      <c r="H2" s="125"/>
    </row>
    <row r="3" spans="1:18">
      <c r="D3" s="16" t="s">
        <v>74</v>
      </c>
      <c r="F3" s="20"/>
      <c r="G3" s="14" t="s">
        <v>114</v>
      </c>
      <c r="H3" s="20"/>
      <c r="J3" s="23" t="s">
        <v>76</v>
      </c>
    </row>
    <row r="4" spans="1:18">
      <c r="C4" s="16">
        <v>2022</v>
      </c>
      <c r="D4" s="16" t="s">
        <v>77</v>
      </c>
      <c r="F4" s="16"/>
      <c r="G4" s="16" t="s">
        <v>78</v>
      </c>
      <c r="H4" s="16"/>
      <c r="J4" s="16" t="s">
        <v>79</v>
      </c>
      <c r="O4" s="16" t="s">
        <v>80</v>
      </c>
      <c r="P4" s="16" t="s">
        <v>80</v>
      </c>
    </row>
    <row r="5" spans="1:18">
      <c r="C5" s="123" t="s">
        <v>81</v>
      </c>
      <c r="D5" s="10">
        <v>1</v>
      </c>
      <c r="F5" s="123" t="s">
        <v>82</v>
      </c>
      <c r="G5" s="123" t="s">
        <v>83</v>
      </c>
      <c r="H5" s="123" t="s">
        <v>84</v>
      </c>
      <c r="J5" s="123" t="s">
        <v>85</v>
      </c>
      <c r="O5" s="123" t="s">
        <v>65</v>
      </c>
      <c r="P5" s="123" t="s">
        <v>86</v>
      </c>
    </row>
    <row r="6" spans="1:18">
      <c r="A6" s="25">
        <v>1</v>
      </c>
      <c r="B6" s="25" t="s">
        <v>87</v>
      </c>
      <c r="C6" s="100">
        <v>4281077</v>
      </c>
      <c r="D6" s="2">
        <v>3.1E-2</v>
      </c>
      <c r="F6" s="100">
        <v>0</v>
      </c>
      <c r="G6" s="18">
        <f>ROUND(IF(D$5=1,-0.5*D6*C6,-D6*C6),0)</f>
        <v>-66357</v>
      </c>
      <c r="H6" s="18">
        <f t="shared" ref="H6:H11" si="0">SUM(F6:G6)</f>
        <v>-66357</v>
      </c>
      <c r="J6" s="5">
        <f t="shared" ref="J6:J11" si="1">C6+H6</f>
        <v>4214720</v>
      </c>
      <c r="O6" s="11">
        <v>1E-4</v>
      </c>
      <c r="P6" s="17">
        <f>ROUND(IF(D$5=1,-0.5*O6*C6,-O6*C6),0)</f>
        <v>-214</v>
      </c>
    </row>
    <row r="7" spans="1:18">
      <c r="A7" s="25">
        <v>2</v>
      </c>
      <c r="B7" s="25" t="s">
        <v>88</v>
      </c>
      <c r="C7" s="100">
        <v>1654300</v>
      </c>
      <c r="D7" s="2">
        <v>2.3300000000000001E-2</v>
      </c>
      <c r="F7" s="100">
        <v>0</v>
      </c>
      <c r="G7" s="18">
        <f>ROUND(IF(D$5=1,-0.5*D7*C7,-D7*C7),0)</f>
        <v>-19273</v>
      </c>
      <c r="H7" s="18">
        <f t="shared" si="0"/>
        <v>-19273</v>
      </c>
      <c r="J7" s="5">
        <f t="shared" si="1"/>
        <v>1635027</v>
      </c>
      <c r="O7" s="11">
        <v>2.0000000000000001E-4</v>
      </c>
      <c r="P7" s="5">
        <f>ROUND(IF(D$5=1,-0.5*O7*C7,-O7*C7),0)</f>
        <v>-165</v>
      </c>
    </row>
    <row r="8" spans="1:18">
      <c r="A8" s="25">
        <v>3</v>
      </c>
      <c r="B8" s="25" t="s">
        <v>89</v>
      </c>
      <c r="C8" s="100">
        <v>375695</v>
      </c>
      <c r="D8" s="2">
        <v>2.69E-2</v>
      </c>
      <c r="F8" s="100">
        <v>0</v>
      </c>
      <c r="G8" s="18">
        <f>ROUND(IF(D$5=1,-0.5*D8*C8,-D8*C8),0)</f>
        <v>-5053</v>
      </c>
      <c r="H8" s="18">
        <f t="shared" si="0"/>
        <v>-5053</v>
      </c>
      <c r="J8" s="5">
        <f t="shared" si="1"/>
        <v>370642</v>
      </c>
      <c r="O8" s="11">
        <v>4.1999999999999997E-3</v>
      </c>
      <c r="P8" s="5">
        <f>ROUND(IF(D$5=1,-0.5*O8*C8,-O8*C8),0)</f>
        <v>-789</v>
      </c>
    </row>
    <row r="9" spans="1:18">
      <c r="A9" s="25">
        <v>4</v>
      </c>
      <c r="B9" s="25" t="s">
        <v>90</v>
      </c>
      <c r="C9" s="100">
        <v>0</v>
      </c>
      <c r="D9" s="2">
        <v>2.2499999999999999E-2</v>
      </c>
      <c r="F9" s="100">
        <v>0</v>
      </c>
      <c r="G9" s="18">
        <f>ROUND(IF(D$5=1,-0.5*D9*C9,-D9*C9),0)</f>
        <v>0</v>
      </c>
      <c r="H9" s="18">
        <f t="shared" si="0"/>
        <v>0</v>
      </c>
      <c r="J9" s="5">
        <f t="shared" si="1"/>
        <v>0</v>
      </c>
      <c r="O9" s="11">
        <v>0</v>
      </c>
      <c r="P9" s="5">
        <f>IF(D$5=1,-0.5*O9*C9,-O9*C9)</f>
        <v>0</v>
      </c>
    </row>
    <row r="10" spans="1:18">
      <c r="A10" s="25">
        <v>5</v>
      </c>
      <c r="B10" s="25" t="s">
        <v>91</v>
      </c>
      <c r="C10" s="100">
        <v>0</v>
      </c>
      <c r="D10" s="2">
        <v>2.0500000000000001E-2</v>
      </c>
      <c r="F10" s="100">
        <v>0</v>
      </c>
      <c r="G10" s="18">
        <f>ROUND(IF(D$5=1,-0.5*D10*C10,-D10*C10),0)</f>
        <v>0</v>
      </c>
      <c r="H10" s="18">
        <f t="shared" si="0"/>
        <v>0</v>
      </c>
      <c r="J10" s="5">
        <f t="shared" si="1"/>
        <v>0</v>
      </c>
      <c r="O10" s="11">
        <v>0</v>
      </c>
      <c r="P10" s="5">
        <f>IF(D$5=1,-0.5*O10*C10,-O10*C10)</f>
        <v>0</v>
      </c>
    </row>
    <row r="11" spans="1:18">
      <c r="A11" s="25">
        <v>6</v>
      </c>
      <c r="B11" s="25" t="s">
        <v>92</v>
      </c>
      <c r="C11" s="101">
        <v>253736</v>
      </c>
      <c r="D11" s="3" t="s">
        <v>93</v>
      </c>
      <c r="F11" s="101">
        <v>0</v>
      </c>
      <c r="G11" s="21">
        <f>P12</f>
        <v>-1168</v>
      </c>
      <c r="H11" s="21">
        <f t="shared" si="0"/>
        <v>-1168</v>
      </c>
      <c r="J11" s="6">
        <f t="shared" si="1"/>
        <v>252568</v>
      </c>
      <c r="O11" s="24">
        <v>0</v>
      </c>
      <c r="P11" s="6">
        <f>IF(D$5=1,-0.5*O11*C11,-O11*C11)</f>
        <v>0</v>
      </c>
    </row>
    <row r="12" spans="1:18">
      <c r="C12" s="18">
        <f>SUM(C6:C11)</f>
        <v>6564808</v>
      </c>
      <c r="D12" s="18"/>
      <c r="F12" s="100">
        <f>SUM(F5:F11)</f>
        <v>0</v>
      </c>
      <c r="G12" s="18">
        <f>SUM(G5:G11)</f>
        <v>-91851</v>
      </c>
      <c r="H12" s="18">
        <f>SUM(H5:H11)</f>
        <v>-91851</v>
      </c>
      <c r="J12" s="5">
        <f>SUM(J6:J11)</f>
        <v>6472957</v>
      </c>
      <c r="O12" s="5"/>
      <c r="P12" s="17">
        <f>SUM(P5:P11)</f>
        <v>-1168</v>
      </c>
    </row>
    <row r="13" spans="1:18" ht="14.25" customHeight="1">
      <c r="C13" s="18"/>
      <c r="D13" s="18"/>
      <c r="E13" s="18"/>
      <c r="F13" s="18"/>
      <c r="M13" s="16"/>
      <c r="N13" s="20"/>
    </row>
    <row r="14" spans="1:18">
      <c r="M14" s="16"/>
      <c r="N14" s="20"/>
    </row>
    <row r="15" spans="1:18">
      <c r="D15" s="16"/>
    </row>
    <row r="16" spans="1:18" s="27" customFormat="1">
      <c r="A16" s="84"/>
      <c r="B16" s="84"/>
      <c r="C16" s="93"/>
      <c r="D16" s="95" t="s">
        <v>94</v>
      </c>
      <c r="E16" s="93"/>
      <c r="F16" s="93"/>
      <c r="G16" s="48">
        <v>0</v>
      </c>
      <c r="H16" s="93"/>
      <c r="I16" s="84"/>
      <c r="J16" s="49"/>
      <c r="K16" s="95" t="s">
        <v>95</v>
      </c>
      <c r="L16" s="124" t="s">
        <v>96</v>
      </c>
      <c r="M16" s="124"/>
      <c r="N16" s="124"/>
      <c r="O16" s="124"/>
      <c r="P16" s="124"/>
      <c r="Q16" s="84"/>
      <c r="R16" s="50" t="s">
        <v>97</v>
      </c>
    </row>
    <row r="17" spans="1:18" s="27" customFormat="1">
      <c r="A17" s="84"/>
      <c r="B17" s="84"/>
      <c r="C17" s="95" t="s">
        <v>76</v>
      </c>
      <c r="D17" s="95" t="s">
        <v>83</v>
      </c>
      <c r="E17" s="95" t="s">
        <v>97</v>
      </c>
      <c r="F17" s="95" t="s">
        <v>97</v>
      </c>
      <c r="G17" s="95" t="s">
        <v>98</v>
      </c>
      <c r="H17" s="95" t="s">
        <v>99</v>
      </c>
      <c r="I17" s="84"/>
      <c r="J17" s="95"/>
      <c r="K17" s="95" t="s">
        <v>100</v>
      </c>
      <c r="L17" s="95"/>
      <c r="M17" s="95" t="s">
        <v>97</v>
      </c>
      <c r="N17" s="95" t="s">
        <v>98</v>
      </c>
      <c r="O17" s="95" t="s">
        <v>95</v>
      </c>
      <c r="P17" s="95"/>
      <c r="Q17" s="84"/>
      <c r="R17" s="95" t="s">
        <v>79</v>
      </c>
    </row>
    <row r="18" spans="1:18" s="27" customFormat="1">
      <c r="A18" s="84"/>
      <c r="B18" s="84"/>
      <c r="C18" s="122" t="s">
        <v>81</v>
      </c>
      <c r="D18" s="122" t="s">
        <v>101</v>
      </c>
      <c r="E18" s="122" t="s">
        <v>83</v>
      </c>
      <c r="F18" s="122" t="s">
        <v>102</v>
      </c>
      <c r="G18" s="122" t="s">
        <v>78</v>
      </c>
      <c r="H18" s="122" t="s">
        <v>103</v>
      </c>
      <c r="I18" s="84"/>
      <c r="J18" s="122" t="s">
        <v>104</v>
      </c>
      <c r="K18" s="122">
        <f>D5</f>
        <v>1</v>
      </c>
      <c r="L18" s="122" t="s">
        <v>82</v>
      </c>
      <c r="M18" s="122" t="s">
        <v>83</v>
      </c>
      <c r="N18" s="122" t="s">
        <v>86</v>
      </c>
      <c r="O18" s="122" t="s">
        <v>86</v>
      </c>
      <c r="P18" s="122" t="s">
        <v>84</v>
      </c>
      <c r="Q18" s="84"/>
      <c r="R18" s="122" t="s">
        <v>85</v>
      </c>
    </row>
    <row r="19" spans="1:18" s="27" customFormat="1">
      <c r="A19" s="84">
        <v>7</v>
      </c>
      <c r="B19" s="84" t="s">
        <v>87</v>
      </c>
      <c r="C19" s="87">
        <f t="shared" ref="C19:C24" si="2">C6</f>
        <v>4281077</v>
      </c>
      <c r="D19" s="56">
        <v>0.74450000000000005</v>
      </c>
      <c r="E19" s="87">
        <f>ROUND(C19*-D19,0)</f>
        <v>-3187262</v>
      </c>
      <c r="F19" s="52">
        <f>C19+E19</f>
        <v>1093815</v>
      </c>
      <c r="G19" s="52">
        <f t="shared" ref="G19:G24" si="3">ROUND(F19*-$G$16,0)</f>
        <v>0</v>
      </c>
      <c r="H19" s="53">
        <f t="shared" ref="H19:H24" si="4">F19+G19</f>
        <v>1093815</v>
      </c>
      <c r="I19" s="84"/>
      <c r="J19" s="84">
        <v>15</v>
      </c>
      <c r="K19" s="54">
        <f>IFERROR(VLOOKUP(J19,'Tax Rates'!$A$1:$AA$12,$K$18+1,FALSE),0)</f>
        <v>0.05</v>
      </c>
      <c r="L19" s="102">
        <v>0</v>
      </c>
      <c r="M19" s="52">
        <f>E19</f>
        <v>-3187262</v>
      </c>
      <c r="N19" s="52">
        <f t="shared" ref="N19:N24" si="5">G19</f>
        <v>0</v>
      </c>
      <c r="O19" s="87">
        <f>ROUND(K19*-H19,0)</f>
        <v>-54691</v>
      </c>
      <c r="P19" s="55">
        <f t="shared" ref="P19:P24" si="6">SUM(L19:O19)</f>
        <v>-3241953</v>
      </c>
      <c r="Q19" s="84"/>
      <c r="R19" s="52">
        <f>C19+P19</f>
        <v>1039124</v>
      </c>
    </row>
    <row r="20" spans="1:18" s="27" customFormat="1">
      <c r="A20" s="84">
        <v>8</v>
      </c>
      <c r="B20" s="84" t="s">
        <v>88</v>
      </c>
      <c r="C20" s="87">
        <f t="shared" si="2"/>
        <v>1654300</v>
      </c>
      <c r="D20" s="56">
        <f>IF(C20=0,0,-E20/C20)</f>
        <v>0</v>
      </c>
      <c r="E20" s="34">
        <v>0</v>
      </c>
      <c r="F20" s="52">
        <f>C20+E20</f>
        <v>1654300</v>
      </c>
      <c r="G20" s="52">
        <f t="shared" si="3"/>
        <v>0</v>
      </c>
      <c r="H20" s="53">
        <f t="shared" si="4"/>
        <v>1654300</v>
      </c>
      <c r="I20" s="84"/>
      <c r="J20" s="84">
        <v>15</v>
      </c>
      <c r="K20" s="54">
        <f>IFERROR(VLOOKUP(J20,'Tax Rates'!$A$1:$AA$12,$K$18+1,FALSE),0)</f>
        <v>0.05</v>
      </c>
      <c r="L20" s="102">
        <v>0</v>
      </c>
      <c r="M20" s="52">
        <f t="shared" ref="M20:M24" si="7">E20</f>
        <v>0</v>
      </c>
      <c r="N20" s="52">
        <f t="shared" si="5"/>
        <v>0</v>
      </c>
      <c r="O20" s="87">
        <f>ROUND(K20*-H20,0)</f>
        <v>-82715</v>
      </c>
      <c r="P20" s="55">
        <f t="shared" si="6"/>
        <v>-82715</v>
      </c>
      <c r="Q20" s="84"/>
      <c r="R20" s="52">
        <f>C20+P20</f>
        <v>1571585</v>
      </c>
    </row>
    <row r="21" spans="1:18" s="27" customFormat="1">
      <c r="A21" s="84">
        <v>9</v>
      </c>
      <c r="B21" s="84" t="s">
        <v>89</v>
      </c>
      <c r="C21" s="87">
        <f t="shared" si="2"/>
        <v>375695</v>
      </c>
      <c r="D21" s="51">
        <v>1</v>
      </c>
      <c r="E21" s="87">
        <f>ROUND(C21*-D21,0)</f>
        <v>-375695</v>
      </c>
      <c r="F21" s="52">
        <f>C21+E21</f>
        <v>0</v>
      </c>
      <c r="G21" s="57">
        <f t="shared" si="3"/>
        <v>0</v>
      </c>
      <c r="H21" s="53">
        <f t="shared" si="4"/>
        <v>0</v>
      </c>
      <c r="I21" s="84"/>
      <c r="J21" s="84">
        <v>20</v>
      </c>
      <c r="K21" s="54">
        <f>IFERROR(VLOOKUP(J21,'Tax Rates'!$A$1:$AA$12,$K$18+1,FALSE),0)</f>
        <v>3.7499999999999999E-2</v>
      </c>
      <c r="L21" s="102">
        <v>0</v>
      </c>
      <c r="M21" s="52">
        <f t="shared" si="7"/>
        <v>-375695</v>
      </c>
      <c r="N21" s="52">
        <f t="shared" si="5"/>
        <v>0</v>
      </c>
      <c r="O21" s="87">
        <f>ROUND(K21*-H21,0)</f>
        <v>0</v>
      </c>
      <c r="P21" s="55">
        <f t="shared" si="6"/>
        <v>-375695</v>
      </c>
      <c r="Q21" s="84"/>
      <c r="R21" s="52">
        <f>C21+P21</f>
        <v>0</v>
      </c>
    </row>
    <row r="22" spans="1:18" s="27" customFormat="1">
      <c r="A22" s="84">
        <v>10</v>
      </c>
      <c r="B22" s="84" t="s">
        <v>90</v>
      </c>
      <c r="C22" s="87">
        <f t="shared" si="2"/>
        <v>0</v>
      </c>
      <c r="D22" s="51">
        <v>0</v>
      </c>
      <c r="E22" s="87">
        <f>ROUND(C22*-D22,0)</f>
        <v>0</v>
      </c>
      <c r="F22" s="52">
        <f>C22+E22</f>
        <v>0</v>
      </c>
      <c r="G22" s="57">
        <f t="shared" si="3"/>
        <v>0</v>
      </c>
      <c r="H22" s="53">
        <f t="shared" si="4"/>
        <v>0</v>
      </c>
      <c r="I22" s="84"/>
      <c r="J22" s="84">
        <v>7</v>
      </c>
      <c r="K22" s="54">
        <f>IFERROR(VLOOKUP(J22,'Tax Rates'!$A$1:$AA$12,$K$18+1,FALSE),0)</f>
        <v>0.14285999999999999</v>
      </c>
      <c r="L22" s="102">
        <v>0</v>
      </c>
      <c r="M22" s="52">
        <f t="shared" si="7"/>
        <v>0</v>
      </c>
      <c r="N22" s="52">
        <f t="shared" si="5"/>
        <v>0</v>
      </c>
      <c r="O22" s="87">
        <f>ROUND(K22*-H22,0)</f>
        <v>0</v>
      </c>
      <c r="P22" s="55">
        <f t="shared" si="6"/>
        <v>0</v>
      </c>
      <c r="Q22" s="84"/>
      <c r="R22" s="52">
        <f>C22+P22</f>
        <v>0</v>
      </c>
    </row>
    <row r="23" spans="1:18" s="27" customFormat="1">
      <c r="A23" s="84">
        <v>11</v>
      </c>
      <c r="B23" s="84" t="s">
        <v>91</v>
      </c>
      <c r="C23" s="87">
        <f t="shared" si="2"/>
        <v>0</v>
      </c>
      <c r="D23" s="51">
        <v>0</v>
      </c>
      <c r="E23" s="87">
        <f>ROUND(C23*-D23,0)</f>
        <v>0</v>
      </c>
      <c r="F23" s="52">
        <f>C23+E23</f>
        <v>0</v>
      </c>
      <c r="G23" s="57">
        <f t="shared" si="3"/>
        <v>0</v>
      </c>
      <c r="H23" s="53">
        <f t="shared" si="4"/>
        <v>0</v>
      </c>
      <c r="I23" s="84"/>
      <c r="J23" s="84">
        <v>15</v>
      </c>
      <c r="K23" s="54">
        <f>IFERROR(VLOOKUP(J23,'Tax Rates'!$A$1:$AA$12,$K$18+1,FALSE),0)</f>
        <v>0.05</v>
      </c>
      <c r="L23" s="102">
        <v>0</v>
      </c>
      <c r="M23" s="52">
        <f t="shared" si="7"/>
        <v>0</v>
      </c>
      <c r="N23" s="52">
        <f t="shared" si="5"/>
        <v>0</v>
      </c>
      <c r="O23" s="87">
        <f>ROUND(K23*-H23,0)</f>
        <v>0</v>
      </c>
      <c r="P23" s="55">
        <f t="shared" si="6"/>
        <v>0</v>
      </c>
      <c r="Q23" s="84"/>
      <c r="R23" s="52">
        <f>C23+P23</f>
        <v>0</v>
      </c>
    </row>
    <row r="24" spans="1:18" s="27" customFormat="1">
      <c r="A24" s="84">
        <v>12</v>
      </c>
      <c r="B24" s="84" t="s">
        <v>92</v>
      </c>
      <c r="C24" s="87">
        <f t="shared" si="2"/>
        <v>253736</v>
      </c>
      <c r="D24" s="58" t="s">
        <v>105</v>
      </c>
      <c r="E24" s="88">
        <v>0</v>
      </c>
      <c r="F24" s="59">
        <v>0</v>
      </c>
      <c r="G24" s="59">
        <f t="shared" si="3"/>
        <v>0</v>
      </c>
      <c r="H24" s="60">
        <f t="shared" si="4"/>
        <v>0</v>
      </c>
      <c r="I24" s="84"/>
      <c r="J24" s="61" t="s">
        <v>105</v>
      </c>
      <c r="K24" s="62" t="s">
        <v>105</v>
      </c>
      <c r="L24" s="103">
        <v>0</v>
      </c>
      <c r="M24" s="59">
        <f t="shared" si="7"/>
        <v>0</v>
      </c>
      <c r="N24" s="63">
        <f t="shared" si="5"/>
        <v>0</v>
      </c>
      <c r="O24" s="88">
        <v>0</v>
      </c>
      <c r="P24" s="64">
        <f t="shared" si="6"/>
        <v>0</v>
      </c>
      <c r="Q24" s="84"/>
      <c r="R24" s="65" t="s">
        <v>105</v>
      </c>
    </row>
    <row r="25" spans="1:18" s="27" customFormat="1">
      <c r="A25" s="84"/>
      <c r="B25" s="84"/>
      <c r="C25" s="87">
        <f>SUM(C18:C24)</f>
        <v>6564808</v>
      </c>
      <c r="D25" s="84"/>
      <c r="E25" s="87">
        <f>SUM(E19:E24)</f>
        <v>-3562957</v>
      </c>
      <c r="F25" s="87">
        <f>SUM(F19:F24)</f>
        <v>2748115</v>
      </c>
      <c r="G25" s="87">
        <f>SUM(G19:G24)</f>
        <v>0</v>
      </c>
      <c r="H25" s="55">
        <f>SUM(H19:H24)</f>
        <v>2748115</v>
      </c>
      <c r="I25" s="84"/>
      <c r="J25" s="84"/>
      <c r="K25" s="84"/>
      <c r="L25" s="55">
        <f>SUM(L19:L24)</f>
        <v>0</v>
      </c>
      <c r="M25" s="87">
        <f>SUM(M19:M24)</f>
        <v>-3562957</v>
      </c>
      <c r="N25" s="87">
        <f>SUM(N19:N24)</f>
        <v>0</v>
      </c>
      <c r="O25" s="87">
        <f>SUM(O19:O24)</f>
        <v>-137406</v>
      </c>
      <c r="P25" s="55">
        <f>SUM(P19:P24)</f>
        <v>-3700363</v>
      </c>
      <c r="Q25" s="84"/>
      <c r="R25" s="52">
        <f>SUM(R19:R24)</f>
        <v>2610709</v>
      </c>
    </row>
    <row r="26" spans="1:18" s="27" customFormat="1">
      <c r="A26" s="84"/>
      <c r="B26" s="84"/>
      <c r="C26" s="87"/>
      <c r="D26" s="84"/>
      <c r="E26" s="87"/>
      <c r="F26" s="87"/>
      <c r="G26" s="87"/>
      <c r="H26" s="55"/>
      <c r="I26" s="84"/>
      <c r="J26" s="55"/>
      <c r="K26" s="87"/>
      <c r="L26" s="87"/>
      <c r="M26" s="87"/>
      <c r="N26" s="55"/>
      <c r="O26" s="84"/>
      <c r="P26" s="84"/>
      <c r="Q26" s="84"/>
      <c r="R26" s="84"/>
    </row>
    <row r="27" spans="1:18" s="27" customForma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s="27" customFormat="1">
      <c r="A28" s="84"/>
      <c r="B28" s="84"/>
      <c r="C28" s="84"/>
      <c r="D28" s="84"/>
      <c r="E28" s="87"/>
      <c r="F28" s="50" t="s">
        <v>106</v>
      </c>
      <c r="G28" s="66"/>
      <c r="H28" s="67"/>
      <c r="I28" s="84"/>
      <c r="J28" s="84"/>
      <c r="K28" s="84"/>
      <c r="L28" s="84"/>
      <c r="M28" s="84"/>
      <c r="N28" s="84"/>
      <c r="O28" s="84"/>
      <c r="P28" s="84"/>
      <c r="Q28" s="84"/>
      <c r="R28" s="84"/>
    </row>
    <row r="29" spans="1:18" s="27" customFormat="1">
      <c r="A29" s="84"/>
      <c r="B29" s="84"/>
      <c r="C29" s="84"/>
      <c r="D29" s="124" t="s">
        <v>107</v>
      </c>
      <c r="E29" s="124"/>
      <c r="F29" s="50" t="s">
        <v>108</v>
      </c>
      <c r="G29" s="50" t="s">
        <v>109</v>
      </c>
      <c r="H29" s="95" t="s">
        <v>110</v>
      </c>
      <c r="I29" s="84"/>
      <c r="J29" s="84"/>
      <c r="K29" s="84"/>
      <c r="L29" s="84"/>
      <c r="M29" s="84"/>
      <c r="N29" s="84"/>
      <c r="O29" s="84"/>
      <c r="P29" s="84"/>
      <c r="Q29" s="84"/>
      <c r="R29" s="84"/>
    </row>
    <row r="30" spans="1:18" s="27" customFormat="1">
      <c r="A30" s="84"/>
      <c r="B30" s="84"/>
      <c r="C30" s="84"/>
      <c r="D30" s="122" t="s">
        <v>76</v>
      </c>
      <c r="E30" s="122" t="s">
        <v>97</v>
      </c>
      <c r="F30" s="122" t="s">
        <v>5</v>
      </c>
      <c r="G30" s="122" t="s">
        <v>65</v>
      </c>
      <c r="H30" s="122" t="s">
        <v>111</v>
      </c>
      <c r="I30" s="84"/>
      <c r="J30" s="84"/>
      <c r="K30" s="84"/>
      <c r="L30" s="84"/>
      <c r="M30" s="84"/>
      <c r="N30" s="84"/>
      <c r="O30" s="84"/>
      <c r="P30" s="84"/>
      <c r="Q30" s="84"/>
      <c r="R30" s="84"/>
    </row>
    <row r="31" spans="1:18" s="27" customFormat="1">
      <c r="A31" s="84">
        <v>13</v>
      </c>
      <c r="B31" s="84" t="s">
        <v>87</v>
      </c>
      <c r="C31" s="84"/>
      <c r="D31" s="52">
        <f t="shared" ref="D31:D36" si="8">J6</f>
        <v>4214720</v>
      </c>
      <c r="E31" s="52">
        <f>R19</f>
        <v>1039124</v>
      </c>
      <c r="F31" s="52">
        <f>E31-D31</f>
        <v>-3175596</v>
      </c>
      <c r="G31" s="68">
        <v>0.2495</v>
      </c>
      <c r="H31" s="52">
        <f>ROUND(F31*G31,0)</f>
        <v>-792311</v>
      </c>
      <c r="I31" s="84"/>
      <c r="J31" s="84"/>
      <c r="K31" s="84"/>
      <c r="L31" s="84"/>
      <c r="M31" s="84"/>
      <c r="N31" s="84"/>
      <c r="O31" s="84"/>
      <c r="P31" s="84"/>
      <c r="Q31" s="84"/>
      <c r="R31" s="84"/>
    </row>
    <row r="32" spans="1:18" s="27" customFormat="1">
      <c r="A32" s="84">
        <v>14</v>
      </c>
      <c r="B32" s="84" t="s">
        <v>88</v>
      </c>
      <c r="C32" s="84"/>
      <c r="D32" s="57">
        <f t="shared" si="8"/>
        <v>1635027</v>
      </c>
      <c r="E32" s="52">
        <f t="shared" ref="E32:E36" si="9">R20</f>
        <v>1571585</v>
      </c>
      <c r="F32" s="52">
        <f>E32-D32</f>
        <v>-63442</v>
      </c>
      <c r="G32" s="67">
        <f>G31</f>
        <v>0.2495</v>
      </c>
      <c r="H32" s="52">
        <f t="shared" ref="H32:H36" si="10">ROUND(F32*G32,0)</f>
        <v>-15829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</row>
    <row r="33" spans="1:10" s="27" customFormat="1">
      <c r="A33" s="84">
        <v>15</v>
      </c>
      <c r="B33" s="84" t="s">
        <v>89</v>
      </c>
      <c r="C33" s="84"/>
      <c r="D33" s="57">
        <f t="shared" si="8"/>
        <v>370642</v>
      </c>
      <c r="E33" s="52">
        <f t="shared" si="9"/>
        <v>0</v>
      </c>
      <c r="F33" s="52">
        <f>E33-D33</f>
        <v>-370642</v>
      </c>
      <c r="G33" s="67">
        <f>G31</f>
        <v>0.2495</v>
      </c>
      <c r="H33" s="52">
        <f t="shared" si="10"/>
        <v>-92475</v>
      </c>
      <c r="I33" s="84"/>
      <c r="J33" s="84"/>
    </row>
    <row r="34" spans="1:10" s="27" customFormat="1">
      <c r="A34" s="84">
        <v>16</v>
      </c>
      <c r="B34" s="84" t="s">
        <v>90</v>
      </c>
      <c r="C34" s="84"/>
      <c r="D34" s="57">
        <f t="shared" si="8"/>
        <v>0</v>
      </c>
      <c r="E34" s="52">
        <f t="shared" si="9"/>
        <v>0</v>
      </c>
      <c r="F34" s="52">
        <f>E34-D34</f>
        <v>0</v>
      </c>
      <c r="G34" s="67">
        <f>G31</f>
        <v>0.2495</v>
      </c>
      <c r="H34" s="52">
        <f t="shared" si="10"/>
        <v>0</v>
      </c>
      <c r="I34" s="84"/>
      <c r="J34" s="84"/>
    </row>
    <row r="35" spans="1:10" s="27" customFormat="1">
      <c r="A35" s="84">
        <v>17</v>
      </c>
      <c r="B35" s="84" t="s">
        <v>91</v>
      </c>
      <c r="C35" s="84"/>
      <c r="D35" s="57">
        <f t="shared" si="8"/>
        <v>0</v>
      </c>
      <c r="E35" s="52">
        <f t="shared" si="9"/>
        <v>0</v>
      </c>
      <c r="F35" s="52">
        <f>E35-D35</f>
        <v>0</v>
      </c>
      <c r="G35" s="67">
        <f>G31</f>
        <v>0.2495</v>
      </c>
      <c r="H35" s="52">
        <f t="shared" si="10"/>
        <v>0</v>
      </c>
      <c r="I35" s="84"/>
      <c r="J35" s="84"/>
    </row>
    <row r="36" spans="1:10" s="27" customFormat="1">
      <c r="A36" s="84">
        <v>18</v>
      </c>
      <c r="B36" s="84" t="s">
        <v>92</v>
      </c>
      <c r="C36" s="84"/>
      <c r="D36" s="59">
        <f t="shared" si="8"/>
        <v>252568</v>
      </c>
      <c r="E36" s="65" t="str">
        <f t="shared" si="9"/>
        <v>NA</v>
      </c>
      <c r="F36" s="59">
        <f>-D36</f>
        <v>-252568</v>
      </c>
      <c r="G36" s="69">
        <f>G31</f>
        <v>0.2495</v>
      </c>
      <c r="H36" s="59">
        <f t="shared" si="10"/>
        <v>-63016</v>
      </c>
      <c r="I36" s="84"/>
      <c r="J36" s="84"/>
    </row>
    <row r="37" spans="1:10" s="27" customFormat="1">
      <c r="A37" s="84"/>
      <c r="B37" s="84"/>
      <c r="C37" s="84"/>
      <c r="D37" s="52">
        <f>SUM(D31:D36)</f>
        <v>6472957</v>
      </c>
      <c r="E37" s="52">
        <f>SUM(E31:E36)</f>
        <v>2610709</v>
      </c>
      <c r="F37" s="52">
        <f>SUM(F31:F36)</f>
        <v>-3862248</v>
      </c>
      <c r="G37" s="84"/>
      <c r="H37" s="52">
        <f>SUM(H31:H36)</f>
        <v>-963631</v>
      </c>
      <c r="I37" s="84"/>
      <c r="J37" s="84"/>
    </row>
    <row r="39" spans="1:10" s="27" customFormat="1">
      <c r="A39" s="74" t="s">
        <v>73</v>
      </c>
      <c r="B39" s="84" t="s">
        <v>112</v>
      </c>
      <c r="C39" s="84"/>
      <c r="D39" s="84"/>
      <c r="E39" s="84"/>
      <c r="F39" s="84"/>
      <c r="G39" s="84"/>
      <c r="H39" s="84"/>
      <c r="I39" s="84"/>
      <c r="J39" s="84"/>
    </row>
    <row r="40" spans="1:10" s="27" customFormat="1">
      <c r="A40" s="74" t="s">
        <v>114</v>
      </c>
      <c r="B40" s="84" t="s">
        <v>124</v>
      </c>
      <c r="C40" s="84"/>
      <c r="D40" s="84"/>
      <c r="E40" s="84"/>
      <c r="F40" s="84"/>
      <c r="G40" s="84"/>
      <c r="H40" s="84"/>
      <c r="I40" s="84"/>
      <c r="J40" s="84"/>
    </row>
    <row r="41" spans="1:10" s="27" customFormat="1">
      <c r="A41" s="74"/>
      <c r="B41" s="25"/>
      <c r="C41" s="25"/>
      <c r="D41" s="25"/>
      <c r="E41" s="25"/>
      <c r="F41" s="25"/>
      <c r="G41" s="25"/>
      <c r="H41" s="25"/>
      <c r="I41" s="25"/>
      <c r="J41" s="25"/>
    </row>
    <row r="42" spans="1:10" s="27" customFormat="1">
      <c r="A42" s="84"/>
      <c r="B42" s="26"/>
      <c r="C42" s="70"/>
      <c r="D42" s="70"/>
      <c r="E42" s="25"/>
      <c r="F42" s="25"/>
      <c r="G42" s="25"/>
      <c r="H42" s="25"/>
      <c r="I42" s="25"/>
      <c r="J42" s="25"/>
    </row>
    <row r="43" spans="1:10" s="27" customFormat="1">
      <c r="A43" s="84"/>
      <c r="B43" s="70"/>
      <c r="C43" s="25"/>
      <c r="D43" s="25"/>
      <c r="E43" s="72"/>
      <c r="F43" s="71"/>
      <c r="G43" s="25"/>
      <c r="H43" s="25"/>
      <c r="I43" s="25"/>
      <c r="J43" s="25"/>
    </row>
    <row r="44" spans="1:10" s="27" customFormat="1">
      <c r="A44" s="84"/>
      <c r="B44" s="70"/>
      <c r="C44" s="25"/>
      <c r="D44" s="25"/>
      <c r="E44" s="121"/>
      <c r="F44" s="71"/>
      <c r="G44" s="25"/>
      <c r="H44" s="25"/>
      <c r="I44" s="25"/>
      <c r="J44" s="25"/>
    </row>
    <row r="45" spans="1:10">
      <c r="B45" s="70"/>
      <c r="E45" s="72"/>
      <c r="F45" s="71"/>
    </row>
  </sheetData>
  <mergeCells count="3">
    <mergeCell ref="F2:H2"/>
    <mergeCell ref="L16:P16"/>
    <mergeCell ref="D29:E29"/>
  </mergeCells>
  <pageMargins left="0.25" right="0.25" top="0.75" bottom="0.75" header="0.3" footer="0.3"/>
  <pageSetup scale="66" orientation="landscape" r:id="rId1"/>
  <headerFooter>
    <oddHeader>&amp;RResponse to PSC 3-3
Page &amp;P of &amp;N
Witnesses: John Brown and
William Steven Seelye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49"/>
  <sheetViews>
    <sheetView view="pageBreakPreview" topLeftCell="A12" zoomScaleNormal="80" zoomScaleSheetLayoutView="100" workbookViewId="0">
      <selection activeCell="E44" sqref="E44"/>
    </sheetView>
  </sheetViews>
  <sheetFormatPr defaultColWidth="9.140625" defaultRowHeight="15"/>
  <cols>
    <col min="1" max="1" width="4.7109375" style="27" customWidth="1"/>
    <col min="2" max="2" width="38.42578125" style="27" customWidth="1"/>
    <col min="3" max="3" width="16" style="27" bestFit="1" customWidth="1"/>
    <col min="4" max="4" width="2.7109375" style="27" customWidth="1"/>
    <col min="5" max="5" width="12.5703125" style="27" customWidth="1"/>
    <col min="6" max="16384" width="9.140625" style="27"/>
  </cols>
  <sheetData>
    <row r="1" spans="1:9">
      <c r="A1" s="83" t="s">
        <v>17</v>
      </c>
      <c r="B1" s="84"/>
      <c r="C1" s="84"/>
      <c r="D1" s="84"/>
      <c r="E1" s="84"/>
      <c r="F1" s="75" t="s">
        <v>125</v>
      </c>
      <c r="G1" s="84"/>
      <c r="H1" s="84"/>
      <c r="I1" s="84"/>
    </row>
    <row r="2" spans="1:9">
      <c r="A2" s="83" t="s">
        <v>126</v>
      </c>
      <c r="B2" s="84"/>
      <c r="C2" s="84"/>
      <c r="D2" s="84"/>
      <c r="E2" s="84"/>
      <c r="F2" s="84"/>
      <c r="G2" s="84"/>
      <c r="H2" s="84"/>
      <c r="I2" s="84"/>
    </row>
    <row r="3" spans="1:9">
      <c r="A3" s="76"/>
      <c r="B3" s="76"/>
      <c r="C3" s="76"/>
      <c r="D3" s="76"/>
      <c r="E3" s="76"/>
      <c r="F3" s="93"/>
      <c r="G3" s="93"/>
      <c r="H3" s="93"/>
      <c r="I3" s="84"/>
    </row>
    <row r="4" spans="1:9">
      <c r="A4" s="84"/>
      <c r="B4" s="84"/>
      <c r="C4" s="84"/>
      <c r="D4" s="84"/>
      <c r="E4" s="84"/>
      <c r="F4" s="93"/>
      <c r="G4" s="93"/>
      <c r="H4" s="93"/>
      <c r="I4" s="84"/>
    </row>
    <row r="5" spans="1:9">
      <c r="A5" s="83" t="s">
        <v>127</v>
      </c>
      <c r="B5" s="84"/>
      <c r="C5" s="84"/>
      <c r="D5" s="84"/>
      <c r="E5" s="84"/>
      <c r="F5" s="93"/>
      <c r="G5" s="93"/>
      <c r="H5" s="93"/>
      <c r="I5" s="93"/>
    </row>
    <row r="6" spans="1:9">
      <c r="A6" s="84"/>
      <c r="B6" s="83"/>
      <c r="C6" s="84"/>
      <c r="D6" s="84"/>
      <c r="E6" s="84"/>
      <c r="F6" s="93"/>
      <c r="G6" s="93"/>
      <c r="H6" s="93"/>
      <c r="I6" s="93"/>
    </row>
    <row r="7" spans="1:9">
      <c r="A7" s="84"/>
      <c r="B7" s="83"/>
      <c r="C7" s="84"/>
      <c r="D7" s="84"/>
      <c r="E7" s="84"/>
      <c r="F7" s="93"/>
      <c r="G7" s="93"/>
      <c r="H7" s="93"/>
      <c r="I7" s="93"/>
    </row>
    <row r="8" spans="1:9">
      <c r="A8" s="84"/>
      <c r="B8" s="83">
        <v>2010</v>
      </c>
      <c r="C8" s="98">
        <f>-'2010'!G12</f>
        <v>29643</v>
      </c>
      <c r="D8" s="84"/>
      <c r="E8" s="84"/>
      <c r="F8" s="93"/>
      <c r="G8" s="93"/>
      <c r="H8" s="93"/>
      <c r="I8" s="93"/>
    </row>
    <row r="9" spans="1:9">
      <c r="A9" s="84"/>
      <c r="B9" s="83">
        <v>2011</v>
      </c>
      <c r="C9" s="98">
        <f>-'2011'!G12</f>
        <v>39770</v>
      </c>
      <c r="D9" s="84"/>
      <c r="E9" s="84"/>
      <c r="F9" s="93"/>
      <c r="G9" s="93"/>
      <c r="H9" s="93"/>
      <c r="I9" s="93"/>
    </row>
    <row r="10" spans="1:9">
      <c r="A10" s="84"/>
      <c r="B10" s="83">
        <v>2012</v>
      </c>
      <c r="C10" s="98">
        <f>-'2012'!G12</f>
        <v>90827</v>
      </c>
      <c r="D10" s="84"/>
      <c r="E10" s="84"/>
      <c r="F10" s="93"/>
      <c r="G10" s="93"/>
      <c r="H10" s="93"/>
      <c r="I10" s="84"/>
    </row>
    <row r="11" spans="1:9">
      <c r="A11" s="84"/>
      <c r="B11" s="83">
        <v>2013</v>
      </c>
      <c r="C11" s="98">
        <f>-'2013'!G12</f>
        <v>68191</v>
      </c>
      <c r="D11" s="84"/>
      <c r="E11" s="84"/>
      <c r="F11" s="93"/>
      <c r="G11" s="93"/>
      <c r="H11" s="93"/>
      <c r="I11" s="84"/>
    </row>
    <row r="12" spans="1:9">
      <c r="A12" s="84"/>
      <c r="B12" s="83">
        <v>2014</v>
      </c>
      <c r="C12" s="98">
        <f>-'2014'!G12</f>
        <v>52186</v>
      </c>
      <c r="D12" s="84"/>
      <c r="E12" s="84"/>
      <c r="F12" s="93"/>
      <c r="G12" s="93"/>
      <c r="H12" s="93"/>
      <c r="I12" s="84"/>
    </row>
    <row r="13" spans="1:9">
      <c r="A13" s="84"/>
      <c r="B13" s="83">
        <v>2015</v>
      </c>
      <c r="C13" s="98">
        <f>-'2015'!G12</f>
        <v>43721</v>
      </c>
      <c r="D13" s="84"/>
      <c r="E13" s="84"/>
      <c r="F13" s="93"/>
      <c r="G13" s="93"/>
      <c r="H13" s="93"/>
      <c r="I13" s="84"/>
    </row>
    <row r="14" spans="1:9">
      <c r="A14" s="84"/>
      <c r="B14" s="83">
        <v>2016</v>
      </c>
      <c r="C14" s="98">
        <f>-'2016'!G12</f>
        <v>85321</v>
      </c>
      <c r="D14" s="84"/>
      <c r="E14" s="84"/>
      <c r="F14" s="93"/>
      <c r="G14" s="93"/>
      <c r="H14" s="93"/>
      <c r="I14" s="84"/>
    </row>
    <row r="15" spans="1:9">
      <c r="A15" s="84"/>
      <c r="B15" s="83">
        <v>2017</v>
      </c>
      <c r="C15" s="98">
        <f>-'2017'!G12</f>
        <v>66719</v>
      </c>
      <c r="D15" s="84"/>
      <c r="E15" s="84"/>
      <c r="F15" s="93"/>
      <c r="G15" s="93"/>
      <c r="H15" s="93"/>
      <c r="I15" s="84"/>
    </row>
    <row r="16" spans="1:9">
      <c r="A16" s="84"/>
      <c r="B16" s="83">
        <v>2018</v>
      </c>
      <c r="C16" s="98">
        <f>-'2018'!G12</f>
        <v>102588</v>
      </c>
      <c r="D16" s="84"/>
      <c r="E16" s="84"/>
      <c r="F16" s="93"/>
      <c r="G16" s="93"/>
      <c r="H16" s="93"/>
      <c r="I16" s="84"/>
    </row>
    <row r="17" spans="1:9">
      <c r="A17" s="84"/>
      <c r="B17" s="83">
        <v>2019</v>
      </c>
      <c r="C17" s="98">
        <f>-'2019'!G12</f>
        <v>179629</v>
      </c>
      <c r="D17" s="84"/>
      <c r="E17" s="84"/>
      <c r="F17" s="93"/>
      <c r="G17" s="93"/>
      <c r="H17" s="93"/>
      <c r="I17" s="84"/>
    </row>
    <row r="18" spans="1:9">
      <c r="A18" s="84"/>
      <c r="B18" s="83">
        <v>2020</v>
      </c>
      <c r="C18" s="98">
        <f>-'2020'!G12</f>
        <v>178669</v>
      </c>
      <c r="D18" s="84"/>
      <c r="E18" s="84"/>
      <c r="F18" s="93"/>
      <c r="G18" s="93"/>
      <c r="H18" s="93"/>
      <c r="I18" s="84"/>
    </row>
    <row r="19" spans="1:9">
      <c r="A19" s="84"/>
      <c r="B19" s="83">
        <v>2021</v>
      </c>
      <c r="C19" s="98">
        <f>-'2021'!G12</f>
        <v>187522</v>
      </c>
      <c r="D19" s="84"/>
      <c r="E19" s="84"/>
      <c r="F19" s="93"/>
      <c r="G19" s="93"/>
      <c r="H19" s="93"/>
      <c r="I19" s="84"/>
    </row>
    <row r="20" spans="1:9" s="84" customFormat="1">
      <c r="B20" s="83">
        <v>2022</v>
      </c>
      <c r="C20" s="98">
        <f>-'2022'!G12</f>
        <v>91851</v>
      </c>
      <c r="F20" s="93"/>
      <c r="G20" s="93"/>
      <c r="H20" s="93"/>
    </row>
    <row r="21" spans="1:9">
      <c r="A21" s="84"/>
      <c r="B21" s="83"/>
      <c r="C21" s="77">
        <f>SUM(C8:C20)</f>
        <v>1216637</v>
      </c>
      <c r="D21" s="84"/>
      <c r="E21" s="84"/>
      <c r="F21" s="93"/>
      <c r="G21" s="93"/>
      <c r="H21" s="93"/>
      <c r="I21" s="84"/>
    </row>
    <row r="22" spans="1:9">
      <c r="A22" s="76"/>
      <c r="B22" s="76"/>
      <c r="C22" s="76"/>
      <c r="D22" s="76"/>
      <c r="E22" s="76"/>
      <c r="F22" s="93"/>
      <c r="G22" s="93"/>
      <c r="H22" s="93"/>
      <c r="I22" s="84"/>
    </row>
    <row r="23" spans="1:9">
      <c r="A23" s="84"/>
      <c r="B23" s="84"/>
      <c r="C23" s="84"/>
      <c r="D23" s="84"/>
      <c r="E23" s="84"/>
      <c r="F23" s="93"/>
      <c r="G23" s="93"/>
      <c r="H23" s="93"/>
      <c r="I23" s="84"/>
    </row>
    <row r="24" spans="1:9">
      <c r="A24" s="83" t="s">
        <v>128</v>
      </c>
      <c r="B24" s="84"/>
      <c r="C24" s="84"/>
      <c r="D24" s="84"/>
      <c r="E24" s="84"/>
      <c r="F24" s="93"/>
      <c r="G24" s="93"/>
      <c r="H24" s="93"/>
      <c r="I24" s="84"/>
    </row>
    <row r="25" spans="1:9">
      <c r="A25" s="84"/>
      <c r="B25" s="84"/>
      <c r="C25" s="84"/>
      <c r="D25" s="84"/>
      <c r="E25" s="93"/>
      <c r="F25" s="93"/>
      <c r="G25" s="93"/>
      <c r="H25" s="93"/>
      <c r="I25" s="84"/>
    </row>
    <row r="26" spans="1:9">
      <c r="A26" s="84"/>
      <c r="B26" s="126" t="s">
        <v>129</v>
      </c>
      <c r="C26" s="84"/>
      <c r="D26" s="84"/>
      <c r="E26" s="93"/>
      <c r="F26" s="93"/>
      <c r="G26" s="93"/>
      <c r="H26" s="93"/>
      <c r="I26" s="93"/>
    </row>
    <row r="27" spans="1:9" ht="15" customHeight="1">
      <c r="A27" s="75"/>
      <c r="B27" s="126"/>
      <c r="C27" s="98">
        <v>76450</v>
      </c>
      <c r="D27" s="86"/>
      <c r="E27" s="98"/>
      <c r="F27" s="93"/>
      <c r="G27" s="93"/>
      <c r="H27" s="93"/>
      <c r="I27" s="93"/>
    </row>
    <row r="28" spans="1:9">
      <c r="A28" s="93"/>
      <c r="B28" s="93"/>
      <c r="C28" s="98"/>
      <c r="D28" s="98"/>
      <c r="E28" s="98"/>
      <c r="F28" s="93"/>
      <c r="G28" s="93"/>
      <c r="H28" s="93"/>
      <c r="I28" s="93"/>
    </row>
    <row r="29" spans="1:9">
      <c r="A29" s="93"/>
      <c r="B29" s="93" t="s">
        <v>130</v>
      </c>
      <c r="C29" s="88">
        <v>85990.16</v>
      </c>
      <c r="D29" s="98"/>
      <c r="E29" s="98"/>
      <c r="F29" s="93"/>
      <c r="G29" s="93"/>
      <c r="H29" s="93"/>
      <c r="I29" s="84"/>
    </row>
    <row r="30" spans="1:9">
      <c r="A30" s="93"/>
      <c r="B30" s="93"/>
      <c r="C30" s="98"/>
      <c r="D30" s="98"/>
      <c r="E30" s="98"/>
      <c r="F30" s="93"/>
      <c r="G30" s="93"/>
      <c r="H30" s="93"/>
      <c r="I30" s="84"/>
    </row>
    <row r="31" spans="1:9">
      <c r="A31" s="93"/>
      <c r="B31" s="93" t="s">
        <v>131</v>
      </c>
      <c r="C31" s="98">
        <f>IF(C27&gt;C29,C29-C27,0)</f>
        <v>0</v>
      </c>
      <c r="D31" s="98"/>
      <c r="E31" s="98"/>
      <c r="F31" s="93"/>
      <c r="G31" s="93"/>
      <c r="H31" s="93"/>
      <c r="I31" s="84"/>
    </row>
    <row r="32" spans="1:9">
      <c r="A32" s="76"/>
      <c r="B32" s="76"/>
      <c r="C32" s="78"/>
      <c r="D32" s="78"/>
      <c r="E32" s="78"/>
      <c r="F32" s="84"/>
      <c r="G32" s="84"/>
      <c r="H32" s="84"/>
      <c r="I32" s="84"/>
    </row>
    <row r="33" spans="1:5">
      <c r="A33" s="93"/>
      <c r="B33" s="93"/>
      <c r="C33" s="98"/>
      <c r="D33" s="98"/>
      <c r="E33" s="98"/>
    </row>
    <row r="34" spans="1:5">
      <c r="A34" s="83" t="s">
        <v>132</v>
      </c>
      <c r="B34" s="84"/>
      <c r="C34" s="86"/>
      <c r="D34" s="86"/>
      <c r="E34" s="86"/>
    </row>
    <row r="35" spans="1:5">
      <c r="A35" s="47" t="s">
        <v>73</v>
      </c>
      <c r="B35" s="79" t="s">
        <v>133</v>
      </c>
      <c r="C35" s="83"/>
      <c r="D35" s="83"/>
      <c r="E35" s="84"/>
    </row>
    <row r="36" spans="1:5">
      <c r="A36" s="84"/>
      <c r="B36" s="28" t="s">
        <v>134</v>
      </c>
      <c r="C36" s="87">
        <v>163016804</v>
      </c>
      <c r="D36" s="84"/>
      <c r="E36" s="84"/>
    </row>
    <row r="38" spans="1:5">
      <c r="A38" s="84"/>
      <c r="B38" s="84" t="s">
        <v>135</v>
      </c>
      <c r="C38" s="87">
        <v>3166308</v>
      </c>
      <c r="D38" s="84"/>
      <c r="E38" s="84"/>
    </row>
    <row r="40" spans="1:5">
      <c r="A40" s="84"/>
      <c r="B40" s="84" t="s">
        <v>136</v>
      </c>
      <c r="C40" s="80">
        <f>C38/C36</f>
        <v>1.9423200076968752E-2</v>
      </c>
      <c r="D40" s="84"/>
      <c r="E40" s="84"/>
    </row>
    <row r="42" spans="1:5">
      <c r="A42" s="93"/>
      <c r="B42" s="93" t="s">
        <v>137</v>
      </c>
      <c r="C42" s="88">
        <f>SUM('PSC 3-3(b)'!D8:P10)</f>
        <v>42276961</v>
      </c>
      <c r="D42" s="93"/>
      <c r="E42" s="93"/>
    </row>
    <row r="43" spans="1:5">
      <c r="A43" s="93"/>
      <c r="B43" s="93"/>
      <c r="C43" s="93"/>
      <c r="D43" s="93"/>
      <c r="E43" s="93"/>
    </row>
    <row r="44" spans="1:5">
      <c r="A44" s="93"/>
      <c r="B44" s="93" t="s">
        <v>138</v>
      </c>
      <c r="C44" s="37">
        <f>C40*C42</f>
        <v>821153.87214920495</v>
      </c>
      <c r="D44" s="93"/>
      <c r="E44" s="93"/>
    </row>
    <row r="45" spans="1:5">
      <c r="A45" s="76"/>
      <c r="B45" s="76"/>
      <c r="C45" s="76"/>
      <c r="D45" s="76"/>
      <c r="E45" s="76"/>
    </row>
    <row r="47" spans="1:5">
      <c r="A47" s="83" t="s">
        <v>139</v>
      </c>
      <c r="B47" s="83"/>
      <c r="C47" s="38">
        <f>C44+C31+C21</f>
        <v>2037790.8721492048</v>
      </c>
      <c r="D47" s="84"/>
      <c r="E47" s="84"/>
    </row>
    <row r="49" spans="1:2">
      <c r="A49" s="47" t="s">
        <v>73</v>
      </c>
      <c r="B49" s="81" t="s">
        <v>140</v>
      </c>
    </row>
  </sheetData>
  <mergeCells count="1">
    <mergeCell ref="B26:B27"/>
  </mergeCells>
  <pageMargins left="0.25" right="0.25" top="0.75" bottom="0.75" header="0.3" footer="0.3"/>
  <pageSetup scale="70" orientation="landscape" r:id="rId1"/>
  <headerFooter>
    <oddHeader>&amp;RResponse to PSC 3-3
Page &amp;P of &amp;N
Witnesses: John Brown and
William Steven Seelye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W21"/>
  <sheetViews>
    <sheetView view="pageBreakPreview" zoomScaleNormal="100" zoomScaleSheetLayoutView="100" workbookViewId="0">
      <selection activeCell="E44" sqref="E44"/>
    </sheetView>
  </sheetViews>
  <sheetFormatPr defaultRowHeight="15"/>
  <cols>
    <col min="22" max="22" width="9.140625" style="70"/>
  </cols>
  <sheetData>
    <row r="1" spans="1:23">
      <c r="A1" s="70"/>
      <c r="B1" s="70">
        <v>1</v>
      </c>
      <c r="C1" s="70">
        <v>2</v>
      </c>
      <c r="D1" s="70">
        <v>3</v>
      </c>
      <c r="E1" s="70">
        <v>4</v>
      </c>
      <c r="F1" s="70">
        <v>5</v>
      </c>
      <c r="G1" s="70">
        <v>6</v>
      </c>
      <c r="H1" s="70">
        <v>7</v>
      </c>
      <c r="I1" s="70">
        <v>8</v>
      </c>
      <c r="J1" s="70">
        <v>9</v>
      </c>
      <c r="K1" s="70">
        <v>10</v>
      </c>
      <c r="L1" s="70">
        <v>11</v>
      </c>
      <c r="M1" s="70">
        <v>12</v>
      </c>
      <c r="N1" s="70">
        <v>13</v>
      </c>
      <c r="O1" s="70">
        <v>14</v>
      </c>
      <c r="P1" s="70">
        <v>15</v>
      </c>
      <c r="Q1" s="70">
        <v>16</v>
      </c>
      <c r="R1" s="70">
        <v>17</v>
      </c>
      <c r="S1" s="70">
        <v>18</v>
      </c>
      <c r="T1" s="70">
        <v>19</v>
      </c>
      <c r="U1" s="70">
        <v>20</v>
      </c>
      <c r="V1" s="70">
        <v>21</v>
      </c>
      <c r="W1" s="70"/>
    </row>
    <row r="2" spans="1:23">
      <c r="A2" s="70">
        <v>7</v>
      </c>
      <c r="B2" s="1">
        <v>0.14285999999999999</v>
      </c>
      <c r="C2" s="1">
        <v>0.24490000000000001</v>
      </c>
      <c r="D2" s="1">
        <v>0.17491999999999999</v>
      </c>
      <c r="E2" s="1">
        <v>0.12495000000000001</v>
      </c>
      <c r="F2" s="1">
        <v>8.9249999999999996E-2</v>
      </c>
      <c r="G2" s="1">
        <v>8.9249999999999996E-2</v>
      </c>
      <c r="H2" s="1">
        <v>8.9249999999999996E-2</v>
      </c>
      <c r="I2" s="1">
        <v>4.462E-2</v>
      </c>
      <c r="J2" s="1"/>
      <c r="K2" s="1"/>
      <c r="L2" s="70"/>
      <c r="M2" s="70"/>
      <c r="N2" s="70"/>
      <c r="O2" s="70"/>
      <c r="P2" s="70"/>
      <c r="Q2" s="70"/>
      <c r="R2" s="70"/>
      <c r="S2" s="70"/>
      <c r="T2" s="70"/>
      <c r="U2" s="70"/>
      <c r="W2" s="82">
        <f>SUM(B2:V2)</f>
        <v>1.0000000000000002</v>
      </c>
    </row>
    <row r="3" spans="1:23">
      <c r="A3" s="70">
        <v>15</v>
      </c>
      <c r="B3" s="1">
        <v>0.05</v>
      </c>
      <c r="C3" s="1">
        <v>9.5000000000000001E-2</v>
      </c>
      <c r="D3" s="1">
        <v>8.5500000000000007E-2</v>
      </c>
      <c r="E3" s="1">
        <v>7.6950000000000005E-2</v>
      </c>
      <c r="F3" s="1">
        <v>6.9250000000000006E-2</v>
      </c>
      <c r="G3" s="1">
        <v>6.2330000000000003E-2</v>
      </c>
      <c r="H3" s="1">
        <v>5.9049999999999998E-2</v>
      </c>
      <c r="I3" s="1">
        <v>5.9049999999999998E-2</v>
      </c>
      <c r="J3" s="1">
        <v>5.9049999999999998E-2</v>
      </c>
      <c r="K3" s="1">
        <v>5.9049999999999998E-2</v>
      </c>
      <c r="L3" s="1">
        <v>5.9049999999999998E-2</v>
      </c>
      <c r="M3" s="1">
        <v>5.9049999999999998E-2</v>
      </c>
      <c r="N3" s="1">
        <v>5.9049999999999998E-2</v>
      </c>
      <c r="O3" s="1">
        <v>5.9049999999999998E-2</v>
      </c>
      <c r="P3" s="1">
        <v>5.9049999999999998E-2</v>
      </c>
      <c r="Q3" s="1">
        <v>2.9520000000000001E-2</v>
      </c>
      <c r="R3" s="70"/>
      <c r="S3" s="70"/>
      <c r="T3" s="70"/>
      <c r="U3" s="70"/>
      <c r="W3" s="82">
        <f>SUM(B3:V3)</f>
        <v>1.0000000000000004</v>
      </c>
    </row>
    <row r="4" spans="1:23">
      <c r="A4" s="70">
        <v>20</v>
      </c>
      <c r="B4" s="1">
        <v>3.7499999999999999E-2</v>
      </c>
      <c r="C4" s="1">
        <v>7.2190000000000004E-2</v>
      </c>
      <c r="D4" s="1">
        <v>6.6769999999999996E-2</v>
      </c>
      <c r="E4" s="1">
        <v>6.1769999999999999E-2</v>
      </c>
      <c r="F4" s="1">
        <v>5.713E-2</v>
      </c>
      <c r="G4" s="1">
        <v>5.2850000000000001E-2</v>
      </c>
      <c r="H4" s="1">
        <v>4.888E-2</v>
      </c>
      <c r="I4" s="1">
        <v>4.5220000000000003E-2</v>
      </c>
      <c r="J4" s="1">
        <v>4.462E-2</v>
      </c>
      <c r="K4" s="1">
        <v>4.4609999999999997E-2</v>
      </c>
      <c r="L4" s="1">
        <v>4.462E-2</v>
      </c>
      <c r="M4" s="1">
        <v>4.4610000000000004E-2</v>
      </c>
      <c r="N4" s="1">
        <v>4.462E-2</v>
      </c>
      <c r="O4" s="1">
        <v>4.4610000000000004E-2</v>
      </c>
      <c r="P4" s="1">
        <v>4.462E-2</v>
      </c>
      <c r="Q4" s="1">
        <v>4.4610000000000004E-2</v>
      </c>
      <c r="R4" s="1">
        <v>4.462E-2</v>
      </c>
      <c r="S4" s="1">
        <v>4.4610000000000004E-2</v>
      </c>
      <c r="T4" s="1">
        <v>4.462E-2</v>
      </c>
      <c r="U4" s="1">
        <v>4.4610000000000004E-2</v>
      </c>
      <c r="V4" s="1">
        <v>2.231E-2</v>
      </c>
      <c r="W4" s="82">
        <f>SUM(B4:V4)</f>
        <v>1.0000000000000002</v>
      </c>
    </row>
    <row r="5" spans="1:23">
      <c r="A5" s="70"/>
      <c r="B5" s="70"/>
      <c r="C5" s="70"/>
      <c r="D5" s="70"/>
      <c r="E5" s="70"/>
      <c r="F5" s="70"/>
      <c r="G5" s="70"/>
      <c r="H5" s="70"/>
      <c r="I5" s="70"/>
      <c r="J5" s="70"/>
      <c r="K5" s="1"/>
      <c r="L5" s="70"/>
      <c r="M5" s="70"/>
      <c r="N5" s="70"/>
      <c r="O5" s="70"/>
      <c r="P5" s="70"/>
      <c r="Q5" s="70"/>
      <c r="R5" s="70"/>
      <c r="S5" s="70"/>
      <c r="T5" s="70"/>
      <c r="U5" s="70"/>
      <c r="W5" s="70"/>
    </row>
    <row r="21" spans="4:4">
      <c r="D21" s="25"/>
    </row>
  </sheetData>
  <pageMargins left="0.25" right="0.25" top="0.75" bottom="0.75" header="0.3" footer="0.3"/>
  <pageSetup scale="63" orientation="landscape" r:id="rId1"/>
  <headerFooter>
    <oddHeader>&amp;RResponse to PSC 3-3
Page &amp;P of &amp;N
Witnesses: John Brown and
William Steven Seelye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7"/>
  <sheetViews>
    <sheetView topLeftCell="B1" zoomScale="90" zoomScaleNormal="90" workbookViewId="0">
      <selection activeCell="O10" sqref="O10"/>
    </sheetView>
  </sheetViews>
  <sheetFormatPr defaultColWidth="9.140625" defaultRowHeight="15"/>
  <cols>
    <col min="1" max="1" width="9.140625" style="27"/>
    <col min="2" max="2" width="33.7109375" style="27" customWidth="1"/>
    <col min="3" max="3" width="22.140625" style="27" customWidth="1"/>
    <col min="4" max="5" width="12.7109375" style="27" customWidth="1"/>
    <col min="6" max="6" width="18.85546875" style="27" customWidth="1"/>
    <col min="7" max="15" width="12.85546875" style="27" customWidth="1"/>
    <col min="16" max="16" width="12.85546875" style="84" customWidth="1"/>
    <col min="17" max="17" width="14.5703125" style="27" customWidth="1"/>
    <col min="18" max="18" width="22.140625" style="27" bestFit="1" customWidth="1"/>
    <col min="19" max="19" width="12.7109375" style="27" customWidth="1"/>
    <col min="20" max="20" width="13.7109375" style="27" bestFit="1" customWidth="1"/>
    <col min="21" max="16384" width="9.140625" style="27"/>
  </cols>
  <sheetData>
    <row r="1" spans="1:17">
      <c r="A1" s="83" t="s">
        <v>17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Q1" s="84"/>
    </row>
    <row r="2" spans="1:17">
      <c r="A2" s="83" t="s">
        <v>18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Q2" s="84"/>
    </row>
    <row r="3" spans="1:17">
      <c r="A3" s="83" t="s">
        <v>19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Q3" s="84"/>
    </row>
    <row r="4" spans="1:17">
      <c r="A4" s="83" t="s">
        <v>20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Q4" s="84"/>
    </row>
    <row r="7" spans="1:17">
      <c r="A7" s="84"/>
      <c r="B7" s="84"/>
      <c r="C7" s="84"/>
      <c r="D7" s="85" t="s">
        <v>21</v>
      </c>
      <c r="E7" s="85" t="s">
        <v>22</v>
      </c>
      <c r="F7" s="85" t="s">
        <v>23</v>
      </c>
      <c r="G7" s="85" t="s">
        <v>24</v>
      </c>
      <c r="H7" s="85" t="s">
        <v>25</v>
      </c>
      <c r="I7" s="85" t="s">
        <v>26</v>
      </c>
      <c r="J7" s="85" t="s">
        <v>27</v>
      </c>
      <c r="K7" s="85" t="s">
        <v>28</v>
      </c>
      <c r="L7" s="85" t="s">
        <v>29</v>
      </c>
      <c r="M7" s="85" t="s">
        <v>30</v>
      </c>
      <c r="N7" s="85" t="s">
        <v>31</v>
      </c>
      <c r="O7" s="85" t="s">
        <v>32</v>
      </c>
      <c r="P7" s="85" t="s">
        <v>33</v>
      </c>
      <c r="Q7" s="85" t="s">
        <v>34</v>
      </c>
    </row>
    <row r="8" spans="1:17">
      <c r="A8" s="84">
        <v>1</v>
      </c>
      <c r="B8" s="84" t="s">
        <v>35</v>
      </c>
      <c r="C8" s="84"/>
      <c r="D8" s="86">
        <f>'2010'!C12</f>
        <v>1574788</v>
      </c>
      <c r="E8" s="86">
        <f>'2011'!C12</f>
        <v>1730104</v>
      </c>
      <c r="F8" s="86">
        <f>'2012'!C12</f>
        <v>3796271</v>
      </c>
      <c r="G8" s="86">
        <f>'2013'!C12</f>
        <v>2961542</v>
      </c>
      <c r="H8" s="86">
        <f>'2014'!C12</f>
        <v>1843366</v>
      </c>
      <c r="I8" s="86">
        <f>'2015'!C12</f>
        <v>1758827</v>
      </c>
      <c r="J8" s="86">
        <f>'2016'!C12</f>
        <v>3190348</v>
      </c>
      <c r="K8" s="86">
        <f>'2017'!C12</f>
        <v>2479950</v>
      </c>
      <c r="L8" s="86">
        <f>'2018'!C12</f>
        <v>3889747</v>
      </c>
      <c r="M8" s="86">
        <f>'2019'!C12</f>
        <v>6201678</v>
      </c>
      <c r="N8" s="86">
        <f>'2020'!C12</f>
        <v>5998720</v>
      </c>
      <c r="O8" s="86">
        <f>'2021'!C12</f>
        <v>6319386</v>
      </c>
      <c r="P8" s="86">
        <f>'2022'!C12</f>
        <v>6564808</v>
      </c>
      <c r="Q8" s="86"/>
    </row>
    <row r="9" spans="1:17">
      <c r="A9" s="84">
        <v>2</v>
      </c>
      <c r="B9" s="84" t="s">
        <v>36</v>
      </c>
      <c r="C9" s="84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4"/>
    </row>
    <row r="10" spans="1:17">
      <c r="A10" s="84">
        <v>3</v>
      </c>
      <c r="B10" s="28" t="s">
        <v>37</v>
      </c>
      <c r="C10" s="84"/>
      <c r="D10" s="87">
        <f>ROUND('2010'!H12,0)</f>
        <v>-370537</v>
      </c>
      <c r="E10" s="87">
        <f>ROUND('2011'!H12,0)</f>
        <v>-457355</v>
      </c>
      <c r="F10" s="87">
        <f>ROUND('2012'!H12,0)</f>
        <v>-953683</v>
      </c>
      <c r="G10" s="87">
        <f>ROUND('2013'!H12,0)</f>
        <v>-647815</v>
      </c>
      <c r="H10" s="87">
        <f>ROUND('2014'!H12,0)</f>
        <v>-443581</v>
      </c>
      <c r="I10" s="87">
        <f>ROUND('2015'!H12,0)</f>
        <v>-327907</v>
      </c>
      <c r="J10" s="87">
        <f>ROUND('2016'!H12,0)</f>
        <v>-554585</v>
      </c>
      <c r="K10" s="87">
        <f>ROUND('2017'!H12,0)</f>
        <v>-366957</v>
      </c>
      <c r="L10" s="87">
        <f>ROUND('2018'!H12,0)</f>
        <v>-461646</v>
      </c>
      <c r="M10" s="87">
        <f>ROUND('2019'!H12,0)</f>
        <v>-628701</v>
      </c>
      <c r="N10" s="87">
        <f>ROUND('2020'!H12,0)</f>
        <v>-446673</v>
      </c>
      <c r="O10" s="87">
        <f>ROUND('2021'!H12,0)</f>
        <v>-281283</v>
      </c>
      <c r="P10" s="87">
        <f>ROUND('2022'!H12,0)</f>
        <v>-91851</v>
      </c>
      <c r="Q10" s="84"/>
    </row>
    <row r="11" spans="1:17">
      <c r="A11" s="84">
        <v>4</v>
      </c>
      <c r="B11" s="28" t="s">
        <v>38</v>
      </c>
      <c r="C11" s="84"/>
      <c r="D11" s="88">
        <f>ROUND('2010'!H37,0)</f>
        <v>-449525</v>
      </c>
      <c r="E11" s="88">
        <f>ROUND('2011'!H37,0)</f>
        <v>-483136</v>
      </c>
      <c r="F11" s="88">
        <f>ROUND('2012'!H37,0)</f>
        <v>-1069833</v>
      </c>
      <c r="G11" s="88">
        <f>ROUND('2013'!H37,0)</f>
        <v>-878291</v>
      </c>
      <c r="H11" s="88">
        <f>ROUND('2014'!H37,0)</f>
        <v>-531322</v>
      </c>
      <c r="I11" s="88">
        <f>ROUND('2015'!H37,0)</f>
        <v>-529517</v>
      </c>
      <c r="J11" s="88">
        <f>ROUND('2016'!H37,0)</f>
        <v>-974295</v>
      </c>
      <c r="K11" s="88">
        <f>ROUND('2017'!H37,0)</f>
        <v>-789450</v>
      </c>
      <c r="L11" s="88">
        <f>ROUND('2018'!H37,0)</f>
        <v>-745794</v>
      </c>
      <c r="M11" s="88">
        <f>ROUND('2019'!H37,0)</f>
        <v>-1328494</v>
      </c>
      <c r="N11" s="88">
        <f>ROUND('2020'!H37,0)</f>
        <v>-1122403</v>
      </c>
      <c r="O11" s="88">
        <f>ROUND('2021'!H37,0)</f>
        <v>-1183471</v>
      </c>
      <c r="P11" s="88">
        <f>ROUND('2022'!H37,0)</f>
        <v>-963631</v>
      </c>
      <c r="Q11" s="84"/>
    </row>
    <row r="12" spans="1:17">
      <c r="A12" s="84">
        <v>5</v>
      </c>
      <c r="B12" s="84" t="s">
        <v>39</v>
      </c>
      <c r="C12" s="84"/>
      <c r="D12" s="87">
        <f>SUM(D8:D11)</f>
        <v>754726</v>
      </c>
      <c r="E12" s="87">
        <f t="shared" ref="E12:K12" si="0">SUM(E8:E11)</f>
        <v>789613</v>
      </c>
      <c r="F12" s="87">
        <f t="shared" si="0"/>
        <v>1772755</v>
      </c>
      <c r="G12" s="87">
        <f t="shared" si="0"/>
        <v>1435436</v>
      </c>
      <c r="H12" s="87">
        <f t="shared" si="0"/>
        <v>868463</v>
      </c>
      <c r="I12" s="87">
        <f t="shared" si="0"/>
        <v>901403</v>
      </c>
      <c r="J12" s="87">
        <f t="shared" si="0"/>
        <v>1661468</v>
      </c>
      <c r="K12" s="87">
        <f t="shared" si="0"/>
        <v>1323543</v>
      </c>
      <c r="L12" s="87">
        <f t="shared" ref="L12" si="1">SUM(L8:L11)</f>
        <v>2682307</v>
      </c>
      <c r="M12" s="87">
        <f>SUM(M8:M11)</f>
        <v>4244483</v>
      </c>
      <c r="N12" s="87">
        <f>SUM(N8:N11)</f>
        <v>4429644</v>
      </c>
      <c r="O12" s="87">
        <f>SUM(O8:O11)</f>
        <v>4854632</v>
      </c>
      <c r="P12" s="87">
        <f>SUM(P8:P11)</f>
        <v>5509326</v>
      </c>
      <c r="Q12" s="86">
        <f>D12+E12+F12+G12+H12+I12+J12+K12+L12+M12+N12+O12+P12</f>
        <v>31227799</v>
      </c>
    </row>
    <row r="13" spans="1:17">
      <c r="A13" s="84"/>
      <c r="B13" s="84"/>
      <c r="C13" s="84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4"/>
    </row>
    <row r="14" spans="1:17">
      <c r="A14" s="84">
        <v>6</v>
      </c>
      <c r="B14" s="84" t="s">
        <v>40</v>
      </c>
      <c r="C14" s="84"/>
      <c r="D14" s="89">
        <v>7.6497700000000002E-2</v>
      </c>
      <c r="E14" s="89">
        <v>7.6497700000000002E-2</v>
      </c>
      <c r="F14" s="89">
        <v>7.6497700000000002E-2</v>
      </c>
      <c r="G14" s="89">
        <v>7.6497700000000002E-2</v>
      </c>
      <c r="H14" s="89">
        <v>7.6497700000000002E-2</v>
      </c>
      <c r="I14" s="89">
        <v>7.6497700000000002E-2</v>
      </c>
      <c r="J14" s="89">
        <v>7.6497700000000002E-2</v>
      </c>
      <c r="K14" s="89">
        <v>7.6497700000000002E-2</v>
      </c>
      <c r="L14" s="89">
        <v>7.6497700000000002E-2</v>
      </c>
      <c r="M14" s="89">
        <v>7.6497700000000002E-2</v>
      </c>
      <c r="N14" s="89">
        <v>7.6497700000000002E-2</v>
      </c>
      <c r="O14" s="89">
        <v>7.6497700000000002E-2</v>
      </c>
      <c r="P14" s="89">
        <v>7.6497700000000002E-2</v>
      </c>
      <c r="Q14" s="84"/>
    </row>
    <row r="15" spans="1:17">
      <c r="A15" s="84">
        <v>7</v>
      </c>
      <c r="B15" s="84" t="s">
        <v>41</v>
      </c>
      <c r="C15" s="84"/>
      <c r="D15" s="87">
        <f t="shared" ref="D15:K15" si="2">ROUND(D12*D14,0)</f>
        <v>57735</v>
      </c>
      <c r="E15" s="87">
        <f t="shared" si="2"/>
        <v>60404</v>
      </c>
      <c r="F15" s="87">
        <f t="shared" si="2"/>
        <v>135612</v>
      </c>
      <c r="G15" s="87">
        <f t="shared" si="2"/>
        <v>109808</v>
      </c>
      <c r="H15" s="87">
        <f t="shared" si="2"/>
        <v>66435</v>
      </c>
      <c r="I15" s="87">
        <f t="shared" si="2"/>
        <v>68955</v>
      </c>
      <c r="J15" s="87">
        <f t="shared" si="2"/>
        <v>127098</v>
      </c>
      <c r="K15" s="87">
        <f t="shared" si="2"/>
        <v>101248</v>
      </c>
      <c r="L15" s="87">
        <f t="shared" ref="L15:M15" si="3">ROUND(L12*L14,0)</f>
        <v>205190</v>
      </c>
      <c r="M15" s="87">
        <f t="shared" si="3"/>
        <v>324693</v>
      </c>
      <c r="N15" s="87">
        <f>ROUND(N12*N14,0)</f>
        <v>338858</v>
      </c>
      <c r="O15" s="87">
        <f>ROUND(O12*O14,0)</f>
        <v>371368</v>
      </c>
      <c r="P15" s="87">
        <f>ROUND(P12*P14,0)</f>
        <v>421451</v>
      </c>
      <c r="Q15" s="52">
        <f>SUM(D15:P15)</f>
        <v>2388855</v>
      </c>
    </row>
    <row r="16" spans="1:17">
      <c r="A16" s="84">
        <v>8</v>
      </c>
      <c r="B16" s="84" t="s">
        <v>42</v>
      </c>
      <c r="C16" s="84"/>
      <c r="D16" s="90">
        <v>1.3324499999999999</v>
      </c>
      <c r="E16" s="90">
        <v>1.3324499999999999</v>
      </c>
      <c r="F16" s="90">
        <v>1.3324499999999999</v>
      </c>
      <c r="G16" s="90">
        <v>1.3324499999999999</v>
      </c>
      <c r="H16" s="90">
        <v>1.3324499999999999</v>
      </c>
      <c r="I16" s="90">
        <v>1.3324499999999999</v>
      </c>
      <c r="J16" s="90">
        <v>1.3324499999999999</v>
      </c>
      <c r="K16" s="90">
        <v>1.3324499999999999</v>
      </c>
      <c r="L16" s="90">
        <v>1.3324499999999999</v>
      </c>
      <c r="M16" s="90">
        <v>1.3324499999999999</v>
      </c>
      <c r="N16" s="90">
        <v>1.3324499999999999</v>
      </c>
      <c r="O16" s="90">
        <v>1.3324499999999999</v>
      </c>
      <c r="P16" s="90">
        <v>1.3324499999999999</v>
      </c>
      <c r="Q16" s="52">
        <f>Q17-Q15</f>
        <v>794173</v>
      </c>
    </row>
    <row r="17" spans="1:18">
      <c r="A17" s="84">
        <v>9</v>
      </c>
      <c r="B17" s="84" t="s">
        <v>43</v>
      </c>
      <c r="C17" s="84"/>
      <c r="D17" s="86">
        <f>ROUND(D15*D16,0)</f>
        <v>76929</v>
      </c>
      <c r="E17" s="86">
        <f t="shared" ref="E17:J17" si="4">ROUND(E15*E16,0)</f>
        <v>80485</v>
      </c>
      <c r="F17" s="86">
        <f t="shared" si="4"/>
        <v>180696</v>
      </c>
      <c r="G17" s="86">
        <f t="shared" si="4"/>
        <v>146314</v>
      </c>
      <c r="H17" s="86">
        <f t="shared" si="4"/>
        <v>88521</v>
      </c>
      <c r="I17" s="86">
        <f t="shared" si="4"/>
        <v>91879</v>
      </c>
      <c r="J17" s="86">
        <f t="shared" si="4"/>
        <v>169352</v>
      </c>
      <c r="K17" s="86">
        <f t="shared" ref="K17:L17" si="5">ROUND(K15*K16,0)</f>
        <v>134908</v>
      </c>
      <c r="L17" s="86">
        <f t="shared" si="5"/>
        <v>273405</v>
      </c>
      <c r="M17" s="86">
        <f>ROUND(M15*M16,0)</f>
        <v>432637</v>
      </c>
      <c r="N17" s="86">
        <f>ROUND(N15*N16,0)</f>
        <v>451511</v>
      </c>
      <c r="O17" s="86">
        <f>ROUND(O15*O16,0)</f>
        <v>494829</v>
      </c>
      <c r="P17" s="86">
        <f>ROUND(P15*P16,0)</f>
        <v>561562</v>
      </c>
      <c r="Q17" s="86">
        <f>D17+E17+F17+G17+H17+I17+J17+K17+L17+M17+N17+O17+P17</f>
        <v>3183028</v>
      </c>
      <c r="R17" s="84"/>
    </row>
    <row r="18" spans="1:18">
      <c r="A18" s="84">
        <v>10</v>
      </c>
      <c r="B18" s="84" t="s">
        <v>44</v>
      </c>
      <c r="C18" s="84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29">
        <f>'Schedule III'!C47</f>
        <v>2037790.8721492048</v>
      </c>
      <c r="R18" s="84"/>
    </row>
    <row r="19" spans="1:18">
      <c r="A19" s="84">
        <v>12</v>
      </c>
      <c r="B19" s="84" t="s">
        <v>45</v>
      </c>
      <c r="C19" s="84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30">
        <f>Q17+Q18</f>
        <v>5220818.8721492048</v>
      </c>
      <c r="R19" s="84"/>
    </row>
    <row r="20" spans="1:18" s="32" customFormat="1">
      <c r="A20" s="84">
        <v>13</v>
      </c>
      <c r="B20" s="84" t="s">
        <v>46</v>
      </c>
      <c r="C20" s="84"/>
      <c r="D20" s="31"/>
      <c r="E20" s="31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93"/>
    </row>
    <row r="21" spans="1:18" s="32" customFormat="1">
      <c r="A21" s="84">
        <v>14</v>
      </c>
      <c r="B21" s="28" t="s">
        <v>47</v>
      </c>
      <c r="C21" s="84"/>
      <c r="D21" s="33"/>
      <c r="E21" s="93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99">
        <v>4866675</v>
      </c>
      <c r="R21" s="93"/>
    </row>
    <row r="22" spans="1:18" s="32" customFormat="1">
      <c r="A22" s="84">
        <v>15</v>
      </c>
      <c r="B22" s="28" t="s">
        <v>48</v>
      </c>
      <c r="C22" s="84"/>
      <c r="D22" s="33"/>
      <c r="E22" s="93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99">
        <v>-4866675</v>
      </c>
      <c r="R22" s="93"/>
    </row>
    <row r="23" spans="1:18" s="32" customFormat="1">
      <c r="A23" s="84">
        <v>16</v>
      </c>
      <c r="B23" s="28" t="s">
        <v>49</v>
      </c>
      <c r="C23" s="84"/>
      <c r="D23" s="33"/>
      <c r="E23" s="93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35">
        <v>0</v>
      </c>
      <c r="R23" s="36"/>
    </row>
    <row r="24" spans="1:18" s="32" customFormat="1">
      <c r="A24" s="84">
        <v>17</v>
      </c>
      <c r="B24" s="84" t="s">
        <v>50</v>
      </c>
      <c r="C24" s="84"/>
      <c r="D24" s="37"/>
      <c r="E24" s="37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38">
        <f>SUM(Q19:Q23)</f>
        <v>5220818.8721492048</v>
      </c>
      <c r="R24" s="93"/>
    </row>
    <row r="25" spans="1:18">
      <c r="A25" s="84"/>
      <c r="B25" s="84"/>
      <c r="C25" s="84"/>
      <c r="D25" s="93"/>
      <c r="E25" s="93"/>
      <c r="F25" s="104" t="s">
        <v>51</v>
      </c>
      <c r="G25" s="84"/>
      <c r="H25" s="84"/>
      <c r="I25" s="84"/>
      <c r="J25" s="84"/>
      <c r="K25" s="84"/>
      <c r="L25" s="84"/>
      <c r="M25" s="84"/>
      <c r="N25" s="84"/>
      <c r="O25" s="84"/>
      <c r="Q25" s="93"/>
      <c r="R25" s="93"/>
    </row>
    <row r="26" spans="1:18">
      <c r="A26" s="84"/>
      <c r="B26" s="84"/>
      <c r="C26" s="84"/>
      <c r="D26" s="84"/>
      <c r="E26" s="84"/>
      <c r="F26" s="94" t="s">
        <v>52</v>
      </c>
      <c r="G26" s="84"/>
      <c r="H26" s="84"/>
      <c r="I26" s="84"/>
      <c r="J26" s="84"/>
      <c r="K26" s="84"/>
      <c r="L26" s="84"/>
      <c r="M26" s="84"/>
      <c r="N26" s="84"/>
      <c r="O26" s="84"/>
      <c r="Q26" s="93"/>
      <c r="R26" s="93"/>
    </row>
    <row r="27" spans="1:18">
      <c r="A27" s="84"/>
      <c r="B27" s="84"/>
      <c r="C27" s="94" t="s">
        <v>53</v>
      </c>
      <c r="D27" s="94"/>
      <c r="E27" s="94" t="s">
        <v>54</v>
      </c>
      <c r="F27" s="95" t="s">
        <v>55</v>
      </c>
      <c r="G27" s="94" t="s">
        <v>56</v>
      </c>
      <c r="H27" s="94"/>
      <c r="I27" s="94"/>
      <c r="J27" s="94"/>
      <c r="K27" s="94"/>
      <c r="L27" s="94"/>
      <c r="M27" s="94"/>
      <c r="N27" s="94"/>
      <c r="O27" s="94"/>
      <c r="P27" s="94"/>
      <c r="Q27" s="95"/>
      <c r="R27" s="84"/>
    </row>
    <row r="28" spans="1:18">
      <c r="A28" s="84"/>
      <c r="B28" s="84"/>
      <c r="C28" s="39" t="s">
        <v>57</v>
      </c>
      <c r="D28" s="95" t="s">
        <v>58</v>
      </c>
      <c r="E28" s="95" t="s">
        <v>59</v>
      </c>
      <c r="F28" s="94" t="s">
        <v>60</v>
      </c>
      <c r="G28" s="95" t="s">
        <v>59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84"/>
    </row>
    <row r="29" spans="1:18">
      <c r="A29" s="84"/>
      <c r="B29" s="84"/>
      <c r="C29" s="122" t="s">
        <v>61</v>
      </c>
      <c r="D29" s="122" t="s">
        <v>62</v>
      </c>
      <c r="E29" s="122" t="s">
        <v>63</v>
      </c>
      <c r="F29" s="40" t="s">
        <v>64</v>
      </c>
      <c r="G29" s="122" t="s">
        <v>65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84"/>
    </row>
    <row r="30" spans="1:18">
      <c r="A30" s="84">
        <v>18</v>
      </c>
      <c r="B30" s="28" t="s">
        <v>66</v>
      </c>
      <c r="C30" s="41">
        <v>16955239</v>
      </c>
      <c r="D30" s="42">
        <f>C30/C34</f>
        <v>0.53151264422700295</v>
      </c>
      <c r="E30" s="91">
        <f>ROUND(D30*$Q$24,0)</f>
        <v>2774931</v>
      </c>
      <c r="F30" s="34">
        <v>365580</v>
      </c>
      <c r="G30" s="96">
        <f>E30/F30</f>
        <v>7.5904890858362055</v>
      </c>
      <c r="H30" s="97"/>
      <c r="I30" s="105"/>
      <c r="J30" s="105"/>
      <c r="K30" s="86"/>
      <c r="L30" s="105"/>
      <c r="M30" s="97"/>
      <c r="N30" s="97"/>
      <c r="O30" s="97"/>
      <c r="P30" s="97"/>
      <c r="Q30" s="43"/>
      <c r="R30" s="84"/>
    </row>
    <row r="31" spans="1:18">
      <c r="A31" s="84">
        <v>19</v>
      </c>
      <c r="B31" s="28" t="s">
        <v>67</v>
      </c>
      <c r="C31" s="34">
        <v>4813864</v>
      </c>
      <c r="D31" s="42">
        <f>C31/C34</f>
        <v>0.15090495531140419</v>
      </c>
      <c r="E31" s="87">
        <f>ROUND(D31*$Q$24,0)</f>
        <v>787847</v>
      </c>
      <c r="F31" s="34">
        <v>51905</v>
      </c>
      <c r="G31" s="96">
        <f>E31/F31</f>
        <v>15.178634042963106</v>
      </c>
      <c r="H31" s="97"/>
      <c r="I31" s="105"/>
      <c r="J31" s="105"/>
      <c r="K31" s="86"/>
      <c r="L31" s="105"/>
      <c r="M31" s="97"/>
      <c r="N31" s="97"/>
      <c r="O31" s="97"/>
      <c r="P31" s="97"/>
      <c r="Q31" s="43"/>
      <c r="R31" s="84"/>
    </row>
    <row r="32" spans="1:18">
      <c r="A32" s="84">
        <v>18</v>
      </c>
      <c r="B32" s="28" t="s">
        <v>68</v>
      </c>
      <c r="C32" s="99">
        <v>8446761</v>
      </c>
      <c r="D32" s="44">
        <f>C32/C34</f>
        <v>0.26478897019756098</v>
      </c>
      <c r="E32" s="33">
        <f>ROUND(D32*$Q$24,0)</f>
        <v>1382415</v>
      </c>
      <c r="F32" s="99">
        <v>12035</v>
      </c>
      <c r="G32" s="43">
        <f>E32/F32</f>
        <v>114.86622351474865</v>
      </c>
      <c r="H32" s="97"/>
      <c r="I32" s="105"/>
      <c r="J32" s="105"/>
      <c r="K32" s="86"/>
      <c r="L32" s="105"/>
      <c r="M32" s="97"/>
      <c r="N32" s="97"/>
      <c r="O32" s="97"/>
      <c r="P32" s="97"/>
      <c r="Q32" s="43"/>
      <c r="R32" s="84"/>
    </row>
    <row r="33" spans="1:18">
      <c r="A33" s="84">
        <v>19</v>
      </c>
      <c r="B33" s="28" t="s">
        <v>69</v>
      </c>
      <c r="C33" s="35">
        <v>1684109</v>
      </c>
      <c r="D33" s="45">
        <f>C33/C34</f>
        <v>5.2793430264031882E-2</v>
      </c>
      <c r="E33" s="88">
        <f>ROUND(D33*$Q$24,0)</f>
        <v>275625</v>
      </c>
      <c r="F33" s="35">
        <v>429</v>
      </c>
      <c r="G33" s="46">
        <f>E33/F33</f>
        <v>642.48251748251744</v>
      </c>
      <c r="H33" s="97"/>
      <c r="I33" s="105"/>
      <c r="J33" s="105"/>
      <c r="K33" s="86"/>
      <c r="L33" s="105"/>
      <c r="M33" s="97"/>
      <c r="N33" s="97"/>
      <c r="O33" s="97"/>
      <c r="P33" s="97"/>
      <c r="Q33" s="43"/>
      <c r="R33" s="84"/>
    </row>
    <row r="34" spans="1:18">
      <c r="A34" s="84">
        <v>20</v>
      </c>
      <c r="B34" s="84"/>
      <c r="C34" s="86">
        <f>SUM(C30:C33)</f>
        <v>31899973</v>
      </c>
      <c r="D34" s="42">
        <f>SUM(D30:D33)</f>
        <v>1</v>
      </c>
      <c r="E34" s="91">
        <f>SUM(E30:E33)</f>
        <v>5220818</v>
      </c>
      <c r="F34" s="87">
        <f>SUM(F30:F33)</f>
        <v>429949</v>
      </c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3"/>
      <c r="R34" s="84"/>
    </row>
    <row r="35" spans="1:18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Q35" s="93"/>
      <c r="R35" s="93"/>
    </row>
    <row r="37" spans="1:18">
      <c r="A37" s="47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Q37" s="84"/>
      <c r="R37" s="84"/>
    </row>
  </sheetData>
  <pageMargins left="0.25" right="0.25" top="0.75" bottom="0.75" header="0.3" footer="0.3"/>
  <pageSetup scale="53" orientation="landscape" r:id="rId1"/>
  <headerFooter>
    <oddHeader>&amp;RResponse to PSC 3-3
Page &amp;P of &amp;N
Witnesses: John Brown and
William Steven Seelye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40"/>
  <sheetViews>
    <sheetView topLeftCell="A13" zoomScaleNormal="100" workbookViewId="0">
      <selection activeCell="E44" sqref="E44"/>
    </sheetView>
  </sheetViews>
  <sheetFormatPr defaultColWidth="9.140625" defaultRowHeight="15"/>
  <cols>
    <col min="1" max="1" width="14.42578125" style="4" customWidth="1"/>
    <col min="2" max="2" width="18.5703125" style="4" bestFit="1" customWidth="1"/>
    <col min="3" max="3" width="12.7109375" style="4" customWidth="1"/>
    <col min="4" max="4" width="14.28515625" style="4" customWidth="1"/>
    <col min="5" max="5" width="10.7109375" style="4" customWidth="1"/>
    <col min="6" max="6" width="12.7109375" style="4" customWidth="1"/>
    <col min="7" max="7" width="12.42578125" style="4" bestFit="1" customWidth="1"/>
    <col min="8" max="8" width="13.140625" style="4" bestFit="1" customWidth="1"/>
    <col min="9" max="9" width="2.7109375" style="4" customWidth="1"/>
    <col min="10" max="10" width="10.7109375" style="4" customWidth="1"/>
    <col min="11" max="11" width="8.140625" style="4" bestFit="1" customWidth="1"/>
    <col min="12" max="12" width="12.7109375" style="4" customWidth="1"/>
    <col min="13" max="14" width="11.28515625" style="4" bestFit="1" customWidth="1"/>
    <col min="15" max="15" width="8.42578125" style="4" bestFit="1" customWidth="1"/>
    <col min="16" max="16" width="11.28515625" style="4" bestFit="1" customWidth="1"/>
    <col min="17" max="17" width="2.7109375" style="4" customWidth="1"/>
    <col min="18" max="18" width="13.7109375" style="4" bestFit="1" customWidth="1"/>
    <col min="19" max="19" width="7.7109375" style="4" bestFit="1" customWidth="1"/>
    <col min="20" max="20" width="7.42578125" style="4" bestFit="1" customWidth="1"/>
    <col min="21" max="16384" width="9.140625" style="4"/>
  </cols>
  <sheetData>
    <row r="1" spans="1:21">
      <c r="A1" s="22" t="s">
        <v>70</v>
      </c>
      <c r="B1" s="7">
        <v>2010</v>
      </c>
      <c r="C1" s="25"/>
      <c r="D1" s="25"/>
      <c r="E1" s="25"/>
      <c r="F1" s="25" t="s">
        <v>71</v>
      </c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>
      <c r="A2" s="22" t="s">
        <v>72</v>
      </c>
      <c r="B2" s="25"/>
      <c r="C2" s="25"/>
      <c r="D2" s="8" t="s">
        <v>73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>
      <c r="A3" s="25"/>
      <c r="B3" s="25"/>
      <c r="C3" s="25"/>
      <c r="D3" s="16" t="s">
        <v>74</v>
      </c>
      <c r="E3" s="25"/>
      <c r="F3" s="125" t="s">
        <v>75</v>
      </c>
      <c r="G3" s="125"/>
      <c r="H3" s="125"/>
      <c r="I3" s="25"/>
      <c r="J3" s="23" t="s">
        <v>76</v>
      </c>
      <c r="K3" s="25"/>
      <c r="L3" s="25"/>
      <c r="M3" s="25"/>
      <c r="N3" s="25"/>
      <c r="O3" s="25"/>
      <c r="P3" s="25"/>
      <c r="Q3" s="25"/>
      <c r="R3" s="25"/>
      <c r="S3" s="25"/>
      <c r="T3" s="23"/>
      <c r="U3" s="23"/>
    </row>
    <row r="4" spans="1:21">
      <c r="A4" s="25"/>
      <c r="B4" s="25"/>
      <c r="C4" s="16">
        <v>2010</v>
      </c>
      <c r="D4" s="16" t="s">
        <v>77</v>
      </c>
      <c r="E4" s="25"/>
      <c r="F4" s="9"/>
      <c r="G4" s="9" t="s">
        <v>78</v>
      </c>
      <c r="H4" s="9"/>
      <c r="I4" s="25"/>
      <c r="J4" s="16" t="s">
        <v>79</v>
      </c>
      <c r="K4" s="25"/>
      <c r="L4" s="25"/>
      <c r="M4" s="25"/>
      <c r="N4" s="25"/>
      <c r="O4" s="16" t="s">
        <v>80</v>
      </c>
      <c r="P4" s="16" t="s">
        <v>80</v>
      </c>
      <c r="Q4" s="25"/>
      <c r="R4" s="25"/>
      <c r="S4" s="25"/>
      <c r="T4" s="25"/>
      <c r="U4" s="25"/>
    </row>
    <row r="5" spans="1:21">
      <c r="A5" s="25"/>
      <c r="B5" s="25"/>
      <c r="C5" s="123" t="s">
        <v>81</v>
      </c>
      <c r="D5" s="10">
        <v>13</v>
      </c>
      <c r="E5" s="25"/>
      <c r="F5" s="123" t="s">
        <v>82</v>
      </c>
      <c r="G5" s="123" t="s">
        <v>83</v>
      </c>
      <c r="H5" s="123" t="s">
        <v>84</v>
      </c>
      <c r="I5" s="25"/>
      <c r="J5" s="123" t="s">
        <v>85</v>
      </c>
      <c r="K5" s="25"/>
      <c r="L5" s="25"/>
      <c r="M5" s="25"/>
      <c r="N5" s="25"/>
      <c r="O5" s="123" t="s">
        <v>65</v>
      </c>
      <c r="P5" s="123" t="s">
        <v>86</v>
      </c>
      <c r="Q5" s="25"/>
      <c r="R5" s="25"/>
      <c r="S5" s="25"/>
      <c r="T5" s="25"/>
      <c r="U5" s="25"/>
    </row>
    <row r="6" spans="1:21">
      <c r="A6" s="25">
        <v>1</v>
      </c>
      <c r="B6" s="25" t="s">
        <v>87</v>
      </c>
      <c r="C6" s="100">
        <f>329963+486787</f>
        <v>816750</v>
      </c>
      <c r="D6" s="2">
        <v>3.1E-2</v>
      </c>
      <c r="E6" s="25"/>
      <c r="F6" s="100">
        <v>-291169</v>
      </c>
      <c r="G6" s="18">
        <f>ROUND(IF(D$5=1,-0.5*D6*C6,-D6*C6),0)</f>
        <v>-25319</v>
      </c>
      <c r="H6" s="18">
        <f>SUM(F6:G6)</f>
        <v>-316488</v>
      </c>
      <c r="I6" s="25"/>
      <c r="J6" s="5">
        <f t="shared" ref="J6:J11" si="0">C6+H6</f>
        <v>500262</v>
      </c>
      <c r="K6" s="25"/>
      <c r="L6" s="25"/>
      <c r="M6" s="25"/>
      <c r="N6" s="25"/>
      <c r="O6" s="11">
        <v>1E-4</v>
      </c>
      <c r="P6" s="17">
        <f>ROUND(IF(D$5=1,-0.5*O6*C6,-O6*C6),0)</f>
        <v>-82</v>
      </c>
      <c r="Q6" s="25"/>
      <c r="R6" s="25"/>
      <c r="S6" s="25"/>
      <c r="T6" s="25"/>
      <c r="U6" s="25"/>
    </row>
    <row r="7" spans="1:21">
      <c r="A7" s="25">
        <v>2</v>
      </c>
      <c r="B7" s="25" t="s">
        <v>88</v>
      </c>
      <c r="C7" s="100">
        <f>23974</f>
        <v>23974</v>
      </c>
      <c r="D7" s="2">
        <v>2.3300000000000001E-2</v>
      </c>
      <c r="E7" s="25"/>
      <c r="F7" s="100">
        <v>-6428</v>
      </c>
      <c r="G7" s="18">
        <f>ROUND(IF(D$5=1,-0.5*D7*C7,-D7*C7),0)</f>
        <v>-559</v>
      </c>
      <c r="H7" s="18">
        <f t="shared" ref="H7:H11" si="1">SUM(F7:G7)</f>
        <v>-6987</v>
      </c>
      <c r="I7" s="25"/>
      <c r="J7" s="5">
        <f t="shared" si="0"/>
        <v>16987</v>
      </c>
      <c r="K7" s="25"/>
      <c r="L7" s="25"/>
      <c r="M7" s="25"/>
      <c r="N7" s="25"/>
      <c r="O7" s="11">
        <v>2.0000000000000001E-4</v>
      </c>
      <c r="P7" s="5">
        <f>ROUND(IF(D$5=1,-0.5*O7*C7,-O7*C7),0)</f>
        <v>-5</v>
      </c>
      <c r="Q7" s="25"/>
      <c r="R7" s="25"/>
      <c r="S7" s="25"/>
      <c r="T7" s="25"/>
      <c r="U7" s="25"/>
    </row>
    <row r="8" spans="1:21">
      <c r="A8" s="25">
        <v>3</v>
      </c>
      <c r="B8" s="25" t="s">
        <v>89</v>
      </c>
      <c r="C8" s="100">
        <f>118268</f>
        <v>118268</v>
      </c>
      <c r="D8" s="2">
        <v>2.69E-2</v>
      </c>
      <c r="E8" s="25"/>
      <c r="F8" s="100">
        <v>-36582</v>
      </c>
      <c r="G8" s="18">
        <f>ROUND(IF(D$5=1,-0.5*D8*C8,-D8*C8),0)</f>
        <v>-3181</v>
      </c>
      <c r="H8" s="18">
        <f t="shared" si="1"/>
        <v>-39763</v>
      </c>
      <c r="I8" s="25"/>
      <c r="J8" s="5">
        <f t="shared" si="0"/>
        <v>78505</v>
      </c>
      <c r="K8" s="25"/>
      <c r="L8" s="25"/>
      <c r="M8" s="25"/>
      <c r="N8" s="25"/>
      <c r="O8" s="11">
        <v>4.1999999999999997E-3</v>
      </c>
      <c r="P8" s="5">
        <f>ROUND(IF(D$5=1,-0.5*O8*C8,-O8*C8),0)</f>
        <v>-497</v>
      </c>
      <c r="Q8" s="25"/>
      <c r="R8" s="25"/>
      <c r="S8" s="25"/>
      <c r="T8" s="25"/>
      <c r="U8" s="25"/>
    </row>
    <row r="9" spans="1:21">
      <c r="A9" s="25">
        <v>4</v>
      </c>
      <c r="B9" s="25" t="s">
        <v>90</v>
      </c>
      <c r="C9" s="100">
        <v>0</v>
      </c>
      <c r="D9" s="2">
        <v>2.2499999999999999E-2</v>
      </c>
      <c r="E9" s="25"/>
      <c r="F9" s="100">
        <v>0</v>
      </c>
      <c r="G9" s="18">
        <f>ROUND(IF(D$5=1,-0.5*D9*C9,-D9*C9),0)</f>
        <v>0</v>
      </c>
      <c r="H9" s="18">
        <f t="shared" si="1"/>
        <v>0</v>
      </c>
      <c r="I9" s="25"/>
      <c r="J9" s="5">
        <f t="shared" si="0"/>
        <v>0</v>
      </c>
      <c r="K9" s="25"/>
      <c r="L9" s="25"/>
      <c r="M9" s="25"/>
      <c r="N9" s="25"/>
      <c r="O9" s="11">
        <v>0</v>
      </c>
      <c r="P9" s="5">
        <f>IF(D$5=1,-0.5*O9*C9,-O9*C9)</f>
        <v>0</v>
      </c>
      <c r="Q9" s="25"/>
      <c r="R9" s="25"/>
      <c r="S9" s="25"/>
      <c r="T9" s="25"/>
      <c r="U9" s="25"/>
    </row>
    <row r="10" spans="1:21">
      <c r="A10" s="25">
        <v>5</v>
      </c>
      <c r="B10" s="25" t="s">
        <v>91</v>
      </c>
      <c r="C10" s="100">
        <v>0</v>
      </c>
      <c r="D10" s="2">
        <v>2.0500000000000001E-2</v>
      </c>
      <c r="E10" s="25"/>
      <c r="F10" s="100">
        <v>0</v>
      </c>
      <c r="G10" s="18">
        <f>ROUND(IF(D$5=1,-0.5*D10*C10,-D10*C10),0)</f>
        <v>0</v>
      </c>
      <c r="H10" s="18">
        <f t="shared" si="1"/>
        <v>0</v>
      </c>
      <c r="I10" s="25"/>
      <c r="J10" s="5">
        <f t="shared" si="0"/>
        <v>0</v>
      </c>
      <c r="K10" s="25"/>
      <c r="L10" s="25"/>
      <c r="M10" s="25"/>
      <c r="N10" s="25"/>
      <c r="O10" s="11">
        <v>0</v>
      </c>
      <c r="P10" s="5">
        <f>IF(D$5=1,-0.5*O10*C10,-O10*C10)</f>
        <v>0</v>
      </c>
      <c r="Q10" s="25"/>
      <c r="R10" s="25"/>
      <c r="S10" s="25"/>
      <c r="T10" s="25"/>
      <c r="U10" s="25"/>
    </row>
    <row r="11" spans="1:21">
      <c r="A11" s="25">
        <v>6</v>
      </c>
      <c r="B11" s="25" t="s">
        <v>92</v>
      </c>
      <c r="C11" s="101">
        <v>615796</v>
      </c>
      <c r="D11" s="3" t="s">
        <v>93</v>
      </c>
      <c r="E11" s="12"/>
      <c r="F11" s="101">
        <v>-6715</v>
      </c>
      <c r="G11" s="21">
        <f>P12</f>
        <v>-584</v>
      </c>
      <c r="H11" s="21">
        <f t="shared" si="1"/>
        <v>-7299</v>
      </c>
      <c r="I11" s="25"/>
      <c r="J11" s="6">
        <f t="shared" si="0"/>
        <v>608497</v>
      </c>
      <c r="K11" s="25"/>
      <c r="L11" s="25"/>
      <c r="M11" s="25"/>
      <c r="N11" s="25"/>
      <c r="O11" s="24">
        <v>0</v>
      </c>
      <c r="P11" s="6">
        <f>IF(D$5=1,-0.5*O11*C11,-O11*C11)</f>
        <v>0</v>
      </c>
      <c r="Q11" s="25"/>
      <c r="R11" s="25"/>
      <c r="S11" s="25"/>
      <c r="T11" s="25"/>
      <c r="U11" s="25"/>
    </row>
    <row r="12" spans="1:21">
      <c r="A12" s="25"/>
      <c r="B12" s="25"/>
      <c r="C12" s="18">
        <f>SUM(C5:C11)</f>
        <v>1574788</v>
      </c>
      <c r="D12" s="18"/>
      <c r="E12" s="25"/>
      <c r="F12" s="100">
        <f>SUM(F5:F11)</f>
        <v>-340894</v>
      </c>
      <c r="G12" s="18">
        <f>SUM(G5:G11)</f>
        <v>-29643</v>
      </c>
      <c r="H12" s="18">
        <f>SUM(H5:H11)</f>
        <v>-370537</v>
      </c>
      <c r="I12" s="25"/>
      <c r="J12" s="5">
        <f>SUM(J6:J11)</f>
        <v>1204251</v>
      </c>
      <c r="K12" s="25"/>
      <c r="L12" s="25"/>
      <c r="M12" s="25"/>
      <c r="N12" s="25"/>
      <c r="O12" s="5"/>
      <c r="P12" s="17">
        <f>SUM(P5:P11)</f>
        <v>-584</v>
      </c>
      <c r="Q12" s="25"/>
      <c r="R12" s="25"/>
      <c r="S12" s="25"/>
      <c r="T12" s="25"/>
      <c r="U12" s="25"/>
    </row>
    <row r="13" spans="1:21" ht="14.25" customHeight="1">
      <c r="A13" s="25"/>
      <c r="B13" s="25"/>
      <c r="C13" s="18"/>
      <c r="D13" s="18"/>
      <c r="E13" s="18"/>
      <c r="F13" s="18"/>
      <c r="G13" s="25"/>
      <c r="H13" s="25"/>
      <c r="I13" s="25"/>
      <c r="J13" s="25"/>
      <c r="K13" s="25"/>
      <c r="L13" s="25"/>
      <c r="M13" s="16"/>
      <c r="N13" s="20"/>
      <c r="O13" s="25"/>
      <c r="P13" s="25"/>
      <c r="Q13" s="25"/>
      <c r="R13" s="25"/>
      <c r="S13" s="25"/>
      <c r="T13" s="25"/>
      <c r="U13" s="25"/>
    </row>
    <row r="14" spans="1:21">
      <c r="A14" s="25"/>
      <c r="B14" s="25"/>
      <c r="C14" s="25"/>
      <c r="D14" s="25"/>
      <c r="E14" s="25"/>
      <c r="F14" s="25"/>
      <c r="G14" s="25"/>
      <c r="H14" s="25"/>
      <c r="I14" s="25"/>
      <c r="J14" s="25" t="s">
        <v>71</v>
      </c>
      <c r="K14" s="25"/>
      <c r="L14" s="25"/>
      <c r="M14" s="16"/>
      <c r="N14" s="20"/>
      <c r="O14" s="25"/>
      <c r="P14" s="25"/>
      <c r="Q14" s="25"/>
      <c r="R14" s="25"/>
      <c r="S14" s="25"/>
      <c r="T14" s="25"/>
      <c r="U14" s="25"/>
    </row>
    <row r="15" spans="1:21">
      <c r="A15" s="25"/>
      <c r="B15" s="25"/>
      <c r="C15" s="25"/>
      <c r="D15" s="16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s="27" customFormat="1">
      <c r="A16" s="84"/>
      <c r="B16" s="84"/>
      <c r="C16" s="93"/>
      <c r="D16" s="95" t="s">
        <v>94</v>
      </c>
      <c r="E16" s="93"/>
      <c r="F16" s="93"/>
      <c r="G16" s="48">
        <v>0.5</v>
      </c>
      <c r="H16" s="93"/>
      <c r="I16" s="84"/>
      <c r="J16" s="49"/>
      <c r="K16" s="95" t="s">
        <v>95</v>
      </c>
      <c r="L16" s="124" t="s">
        <v>96</v>
      </c>
      <c r="M16" s="124"/>
      <c r="N16" s="124"/>
      <c r="O16" s="124"/>
      <c r="P16" s="124"/>
      <c r="Q16" s="84"/>
      <c r="R16" s="50" t="s">
        <v>97</v>
      </c>
      <c r="S16" s="84"/>
      <c r="T16" s="84"/>
      <c r="U16" s="84"/>
    </row>
    <row r="17" spans="1:18" s="27" customFormat="1">
      <c r="A17" s="84"/>
      <c r="B17" s="84"/>
      <c r="C17" s="95" t="s">
        <v>76</v>
      </c>
      <c r="D17" s="95" t="s">
        <v>83</v>
      </c>
      <c r="E17" s="95" t="s">
        <v>97</v>
      </c>
      <c r="F17" s="95" t="s">
        <v>97</v>
      </c>
      <c r="G17" s="95" t="s">
        <v>98</v>
      </c>
      <c r="H17" s="95" t="s">
        <v>99</v>
      </c>
      <c r="I17" s="84"/>
      <c r="J17" s="95"/>
      <c r="K17" s="95" t="s">
        <v>100</v>
      </c>
      <c r="L17" s="95"/>
      <c r="M17" s="95" t="s">
        <v>97</v>
      </c>
      <c r="N17" s="95" t="s">
        <v>98</v>
      </c>
      <c r="O17" s="95" t="s">
        <v>95</v>
      </c>
      <c r="P17" s="95"/>
      <c r="Q17" s="84"/>
      <c r="R17" s="95" t="s">
        <v>79</v>
      </c>
    </row>
    <row r="18" spans="1:18" s="27" customFormat="1">
      <c r="A18" s="84"/>
      <c r="B18" s="84"/>
      <c r="C18" s="122" t="s">
        <v>81</v>
      </c>
      <c r="D18" s="122" t="s">
        <v>101</v>
      </c>
      <c r="E18" s="122" t="s">
        <v>83</v>
      </c>
      <c r="F18" s="122" t="s">
        <v>102</v>
      </c>
      <c r="G18" s="122" t="s">
        <v>78</v>
      </c>
      <c r="H18" s="122" t="s">
        <v>103</v>
      </c>
      <c r="I18" s="84"/>
      <c r="J18" s="122" t="s">
        <v>104</v>
      </c>
      <c r="K18" s="122">
        <f>D5</f>
        <v>13</v>
      </c>
      <c r="L18" s="122" t="s">
        <v>82</v>
      </c>
      <c r="M18" s="122" t="s">
        <v>83</v>
      </c>
      <c r="N18" s="122" t="s">
        <v>86</v>
      </c>
      <c r="O18" s="122" t="s">
        <v>86</v>
      </c>
      <c r="P18" s="122" t="s">
        <v>84</v>
      </c>
      <c r="Q18" s="84"/>
      <c r="R18" s="122" t="s">
        <v>85</v>
      </c>
    </row>
    <row r="19" spans="1:18" s="27" customFormat="1">
      <c r="A19" s="84">
        <v>7</v>
      </c>
      <c r="B19" s="84" t="s">
        <v>87</v>
      </c>
      <c r="C19" s="87">
        <f>'2010'!C6</f>
        <v>816750</v>
      </c>
      <c r="D19" s="51">
        <v>0.94499999999999995</v>
      </c>
      <c r="E19" s="87">
        <f>C19*-D19</f>
        <v>-771828.75</v>
      </c>
      <c r="F19" s="52">
        <f>C19+E19</f>
        <v>44921.25</v>
      </c>
      <c r="G19" s="52">
        <f>F19*-$G$16</f>
        <v>-22460.625</v>
      </c>
      <c r="H19" s="53">
        <f t="shared" ref="H19:H24" si="2">F19+G19</f>
        <v>22460.625</v>
      </c>
      <c r="I19" s="84"/>
      <c r="J19" s="84">
        <v>15</v>
      </c>
      <c r="K19" s="54">
        <f>IFERROR(VLOOKUP(J19,'Tax Rates'!$A$1:$AA$12,'2010'!$K$18+1,FALSE),0)</f>
        <v>5.9049999999999998E-2</v>
      </c>
      <c r="L19" s="102">
        <v>-813116</v>
      </c>
      <c r="M19" s="52">
        <v>0</v>
      </c>
      <c r="N19" s="52">
        <v>0</v>
      </c>
      <c r="O19" s="87">
        <f>ROUND(K19*-H19,0)</f>
        <v>-1326</v>
      </c>
      <c r="P19" s="55">
        <f>SUM(L19:O19)</f>
        <v>-814442</v>
      </c>
      <c r="Q19" s="84"/>
      <c r="R19" s="52">
        <f>C19+P19</f>
        <v>2308</v>
      </c>
    </row>
    <row r="20" spans="1:18" s="27" customFormat="1">
      <c r="A20" s="84">
        <v>8</v>
      </c>
      <c r="B20" s="84" t="s">
        <v>88</v>
      </c>
      <c r="C20" s="87">
        <f>'2010'!C7</f>
        <v>23974</v>
      </c>
      <c r="D20" s="51">
        <v>1</v>
      </c>
      <c r="E20" s="87">
        <f>C20*-D20</f>
        <v>-23974</v>
      </c>
      <c r="F20" s="52">
        <f>C20+E20</f>
        <v>0</v>
      </c>
      <c r="G20" s="52">
        <f>F20*-$G$16</f>
        <v>0</v>
      </c>
      <c r="H20" s="53">
        <f t="shared" si="2"/>
        <v>0</v>
      </c>
      <c r="I20" s="84"/>
      <c r="J20" s="84">
        <v>15</v>
      </c>
      <c r="K20" s="54">
        <f>IFERROR(VLOOKUP(J20,'Tax Rates'!$A$1:$AA$12,'2010'!$K$18+1,FALSE),0)</f>
        <v>5.9049999999999998E-2</v>
      </c>
      <c r="L20" s="102">
        <v>-23974</v>
      </c>
      <c r="M20" s="52">
        <v>0</v>
      </c>
      <c r="N20" s="52">
        <v>0</v>
      </c>
      <c r="O20" s="87">
        <f>ROUND(K20*-H20,0)</f>
        <v>0</v>
      </c>
      <c r="P20" s="55">
        <f t="shared" ref="P20:P24" si="3">SUM(L20:O20)</f>
        <v>-23974</v>
      </c>
      <c r="Q20" s="84"/>
      <c r="R20" s="52">
        <f>C20+P20</f>
        <v>0</v>
      </c>
    </row>
    <row r="21" spans="1:18" s="27" customFormat="1">
      <c r="A21" s="84">
        <v>9</v>
      </c>
      <c r="B21" s="84" t="s">
        <v>89</v>
      </c>
      <c r="C21" s="87">
        <f>'2010'!C8</f>
        <v>118268</v>
      </c>
      <c r="D21" s="51">
        <v>0</v>
      </c>
      <c r="E21" s="87">
        <f>C21*-D21</f>
        <v>0</v>
      </c>
      <c r="F21" s="52">
        <f>C21+E21</f>
        <v>118268</v>
      </c>
      <c r="G21" s="52">
        <f>F21*-$G$16</f>
        <v>-59134</v>
      </c>
      <c r="H21" s="53">
        <f t="shared" si="2"/>
        <v>59134</v>
      </c>
      <c r="I21" s="84"/>
      <c r="J21" s="84">
        <v>20</v>
      </c>
      <c r="K21" s="54">
        <f>IFERROR(VLOOKUP(J21,'Tax Rates'!$A$1:$AA$12,'2010'!$K$18+1,FALSE),0)</f>
        <v>4.462E-2</v>
      </c>
      <c r="L21" s="102">
        <v>-97895</v>
      </c>
      <c r="M21" s="52">
        <v>0</v>
      </c>
      <c r="N21" s="52">
        <v>0</v>
      </c>
      <c r="O21" s="87">
        <f>ROUND(K21*-H21,0)</f>
        <v>-2639</v>
      </c>
      <c r="P21" s="55">
        <f t="shared" si="3"/>
        <v>-100534</v>
      </c>
      <c r="Q21" s="84"/>
      <c r="R21" s="52">
        <f>C21+P21</f>
        <v>17734</v>
      </c>
    </row>
    <row r="22" spans="1:18" s="27" customFormat="1">
      <c r="A22" s="84">
        <v>10</v>
      </c>
      <c r="B22" s="84" t="s">
        <v>90</v>
      </c>
      <c r="C22" s="87">
        <f>'2010'!C9</f>
        <v>0</v>
      </c>
      <c r="D22" s="51">
        <v>0</v>
      </c>
      <c r="E22" s="87">
        <f>C22*-D22</f>
        <v>0</v>
      </c>
      <c r="F22" s="52">
        <f>C22+E22</f>
        <v>0</v>
      </c>
      <c r="G22" s="52">
        <f>F22*-$G$16</f>
        <v>0</v>
      </c>
      <c r="H22" s="53">
        <f t="shared" si="2"/>
        <v>0</v>
      </c>
      <c r="I22" s="84"/>
      <c r="J22" s="84">
        <v>7</v>
      </c>
      <c r="K22" s="54">
        <f>IFERROR(VLOOKUP(J22,'Tax Rates'!$A$1:$AA$12,'2010'!$K$18+1,FALSE),0)</f>
        <v>0</v>
      </c>
      <c r="L22" s="102">
        <v>0</v>
      </c>
      <c r="M22" s="52">
        <v>0</v>
      </c>
      <c r="N22" s="52">
        <v>0</v>
      </c>
      <c r="O22" s="87">
        <f>ROUND(K22*-H22,0)</f>
        <v>0</v>
      </c>
      <c r="P22" s="55">
        <f t="shared" si="3"/>
        <v>0</v>
      </c>
      <c r="Q22" s="84"/>
      <c r="R22" s="52">
        <f>C22+P22</f>
        <v>0</v>
      </c>
    </row>
    <row r="23" spans="1:18" s="27" customFormat="1">
      <c r="A23" s="84">
        <v>11</v>
      </c>
      <c r="B23" s="84" t="s">
        <v>91</v>
      </c>
      <c r="C23" s="87">
        <f>'2010'!C10</f>
        <v>0</v>
      </c>
      <c r="D23" s="51">
        <v>0</v>
      </c>
      <c r="E23" s="87">
        <f>C23*-D23</f>
        <v>0</v>
      </c>
      <c r="F23" s="52">
        <f>C23+E23</f>
        <v>0</v>
      </c>
      <c r="G23" s="52">
        <f>F23*-$G$16</f>
        <v>0</v>
      </c>
      <c r="H23" s="53">
        <f t="shared" si="2"/>
        <v>0</v>
      </c>
      <c r="I23" s="84"/>
      <c r="J23" s="84">
        <v>15</v>
      </c>
      <c r="K23" s="54">
        <f>IFERROR(VLOOKUP(J23,'Tax Rates'!$A$1:$AA$12,'2010'!$K$18+1,FALSE),0)</f>
        <v>5.9049999999999998E-2</v>
      </c>
      <c r="L23" s="102">
        <v>0</v>
      </c>
      <c r="M23" s="52">
        <v>0</v>
      </c>
      <c r="N23" s="52">
        <v>0</v>
      </c>
      <c r="O23" s="87">
        <f>ROUND(K23*-H23,0)</f>
        <v>0</v>
      </c>
      <c r="P23" s="55">
        <f t="shared" si="3"/>
        <v>0</v>
      </c>
      <c r="Q23" s="84"/>
      <c r="R23" s="52">
        <f>C23+P23</f>
        <v>0</v>
      </c>
    </row>
    <row r="24" spans="1:18" s="27" customFormat="1">
      <c r="A24" s="84">
        <v>12</v>
      </c>
      <c r="B24" s="84" t="s">
        <v>92</v>
      </c>
      <c r="C24" s="88">
        <f>'2010'!C11</f>
        <v>615796</v>
      </c>
      <c r="D24" s="58" t="s">
        <v>105</v>
      </c>
      <c r="E24" s="88">
        <v>0</v>
      </c>
      <c r="F24" s="59">
        <v>0</v>
      </c>
      <c r="G24" s="59">
        <v>0</v>
      </c>
      <c r="H24" s="60">
        <f t="shared" si="2"/>
        <v>0</v>
      </c>
      <c r="I24" s="84"/>
      <c r="J24" s="61" t="s">
        <v>105</v>
      </c>
      <c r="K24" s="62" t="s">
        <v>105</v>
      </c>
      <c r="L24" s="103">
        <v>0</v>
      </c>
      <c r="M24" s="59">
        <v>0</v>
      </c>
      <c r="N24" s="63">
        <v>0</v>
      </c>
      <c r="O24" s="88">
        <v>0</v>
      </c>
      <c r="P24" s="64">
        <f t="shared" si="3"/>
        <v>0</v>
      </c>
      <c r="Q24" s="84"/>
      <c r="R24" s="65" t="s">
        <v>105</v>
      </c>
    </row>
    <row r="25" spans="1:18" s="27" customFormat="1">
      <c r="A25" s="84"/>
      <c r="B25" s="84"/>
      <c r="C25" s="87">
        <f>SUM(C18:C24)</f>
        <v>1574788</v>
      </c>
      <c r="D25" s="84"/>
      <c r="E25" s="87">
        <f>SUM(E19:E24)</f>
        <v>-795802.75</v>
      </c>
      <c r="F25" s="87">
        <f>SUM(F19:F24)</f>
        <v>163189.25</v>
      </c>
      <c r="G25" s="87">
        <f>SUM(G19:G24)</f>
        <v>-81594.625</v>
      </c>
      <c r="H25" s="55">
        <f>SUM(H19:H24)</f>
        <v>81594.625</v>
      </c>
      <c r="I25" s="84"/>
      <c r="J25" s="84"/>
      <c r="K25" s="84"/>
      <c r="L25" s="55">
        <f>SUM(L19:L24)</f>
        <v>-934985</v>
      </c>
      <c r="M25" s="87">
        <f>SUM(M19:M24)</f>
        <v>0</v>
      </c>
      <c r="N25" s="87">
        <f>SUM(N19:N24)</f>
        <v>0</v>
      </c>
      <c r="O25" s="87">
        <f>SUM(O19:O24)</f>
        <v>-3965</v>
      </c>
      <c r="P25" s="55">
        <f>SUM(P19:P24)</f>
        <v>-938950</v>
      </c>
      <c r="Q25" s="84"/>
      <c r="R25" s="52">
        <f>SUM(R19:R24)</f>
        <v>20042</v>
      </c>
    </row>
    <row r="26" spans="1:18" s="27" customFormat="1">
      <c r="A26" s="84"/>
      <c r="B26" s="84"/>
      <c r="C26" s="87"/>
      <c r="D26" s="84"/>
      <c r="E26" s="87"/>
      <c r="F26" s="87"/>
      <c r="G26" s="87"/>
      <c r="H26" s="55"/>
      <c r="I26" s="84"/>
      <c r="J26" s="55"/>
      <c r="K26" s="87"/>
      <c r="L26" s="87"/>
      <c r="M26" s="87"/>
      <c r="N26" s="55"/>
      <c r="O26" s="84"/>
      <c r="P26" s="84"/>
      <c r="Q26" s="84"/>
      <c r="R26" s="84"/>
    </row>
    <row r="27" spans="1:18" s="27" customForma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s="27" customFormat="1">
      <c r="A28" s="84"/>
      <c r="B28" s="84"/>
      <c r="C28" s="84"/>
      <c r="D28" s="84"/>
      <c r="E28" s="87"/>
      <c r="F28" s="50" t="s">
        <v>106</v>
      </c>
      <c r="G28" s="84"/>
      <c r="H28" s="67"/>
      <c r="I28" s="84"/>
      <c r="J28" s="84"/>
      <c r="K28" s="84"/>
      <c r="L28" s="84"/>
      <c r="M28" s="84"/>
      <c r="N28" s="84"/>
      <c r="O28" s="84"/>
      <c r="P28" s="84"/>
      <c r="Q28" s="84"/>
      <c r="R28" s="84"/>
    </row>
    <row r="29" spans="1:18" s="27" customFormat="1">
      <c r="A29" s="84"/>
      <c r="B29" s="84"/>
      <c r="C29" s="84"/>
      <c r="D29" s="124" t="s">
        <v>107</v>
      </c>
      <c r="E29" s="124"/>
      <c r="F29" s="50" t="s">
        <v>108</v>
      </c>
      <c r="G29" s="50" t="s">
        <v>109</v>
      </c>
      <c r="H29" s="95" t="s">
        <v>110</v>
      </c>
      <c r="I29" s="84"/>
      <c r="J29" s="84"/>
      <c r="K29" s="84"/>
      <c r="L29" s="84"/>
      <c r="M29" s="84"/>
      <c r="N29" s="84"/>
      <c r="O29" s="84"/>
      <c r="P29" s="84"/>
      <c r="Q29" s="84"/>
      <c r="R29" s="84"/>
    </row>
    <row r="30" spans="1:18" s="27" customFormat="1">
      <c r="A30" s="84"/>
      <c r="B30" s="84"/>
      <c r="C30" s="84"/>
      <c r="D30" s="122" t="s">
        <v>76</v>
      </c>
      <c r="E30" s="122" t="s">
        <v>97</v>
      </c>
      <c r="F30" s="122" t="s">
        <v>5</v>
      </c>
      <c r="G30" s="122" t="s">
        <v>65</v>
      </c>
      <c r="H30" s="122" t="s">
        <v>111</v>
      </c>
      <c r="I30" s="84"/>
      <c r="J30" s="84"/>
      <c r="K30" s="84"/>
      <c r="L30" s="84"/>
      <c r="M30" s="84"/>
      <c r="N30" s="84"/>
      <c r="O30" s="84"/>
      <c r="P30" s="84"/>
      <c r="Q30" s="84"/>
      <c r="R30" s="84"/>
    </row>
    <row r="31" spans="1:18" s="27" customFormat="1">
      <c r="A31" s="84">
        <v>13</v>
      </c>
      <c r="B31" s="84" t="s">
        <v>87</v>
      </c>
      <c r="C31" s="84"/>
      <c r="D31" s="52">
        <f>'2010'!J6</f>
        <v>500262</v>
      </c>
      <c r="E31" s="52">
        <f>'2010'!R19</f>
        <v>2308</v>
      </c>
      <c r="F31" s="52">
        <f>E31-D31</f>
        <v>-497954</v>
      </c>
      <c r="G31" s="68">
        <v>0.37959999999999999</v>
      </c>
      <c r="H31" s="52">
        <f>ROUND(F31*0.3796,0)</f>
        <v>-189023</v>
      </c>
      <c r="I31" s="84"/>
      <c r="J31" s="84"/>
      <c r="K31" s="84"/>
      <c r="L31" s="84"/>
      <c r="M31" s="84"/>
      <c r="N31" s="84"/>
      <c r="O31" s="84"/>
      <c r="P31" s="84"/>
      <c r="Q31" s="84"/>
      <c r="R31" s="84"/>
    </row>
    <row r="32" spans="1:18" s="27" customFormat="1">
      <c r="A32" s="84">
        <v>14</v>
      </c>
      <c r="B32" s="84" t="s">
        <v>88</v>
      </c>
      <c r="C32" s="84"/>
      <c r="D32" s="52">
        <f>'2010'!J7</f>
        <v>16987</v>
      </c>
      <c r="E32" s="52">
        <f>'2010'!R20</f>
        <v>0</v>
      </c>
      <c r="F32" s="52">
        <f>E32-D32</f>
        <v>-16987</v>
      </c>
      <c r="G32" s="67">
        <f>G31</f>
        <v>0.37959999999999999</v>
      </c>
      <c r="H32" s="52">
        <f t="shared" ref="H32:H36" si="4">ROUND(F32*0.3796,0)</f>
        <v>-6448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</row>
    <row r="33" spans="1:8" s="27" customFormat="1">
      <c r="A33" s="84">
        <v>15</v>
      </c>
      <c r="B33" s="84" t="s">
        <v>89</v>
      </c>
      <c r="C33" s="84"/>
      <c r="D33" s="52">
        <f>'2010'!J8</f>
        <v>78505</v>
      </c>
      <c r="E33" s="52">
        <f>'2010'!R21</f>
        <v>17734</v>
      </c>
      <c r="F33" s="52">
        <f>E33-D33</f>
        <v>-60771</v>
      </c>
      <c r="G33" s="67">
        <f>G31</f>
        <v>0.37959999999999999</v>
      </c>
      <c r="H33" s="52">
        <f t="shared" si="4"/>
        <v>-23069</v>
      </c>
    </row>
    <row r="34" spans="1:8" s="27" customFormat="1">
      <c r="A34" s="84">
        <v>16</v>
      </c>
      <c r="B34" s="84" t="s">
        <v>90</v>
      </c>
      <c r="C34" s="84"/>
      <c r="D34" s="52">
        <f>'2010'!J9</f>
        <v>0</v>
      </c>
      <c r="E34" s="52">
        <f>'2010'!R22</f>
        <v>0</v>
      </c>
      <c r="F34" s="52">
        <f>E34-D34</f>
        <v>0</v>
      </c>
      <c r="G34" s="67">
        <f>G31</f>
        <v>0.37959999999999999</v>
      </c>
      <c r="H34" s="52">
        <f t="shared" si="4"/>
        <v>0</v>
      </c>
    </row>
    <row r="35" spans="1:8" s="27" customFormat="1">
      <c r="A35" s="84">
        <v>17</v>
      </c>
      <c r="B35" s="84" t="s">
        <v>91</v>
      </c>
      <c r="C35" s="84"/>
      <c r="D35" s="52">
        <f>'2010'!J10</f>
        <v>0</v>
      </c>
      <c r="E35" s="52">
        <f>'2010'!R23</f>
        <v>0</v>
      </c>
      <c r="F35" s="52">
        <f>E35-D35</f>
        <v>0</v>
      </c>
      <c r="G35" s="67">
        <f>G31</f>
        <v>0.37959999999999999</v>
      </c>
      <c r="H35" s="52">
        <f t="shared" si="4"/>
        <v>0</v>
      </c>
    </row>
    <row r="36" spans="1:8" s="27" customFormat="1">
      <c r="A36" s="84">
        <v>18</v>
      </c>
      <c r="B36" s="84" t="s">
        <v>92</v>
      </c>
      <c r="C36" s="84"/>
      <c r="D36" s="59">
        <f>'2010'!J11</f>
        <v>608497</v>
      </c>
      <c r="E36" s="65" t="s">
        <v>105</v>
      </c>
      <c r="F36" s="59">
        <f>-D36</f>
        <v>-608497</v>
      </c>
      <c r="G36" s="69">
        <f>G31</f>
        <v>0.37959999999999999</v>
      </c>
      <c r="H36" s="59">
        <f t="shared" si="4"/>
        <v>-230985</v>
      </c>
    </row>
    <row r="37" spans="1:8" s="27" customFormat="1">
      <c r="A37" s="84"/>
      <c r="B37" s="84"/>
      <c r="C37" s="84"/>
      <c r="D37" s="52">
        <f>SUM(D31:D36)</f>
        <v>1204251</v>
      </c>
      <c r="E37" s="52">
        <f>SUM(E31:E36)</f>
        <v>20042</v>
      </c>
      <c r="F37" s="52">
        <f>SUM(F31:F36)</f>
        <v>-1184209</v>
      </c>
      <c r="G37" s="84"/>
      <c r="H37" s="52">
        <f>SUM(H31:H36)</f>
        <v>-449525</v>
      </c>
    </row>
    <row r="38" spans="1:8" s="27" customFormat="1">
      <c r="A38" s="84"/>
      <c r="B38" s="84"/>
      <c r="C38" s="84"/>
      <c r="D38" s="84"/>
      <c r="E38" s="84"/>
      <c r="F38" s="84"/>
      <c r="G38" s="84"/>
      <c r="H38" s="84"/>
    </row>
    <row r="39" spans="1:8">
      <c r="A39" s="12" t="s">
        <v>73</v>
      </c>
      <c r="B39" s="25" t="s">
        <v>112</v>
      </c>
      <c r="C39" s="25"/>
      <c r="D39" s="25"/>
      <c r="E39" s="25"/>
      <c r="F39" s="25"/>
      <c r="G39" s="25"/>
      <c r="H39" s="25"/>
    </row>
    <row r="40" spans="1:8">
      <c r="A40" s="12"/>
      <c r="B40" s="25"/>
      <c r="C40" s="25"/>
      <c r="D40" s="25"/>
      <c r="E40" s="25"/>
      <c r="F40" s="25"/>
      <c r="G40" s="25"/>
      <c r="H40" s="25"/>
    </row>
  </sheetData>
  <mergeCells count="3">
    <mergeCell ref="D29:E29"/>
    <mergeCell ref="F3:H3"/>
    <mergeCell ref="L16:P16"/>
  </mergeCells>
  <pageMargins left="0.25" right="0.25" top="0.75" bottom="0.75" header="0.3" footer="0.3"/>
  <pageSetup scale="66" orientation="landscape" r:id="rId1"/>
  <headerFooter>
    <oddHeader>&amp;RResponse to PSC 3-3
Page &amp;P of &amp;N
Witnesses: John Brown and
William Steven Seelye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0"/>
  <sheetViews>
    <sheetView topLeftCell="A16" zoomScaleNormal="100" workbookViewId="0">
      <selection activeCell="E44" sqref="E44"/>
    </sheetView>
  </sheetViews>
  <sheetFormatPr defaultColWidth="9.140625" defaultRowHeight="15"/>
  <cols>
    <col min="1" max="1" width="14.42578125" style="4" customWidth="1"/>
    <col min="2" max="2" width="18.5703125" style="4" bestFit="1" customWidth="1"/>
    <col min="3" max="4" width="12.7109375" style="4" customWidth="1"/>
    <col min="5" max="5" width="11.28515625" style="4" bestFit="1" customWidth="1"/>
    <col min="6" max="6" width="12.7109375" style="4" customWidth="1"/>
    <col min="7" max="7" width="12.42578125" style="4" bestFit="1" customWidth="1"/>
    <col min="8" max="8" width="13.140625" style="4" bestFit="1" customWidth="1"/>
    <col min="9" max="9" width="2.7109375" style="4" customWidth="1"/>
    <col min="10" max="10" width="10.7109375" style="4" customWidth="1"/>
    <col min="11" max="11" width="8.140625" style="4" bestFit="1" customWidth="1"/>
    <col min="12" max="12" width="12.7109375" style="4" customWidth="1"/>
    <col min="13" max="14" width="11.28515625" style="4" bestFit="1" customWidth="1"/>
    <col min="15" max="15" width="8.42578125" style="4" bestFit="1" customWidth="1"/>
    <col min="16" max="16" width="11.28515625" style="4" bestFit="1" customWidth="1"/>
    <col min="17" max="17" width="2.7109375" style="4" customWidth="1"/>
    <col min="18" max="18" width="13.7109375" style="4" bestFit="1" customWidth="1"/>
    <col min="19" max="19" width="7.7109375" style="4" bestFit="1" customWidth="1"/>
    <col min="20" max="20" width="7.42578125" style="4" bestFit="1" customWidth="1"/>
    <col min="21" max="16384" width="9.140625" style="4"/>
  </cols>
  <sheetData>
    <row r="1" spans="1:18">
      <c r="A1" s="22" t="s">
        <v>70</v>
      </c>
      <c r="B1" s="7">
        <v>2011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>
      <c r="A2" s="22" t="s">
        <v>72</v>
      </c>
      <c r="B2" s="25"/>
      <c r="C2" s="25"/>
      <c r="D2" s="14" t="s">
        <v>73</v>
      </c>
      <c r="E2" s="25"/>
      <c r="F2" s="125" t="s">
        <v>75</v>
      </c>
      <c r="G2" s="125"/>
      <c r="H2" s="1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>
      <c r="A3" s="25"/>
      <c r="B3" s="25"/>
      <c r="C3" s="25"/>
      <c r="D3" s="16" t="s">
        <v>74</v>
      </c>
      <c r="E3" s="25"/>
      <c r="F3" s="20"/>
      <c r="G3" s="14" t="s">
        <v>73</v>
      </c>
      <c r="H3" s="20"/>
      <c r="I3" s="25"/>
      <c r="J3" s="23" t="s">
        <v>76</v>
      </c>
      <c r="K3" s="25"/>
      <c r="L3" s="25"/>
      <c r="M3" s="25"/>
      <c r="N3" s="25"/>
      <c r="O3" s="25"/>
      <c r="P3" s="25"/>
      <c r="Q3" s="25"/>
      <c r="R3" s="25"/>
    </row>
    <row r="4" spans="1:18">
      <c r="A4" s="25"/>
      <c r="B4" s="25"/>
      <c r="C4" s="16">
        <v>2011</v>
      </c>
      <c r="D4" s="16" t="s">
        <v>77</v>
      </c>
      <c r="E4" s="25"/>
      <c r="F4" s="16"/>
      <c r="G4" s="16" t="s">
        <v>78</v>
      </c>
      <c r="H4" s="16"/>
      <c r="I4" s="25"/>
      <c r="J4" s="16" t="s">
        <v>79</v>
      </c>
      <c r="K4" s="25"/>
      <c r="L4" s="25"/>
      <c r="M4" s="25"/>
      <c r="N4" s="25"/>
      <c r="O4" s="16" t="s">
        <v>80</v>
      </c>
      <c r="P4" s="16" t="s">
        <v>80</v>
      </c>
      <c r="Q4" s="25"/>
      <c r="R4" s="25"/>
    </row>
    <row r="5" spans="1:18">
      <c r="A5" s="25"/>
      <c r="B5" s="25"/>
      <c r="C5" s="123" t="s">
        <v>81</v>
      </c>
      <c r="D5" s="10">
        <v>12</v>
      </c>
      <c r="E5" s="25"/>
      <c r="F5" s="123" t="s">
        <v>82</v>
      </c>
      <c r="G5" s="123" t="s">
        <v>83</v>
      </c>
      <c r="H5" s="123" t="s">
        <v>84</v>
      </c>
      <c r="I5" s="25"/>
      <c r="J5" s="123" t="s">
        <v>85</v>
      </c>
      <c r="K5" s="25"/>
      <c r="L5" s="25"/>
      <c r="M5" s="25"/>
      <c r="N5" s="25"/>
      <c r="O5" s="123" t="s">
        <v>65</v>
      </c>
      <c r="P5" s="123" t="s">
        <v>86</v>
      </c>
      <c r="Q5" s="25"/>
      <c r="R5" s="25"/>
    </row>
    <row r="6" spans="1:18">
      <c r="A6" s="25">
        <v>1</v>
      </c>
      <c r="B6" s="25" t="s">
        <v>87</v>
      </c>
      <c r="C6" s="100">
        <f>467774+361177</f>
        <v>828951</v>
      </c>
      <c r="D6" s="2">
        <v>3.1E-2</v>
      </c>
      <c r="E6" s="25"/>
      <c r="F6" s="100">
        <v>-269819</v>
      </c>
      <c r="G6" s="18">
        <f>ROUND(IF(D$5=1,-0.5*D6*C6,-D6*C6),0)</f>
        <v>-25697</v>
      </c>
      <c r="H6" s="18">
        <f t="shared" ref="H6:H11" si="0">SUM(F6:G6)</f>
        <v>-295516</v>
      </c>
      <c r="I6" s="25"/>
      <c r="J6" s="5">
        <f t="shared" ref="J6:J11" si="1">C6+H6</f>
        <v>533435</v>
      </c>
      <c r="K6" s="25"/>
      <c r="L6" s="25"/>
      <c r="M6" s="25"/>
      <c r="N6" s="25"/>
      <c r="O6" s="11">
        <v>1E-4</v>
      </c>
      <c r="P6" s="17">
        <f>ROUND(IF(D$5=1,-0.5*O6*C6,-O6*C6),0)</f>
        <v>-83</v>
      </c>
      <c r="Q6" s="25"/>
      <c r="R6" s="25"/>
    </row>
    <row r="7" spans="1:18">
      <c r="A7" s="25">
        <v>2</v>
      </c>
      <c r="B7" s="25" t="s">
        <v>88</v>
      </c>
      <c r="C7" s="100">
        <v>88312</v>
      </c>
      <c r="D7" s="2">
        <v>2.3300000000000001E-2</v>
      </c>
      <c r="E7" s="25"/>
      <c r="F7" s="100">
        <v>-21609</v>
      </c>
      <c r="G7" s="18">
        <f>ROUND(IF(D$5=1,-0.5*D7*C7,-D7*C7),0)</f>
        <v>-2058</v>
      </c>
      <c r="H7" s="18">
        <f t="shared" si="0"/>
        <v>-23667</v>
      </c>
      <c r="I7" s="25"/>
      <c r="J7" s="5">
        <f t="shared" si="1"/>
        <v>64645</v>
      </c>
      <c r="K7" s="25"/>
      <c r="L7" s="25"/>
      <c r="M7" s="25"/>
      <c r="N7" s="25"/>
      <c r="O7" s="11">
        <v>2.0000000000000001E-4</v>
      </c>
      <c r="P7" s="5">
        <f>ROUND(IF(D$5=1,-0.5*O7*C7,-O7*C7),0)</f>
        <v>-18</v>
      </c>
      <c r="Q7" s="25"/>
      <c r="R7" s="25"/>
    </row>
    <row r="8" spans="1:18">
      <c r="A8" s="25">
        <v>3</v>
      </c>
      <c r="B8" s="25" t="s">
        <v>89</v>
      </c>
      <c r="C8" s="100">
        <f>120134+262941</f>
        <v>383075</v>
      </c>
      <c r="D8" s="2">
        <v>2.69E-2</v>
      </c>
      <c r="E8" s="25"/>
      <c r="F8" s="100">
        <v>-108202</v>
      </c>
      <c r="G8" s="18">
        <f>ROUND(IF(D$5=1,-0.5*D8*C8,-D8*C8),0)</f>
        <v>-10305</v>
      </c>
      <c r="H8" s="18">
        <f t="shared" si="0"/>
        <v>-118507</v>
      </c>
      <c r="I8" s="25"/>
      <c r="J8" s="5">
        <f t="shared" si="1"/>
        <v>264568</v>
      </c>
      <c r="K8" s="25"/>
      <c r="L8" s="25"/>
      <c r="M8" s="25"/>
      <c r="N8" s="25"/>
      <c r="O8" s="11">
        <v>4.1999999999999997E-3</v>
      </c>
      <c r="P8" s="5">
        <f>ROUND(IF(D$5=1,-0.5*O8*C8,-O8*C8),0)</f>
        <v>-1609</v>
      </c>
      <c r="Q8" s="25"/>
      <c r="R8" s="25"/>
    </row>
    <row r="9" spans="1:18">
      <c r="A9" s="25">
        <v>4</v>
      </c>
      <c r="B9" s="25" t="s">
        <v>90</v>
      </c>
      <c r="C9" s="100">
        <v>0</v>
      </c>
      <c r="D9" s="2">
        <v>2.2499999999999999E-2</v>
      </c>
      <c r="E9" s="25"/>
      <c r="F9" s="100">
        <v>0</v>
      </c>
      <c r="G9" s="18">
        <f>ROUND(IF(D$5=1,-0.5*D9*C9,-D9*C9),0)</f>
        <v>0</v>
      </c>
      <c r="H9" s="18">
        <f t="shared" si="0"/>
        <v>0</v>
      </c>
      <c r="I9" s="25"/>
      <c r="J9" s="5">
        <f t="shared" si="1"/>
        <v>0</v>
      </c>
      <c r="K9" s="25"/>
      <c r="L9" s="25"/>
      <c r="M9" s="25"/>
      <c r="N9" s="25"/>
      <c r="O9" s="11">
        <v>0</v>
      </c>
      <c r="P9" s="5">
        <f>IF(D$5=1,-0.5*O9*C9,-O9*C9)</f>
        <v>0</v>
      </c>
      <c r="Q9" s="25"/>
      <c r="R9" s="25"/>
    </row>
    <row r="10" spans="1:18">
      <c r="A10" s="25">
        <v>5</v>
      </c>
      <c r="B10" s="25" t="s">
        <v>91</v>
      </c>
      <c r="C10" s="100">
        <v>0</v>
      </c>
      <c r="D10" s="2">
        <v>2.0500000000000001E-2</v>
      </c>
      <c r="E10" s="25"/>
      <c r="F10" s="100">
        <v>0</v>
      </c>
      <c r="G10" s="18">
        <f>ROUND(IF(D$5=1,-0.5*D10*C10,-D10*C10),0)</f>
        <v>0</v>
      </c>
      <c r="H10" s="18">
        <f t="shared" si="0"/>
        <v>0</v>
      </c>
      <c r="I10" s="25"/>
      <c r="J10" s="5">
        <f t="shared" si="1"/>
        <v>0</v>
      </c>
      <c r="K10" s="25"/>
      <c r="L10" s="25"/>
      <c r="M10" s="25"/>
      <c r="N10" s="25"/>
      <c r="O10" s="11">
        <v>0</v>
      </c>
      <c r="P10" s="5">
        <f>IF(D$5=1,-0.5*O10*C10,-O10*C10)</f>
        <v>0</v>
      </c>
      <c r="Q10" s="25"/>
      <c r="R10" s="25"/>
    </row>
    <row r="11" spans="1:18">
      <c r="A11" s="25">
        <v>6</v>
      </c>
      <c r="B11" s="25" t="s">
        <v>92</v>
      </c>
      <c r="C11" s="101">
        <f>3849+425917</f>
        <v>429766</v>
      </c>
      <c r="D11" s="3" t="s">
        <v>93</v>
      </c>
      <c r="E11" s="25"/>
      <c r="F11" s="101">
        <v>-17955</v>
      </c>
      <c r="G11" s="21">
        <f>P12</f>
        <v>-1710</v>
      </c>
      <c r="H11" s="21">
        <f t="shared" si="0"/>
        <v>-19665</v>
      </c>
      <c r="I11" s="25"/>
      <c r="J11" s="6">
        <f t="shared" si="1"/>
        <v>410101</v>
      </c>
      <c r="K11" s="25"/>
      <c r="L11" s="25"/>
      <c r="M11" s="25"/>
      <c r="N11" s="25"/>
      <c r="O11" s="24">
        <v>0</v>
      </c>
      <c r="P11" s="6">
        <f>IF(D$5=1,-0.5*O11*C11,-O11*C11)</f>
        <v>0</v>
      </c>
      <c r="Q11" s="25"/>
      <c r="R11" s="25"/>
    </row>
    <row r="12" spans="1:18">
      <c r="A12" s="25"/>
      <c r="B12" s="25"/>
      <c r="C12" s="18">
        <f>SUM(C6:C11)</f>
        <v>1730104</v>
      </c>
      <c r="D12" s="18"/>
      <c r="E12" s="25"/>
      <c r="F12" s="100">
        <f>SUM(F5:F11)</f>
        <v>-417585</v>
      </c>
      <c r="G12" s="18">
        <f>SUM(G5:G11)</f>
        <v>-39770</v>
      </c>
      <c r="H12" s="18">
        <f>SUM(H5:H11)</f>
        <v>-457355</v>
      </c>
      <c r="I12" s="25"/>
      <c r="J12" s="5">
        <f>SUM(J6:J11)</f>
        <v>1272749</v>
      </c>
      <c r="K12" s="25"/>
      <c r="L12" s="25"/>
      <c r="M12" s="25"/>
      <c r="N12" s="25"/>
      <c r="O12" s="5"/>
      <c r="P12" s="17">
        <f>SUM(P5:P11)</f>
        <v>-1710</v>
      </c>
      <c r="Q12" s="25"/>
      <c r="R12" s="25"/>
    </row>
    <row r="13" spans="1:18" ht="14.25" customHeight="1">
      <c r="A13" s="25"/>
      <c r="B13" s="25"/>
      <c r="C13" s="18"/>
      <c r="D13" s="18"/>
      <c r="E13" s="18"/>
      <c r="F13" s="18"/>
      <c r="G13" s="25"/>
      <c r="H13" s="25"/>
      <c r="I13" s="25"/>
      <c r="J13" s="25"/>
      <c r="K13" s="25"/>
      <c r="L13" s="25"/>
      <c r="M13" s="16"/>
      <c r="N13" s="20"/>
      <c r="O13" s="25"/>
      <c r="P13" s="25"/>
      <c r="Q13" s="25"/>
      <c r="R13" s="25"/>
    </row>
    <row r="14" spans="1:18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6"/>
      <c r="N14" s="20"/>
      <c r="O14" s="25"/>
      <c r="P14" s="25"/>
      <c r="Q14" s="25"/>
      <c r="R14" s="25"/>
    </row>
    <row r="15" spans="1:18" s="27" customFormat="1">
      <c r="A15" s="84"/>
      <c r="B15" s="84"/>
      <c r="C15" s="84"/>
      <c r="D15" s="95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spans="1:18" s="27" customFormat="1">
      <c r="A16" s="84"/>
      <c r="B16" s="84"/>
      <c r="C16" s="93"/>
      <c r="D16" s="95" t="s">
        <v>94</v>
      </c>
      <c r="E16" s="93"/>
      <c r="F16" s="93"/>
      <c r="G16" s="48">
        <v>1</v>
      </c>
      <c r="H16" s="93"/>
      <c r="I16" s="84"/>
      <c r="J16" s="49"/>
      <c r="K16" s="95" t="s">
        <v>95</v>
      </c>
      <c r="L16" s="124" t="s">
        <v>96</v>
      </c>
      <c r="M16" s="124"/>
      <c r="N16" s="124"/>
      <c r="O16" s="124"/>
      <c r="P16" s="124"/>
      <c r="Q16" s="84"/>
      <c r="R16" s="50" t="s">
        <v>97</v>
      </c>
    </row>
    <row r="17" spans="1:18" s="27" customFormat="1">
      <c r="A17" s="84"/>
      <c r="B17" s="84"/>
      <c r="C17" s="95" t="s">
        <v>76</v>
      </c>
      <c r="D17" s="95" t="s">
        <v>83</v>
      </c>
      <c r="E17" s="95" t="s">
        <v>97</v>
      </c>
      <c r="F17" s="95" t="s">
        <v>97</v>
      </c>
      <c r="G17" s="95" t="s">
        <v>98</v>
      </c>
      <c r="H17" s="95" t="s">
        <v>99</v>
      </c>
      <c r="I17" s="84"/>
      <c r="J17" s="95"/>
      <c r="K17" s="95" t="s">
        <v>100</v>
      </c>
      <c r="L17" s="95"/>
      <c r="M17" s="95" t="s">
        <v>97</v>
      </c>
      <c r="N17" s="95" t="s">
        <v>98</v>
      </c>
      <c r="O17" s="95" t="s">
        <v>95</v>
      </c>
      <c r="P17" s="95"/>
      <c r="Q17" s="84"/>
      <c r="R17" s="95" t="s">
        <v>79</v>
      </c>
    </row>
    <row r="18" spans="1:18" s="27" customFormat="1">
      <c r="A18" s="84"/>
      <c r="B18" s="84"/>
      <c r="C18" s="122" t="s">
        <v>81</v>
      </c>
      <c r="D18" s="122" t="s">
        <v>101</v>
      </c>
      <c r="E18" s="122" t="s">
        <v>83</v>
      </c>
      <c r="F18" s="122" t="s">
        <v>102</v>
      </c>
      <c r="G18" s="122" t="s">
        <v>78</v>
      </c>
      <c r="H18" s="122" t="s">
        <v>103</v>
      </c>
      <c r="I18" s="84"/>
      <c r="J18" s="122" t="s">
        <v>104</v>
      </c>
      <c r="K18" s="122">
        <f>D5</f>
        <v>12</v>
      </c>
      <c r="L18" s="122" t="s">
        <v>82</v>
      </c>
      <c r="M18" s="122" t="s">
        <v>83</v>
      </c>
      <c r="N18" s="122" t="s">
        <v>86</v>
      </c>
      <c r="O18" s="122" t="s">
        <v>86</v>
      </c>
      <c r="P18" s="122" t="s">
        <v>84</v>
      </c>
      <c r="Q18" s="84"/>
      <c r="R18" s="122" t="s">
        <v>85</v>
      </c>
    </row>
    <row r="19" spans="1:18" s="27" customFormat="1">
      <c r="A19" s="84">
        <v>7</v>
      </c>
      <c r="B19" s="84" t="s">
        <v>87</v>
      </c>
      <c r="C19" s="87">
        <f t="shared" ref="C19:C24" si="2">C6</f>
        <v>828951</v>
      </c>
      <c r="D19" s="51">
        <v>0.71</v>
      </c>
      <c r="E19" s="87">
        <f>C19*-D19</f>
        <v>-588555.21</v>
      </c>
      <c r="F19" s="52">
        <f>C19+E19</f>
        <v>240395.79000000004</v>
      </c>
      <c r="G19" s="52">
        <f>F19*-$G$16</f>
        <v>-240395.79000000004</v>
      </c>
      <c r="H19" s="53">
        <f t="shared" ref="H19:H24" si="3">F19+G19</f>
        <v>0</v>
      </c>
      <c r="I19" s="84"/>
      <c r="J19" s="84">
        <v>15</v>
      </c>
      <c r="K19" s="54">
        <f>IFERROR(VLOOKUP(J19,'Tax Rates'!$A$1:$AA$12,$K$18+1,FALSE),0)</f>
        <v>5.9049999999999998E-2</v>
      </c>
      <c r="L19" s="102">
        <v>-828951</v>
      </c>
      <c r="M19" s="52">
        <v>0</v>
      </c>
      <c r="N19" s="52">
        <v>0</v>
      </c>
      <c r="O19" s="87">
        <f>ROUND(K19*-H19,0)</f>
        <v>0</v>
      </c>
      <c r="P19" s="55">
        <f t="shared" ref="P19:P24" si="4">SUM(L19:O19)</f>
        <v>-828951</v>
      </c>
      <c r="Q19" s="84"/>
      <c r="R19" s="52">
        <f>C19+P19</f>
        <v>0</v>
      </c>
    </row>
    <row r="20" spans="1:18" s="27" customFormat="1">
      <c r="A20" s="84">
        <v>8</v>
      </c>
      <c r="B20" s="84" t="s">
        <v>88</v>
      </c>
      <c r="C20" s="33">
        <f t="shared" si="2"/>
        <v>88312</v>
      </c>
      <c r="D20" s="56">
        <f>-E20/C20</f>
        <v>0.93963447776066678</v>
      </c>
      <c r="E20" s="34">
        <f>-21362-61619</f>
        <v>-82981</v>
      </c>
      <c r="F20" s="52">
        <f>C20+E20</f>
        <v>5331</v>
      </c>
      <c r="G20" s="52">
        <f>F20*-$G$16</f>
        <v>-5331</v>
      </c>
      <c r="H20" s="53">
        <f t="shared" si="3"/>
        <v>0</v>
      </c>
      <c r="I20" s="84"/>
      <c r="J20" s="84">
        <v>15</v>
      </c>
      <c r="K20" s="54">
        <f>IFERROR(VLOOKUP(J20,'Tax Rates'!$A$1:$AA$12,$K$18+1,FALSE),0)</f>
        <v>5.9049999999999998E-2</v>
      </c>
      <c r="L20" s="102">
        <v>-88312</v>
      </c>
      <c r="M20" s="52">
        <v>0</v>
      </c>
      <c r="N20" s="52">
        <v>0</v>
      </c>
      <c r="O20" s="87">
        <f>ROUND(K20*-H20,0)</f>
        <v>0</v>
      </c>
      <c r="P20" s="55">
        <f t="shared" si="4"/>
        <v>-88312</v>
      </c>
      <c r="Q20" s="84"/>
      <c r="R20" s="52">
        <f>C20+P20</f>
        <v>0</v>
      </c>
    </row>
    <row r="21" spans="1:18" s="27" customFormat="1">
      <c r="A21" s="84">
        <v>9</v>
      </c>
      <c r="B21" s="84" t="s">
        <v>89</v>
      </c>
      <c r="C21" s="33">
        <f t="shared" si="2"/>
        <v>383075</v>
      </c>
      <c r="D21" s="51">
        <v>1</v>
      </c>
      <c r="E21" s="87">
        <f>C21*-D21</f>
        <v>-383075</v>
      </c>
      <c r="F21" s="52">
        <f>C21+E21</f>
        <v>0</v>
      </c>
      <c r="G21" s="52">
        <f>F21*-$G$16</f>
        <v>0</v>
      </c>
      <c r="H21" s="53">
        <f t="shared" si="3"/>
        <v>0</v>
      </c>
      <c r="I21" s="84"/>
      <c r="J21" s="84">
        <v>20</v>
      </c>
      <c r="K21" s="54">
        <f>IFERROR(VLOOKUP(J21,'Tax Rates'!$A$1:$AA$12,$K$18+1,FALSE),0)</f>
        <v>4.4610000000000004E-2</v>
      </c>
      <c r="L21" s="102">
        <v>-383075</v>
      </c>
      <c r="M21" s="52">
        <v>0</v>
      </c>
      <c r="N21" s="52">
        <v>0</v>
      </c>
      <c r="O21" s="87">
        <f>ROUND(K21*-H21,0)</f>
        <v>0</v>
      </c>
      <c r="P21" s="55">
        <f t="shared" si="4"/>
        <v>-383075</v>
      </c>
      <c r="Q21" s="84"/>
      <c r="R21" s="52">
        <f>C21+P21</f>
        <v>0</v>
      </c>
    </row>
    <row r="22" spans="1:18" s="27" customFormat="1">
      <c r="A22" s="84">
        <v>10</v>
      </c>
      <c r="B22" s="84" t="s">
        <v>90</v>
      </c>
      <c r="C22" s="33">
        <f t="shared" si="2"/>
        <v>0</v>
      </c>
      <c r="D22" s="51">
        <v>0</v>
      </c>
      <c r="E22" s="87">
        <f>C22*-D22</f>
        <v>0</v>
      </c>
      <c r="F22" s="52">
        <f>C22+E22</f>
        <v>0</v>
      </c>
      <c r="G22" s="52">
        <f>F22*-$G$16</f>
        <v>0</v>
      </c>
      <c r="H22" s="53">
        <f t="shared" si="3"/>
        <v>0</v>
      </c>
      <c r="I22" s="84"/>
      <c r="J22" s="84">
        <v>7</v>
      </c>
      <c r="K22" s="54">
        <f>IFERROR(VLOOKUP(J22,'Tax Rates'!$A$1:$AA$12,$K$18+1,FALSE),0)</f>
        <v>0</v>
      </c>
      <c r="L22" s="102">
        <v>0</v>
      </c>
      <c r="M22" s="52">
        <f>E22</f>
        <v>0</v>
      </c>
      <c r="N22" s="52">
        <v>0</v>
      </c>
      <c r="O22" s="87">
        <f>ROUND(K22*-H22,0)</f>
        <v>0</v>
      </c>
      <c r="P22" s="55">
        <f t="shared" si="4"/>
        <v>0</v>
      </c>
      <c r="Q22" s="84"/>
      <c r="R22" s="52">
        <f>C22+P22</f>
        <v>0</v>
      </c>
    </row>
    <row r="23" spans="1:18" s="27" customFormat="1">
      <c r="A23" s="84">
        <v>11</v>
      </c>
      <c r="B23" s="84" t="s">
        <v>91</v>
      </c>
      <c r="C23" s="33">
        <f t="shared" si="2"/>
        <v>0</v>
      </c>
      <c r="D23" s="51">
        <v>0</v>
      </c>
      <c r="E23" s="87">
        <f>C23*-D23</f>
        <v>0</v>
      </c>
      <c r="F23" s="52">
        <f>C23+E23</f>
        <v>0</v>
      </c>
      <c r="G23" s="52">
        <f>F23*-$G$16</f>
        <v>0</v>
      </c>
      <c r="H23" s="53">
        <f t="shared" si="3"/>
        <v>0</v>
      </c>
      <c r="I23" s="84"/>
      <c r="J23" s="84">
        <v>15</v>
      </c>
      <c r="K23" s="54">
        <f>IFERROR(VLOOKUP(J23,'Tax Rates'!$A$1:$AA$12,$K$18+1,FALSE),0)</f>
        <v>5.9049999999999998E-2</v>
      </c>
      <c r="L23" s="102">
        <v>0</v>
      </c>
      <c r="M23" s="52">
        <f>E23</f>
        <v>0</v>
      </c>
      <c r="N23" s="52">
        <v>0</v>
      </c>
      <c r="O23" s="87">
        <f>ROUND(K23*-H23,0)</f>
        <v>0</v>
      </c>
      <c r="P23" s="55">
        <f t="shared" si="4"/>
        <v>0</v>
      </c>
      <c r="Q23" s="84"/>
      <c r="R23" s="52">
        <f>C23+P23</f>
        <v>0</v>
      </c>
    </row>
    <row r="24" spans="1:18" s="27" customFormat="1">
      <c r="A24" s="84">
        <v>12</v>
      </c>
      <c r="B24" s="84" t="s">
        <v>92</v>
      </c>
      <c r="C24" s="88">
        <f t="shared" si="2"/>
        <v>429766</v>
      </c>
      <c r="D24" s="58" t="s">
        <v>105</v>
      </c>
      <c r="E24" s="88">
        <v>0</v>
      </c>
      <c r="F24" s="59">
        <v>0</v>
      </c>
      <c r="G24" s="59">
        <v>0</v>
      </c>
      <c r="H24" s="60">
        <f t="shared" si="3"/>
        <v>0</v>
      </c>
      <c r="I24" s="84"/>
      <c r="J24" s="61" t="s">
        <v>105</v>
      </c>
      <c r="K24" s="62" t="s">
        <v>105</v>
      </c>
      <c r="L24" s="103">
        <v>0</v>
      </c>
      <c r="M24" s="59">
        <f>E24</f>
        <v>0</v>
      </c>
      <c r="N24" s="63">
        <f>G24</f>
        <v>0</v>
      </c>
      <c r="O24" s="88">
        <v>0</v>
      </c>
      <c r="P24" s="64">
        <f t="shared" si="4"/>
        <v>0</v>
      </c>
      <c r="Q24" s="84"/>
      <c r="R24" s="65" t="s">
        <v>105</v>
      </c>
    </row>
    <row r="25" spans="1:18" s="27" customFormat="1">
      <c r="A25" s="84"/>
      <c r="B25" s="84"/>
      <c r="C25" s="87">
        <f>SUM(C18:C24)</f>
        <v>1730104</v>
      </c>
      <c r="D25" s="84"/>
      <c r="E25" s="87">
        <f>SUM(E19:E24)</f>
        <v>-1054611.21</v>
      </c>
      <c r="F25" s="87">
        <f>SUM(F19:F24)</f>
        <v>245726.79000000004</v>
      </c>
      <c r="G25" s="87">
        <f>SUM(G19:G24)</f>
        <v>-245726.79000000004</v>
      </c>
      <c r="H25" s="55">
        <f>SUM(H19:H24)</f>
        <v>0</v>
      </c>
      <c r="I25" s="84"/>
      <c r="J25" s="84"/>
      <c r="K25" s="84"/>
      <c r="L25" s="55">
        <f>SUM(L19:L24)</f>
        <v>-1300338</v>
      </c>
      <c r="M25" s="87">
        <f>SUM(M19:M24)</f>
        <v>0</v>
      </c>
      <c r="N25" s="87">
        <f>SUM(N19:N24)</f>
        <v>0</v>
      </c>
      <c r="O25" s="87">
        <f>SUM(O19:O24)</f>
        <v>0</v>
      </c>
      <c r="P25" s="55">
        <f>SUM(P19:P24)</f>
        <v>-1300338</v>
      </c>
      <c r="Q25" s="84"/>
      <c r="R25" s="52">
        <f>SUM(R19:R24)</f>
        <v>0</v>
      </c>
    </row>
    <row r="26" spans="1:18" s="27" customFormat="1">
      <c r="A26" s="84"/>
      <c r="B26" s="84"/>
      <c r="C26" s="87"/>
      <c r="D26" s="84"/>
      <c r="E26" s="87"/>
      <c r="F26" s="87"/>
      <c r="G26" s="87"/>
      <c r="H26" s="55"/>
      <c r="I26" s="84"/>
      <c r="J26" s="55"/>
      <c r="K26" s="87"/>
      <c r="L26" s="87"/>
      <c r="M26" s="87"/>
      <c r="N26" s="55"/>
      <c r="O26" s="84"/>
      <c r="P26" s="84"/>
      <c r="Q26" s="84"/>
      <c r="R26" s="84"/>
    </row>
    <row r="27" spans="1:18" s="27" customForma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s="27" customFormat="1">
      <c r="A28" s="84"/>
      <c r="B28" s="84"/>
      <c r="C28" s="84"/>
      <c r="D28" s="84"/>
      <c r="E28" s="87"/>
      <c r="F28" s="50" t="s">
        <v>106</v>
      </c>
      <c r="G28" s="84"/>
      <c r="H28" s="67"/>
      <c r="I28" s="84"/>
      <c r="J28" s="84"/>
      <c r="K28" s="84"/>
      <c r="L28" s="84"/>
      <c r="M28" s="84"/>
      <c r="N28" s="84"/>
      <c r="O28" s="84"/>
      <c r="P28" s="84"/>
      <c r="Q28" s="84"/>
      <c r="R28" s="84"/>
    </row>
    <row r="29" spans="1:18" s="27" customFormat="1">
      <c r="A29" s="84"/>
      <c r="B29" s="84"/>
      <c r="C29" s="84"/>
      <c r="D29" s="124" t="s">
        <v>107</v>
      </c>
      <c r="E29" s="124"/>
      <c r="F29" s="50" t="s">
        <v>108</v>
      </c>
      <c r="G29" s="50" t="s">
        <v>109</v>
      </c>
      <c r="H29" s="95" t="s">
        <v>110</v>
      </c>
      <c r="I29" s="84"/>
      <c r="J29" s="84"/>
      <c r="K29" s="84"/>
      <c r="L29" s="84"/>
      <c r="M29" s="84"/>
      <c r="N29" s="84"/>
      <c r="O29" s="84"/>
      <c r="P29" s="84"/>
      <c r="Q29" s="84"/>
      <c r="R29" s="84"/>
    </row>
    <row r="30" spans="1:18" s="27" customFormat="1">
      <c r="A30" s="84"/>
      <c r="B30" s="84"/>
      <c r="C30" s="84"/>
      <c r="D30" s="122" t="s">
        <v>76</v>
      </c>
      <c r="E30" s="122" t="s">
        <v>97</v>
      </c>
      <c r="F30" s="122" t="s">
        <v>5</v>
      </c>
      <c r="G30" s="122" t="s">
        <v>65</v>
      </c>
      <c r="H30" s="122" t="s">
        <v>111</v>
      </c>
      <c r="I30" s="84"/>
      <c r="J30" s="84"/>
      <c r="K30" s="84"/>
      <c r="L30" s="84"/>
      <c r="M30" s="84"/>
      <c r="N30" s="84"/>
      <c r="O30" s="84"/>
      <c r="P30" s="84"/>
      <c r="Q30" s="84"/>
      <c r="R30" s="84"/>
    </row>
    <row r="31" spans="1:18" s="27" customFormat="1">
      <c r="A31" s="84">
        <v>13</v>
      </c>
      <c r="B31" s="84" t="s">
        <v>87</v>
      </c>
      <c r="C31" s="84"/>
      <c r="D31" s="52">
        <f t="shared" ref="D31:D36" si="5">J6</f>
        <v>533435</v>
      </c>
      <c r="E31" s="52">
        <f t="shared" ref="E31:E36" si="6">R19</f>
        <v>0</v>
      </c>
      <c r="F31" s="52">
        <f>E31-D31</f>
        <v>-533435</v>
      </c>
      <c r="G31" s="68">
        <v>0.37959999999999999</v>
      </c>
      <c r="H31" s="52">
        <f t="shared" ref="H31:H36" si="7">F31*0.3796</f>
        <v>-202491.92600000001</v>
      </c>
      <c r="I31" s="84"/>
      <c r="J31" s="84"/>
      <c r="K31" s="84"/>
      <c r="L31" s="84"/>
      <c r="M31" s="84"/>
      <c r="N31" s="84"/>
      <c r="O31" s="84"/>
      <c r="P31" s="84"/>
      <c r="Q31" s="84"/>
      <c r="R31" s="84"/>
    </row>
    <row r="32" spans="1:18" s="27" customFormat="1">
      <c r="A32" s="84">
        <v>14</v>
      </c>
      <c r="B32" s="84" t="s">
        <v>88</v>
      </c>
      <c r="C32" s="84"/>
      <c r="D32" s="57">
        <f t="shared" si="5"/>
        <v>64645</v>
      </c>
      <c r="E32" s="52">
        <f t="shared" si="6"/>
        <v>0</v>
      </c>
      <c r="F32" s="52">
        <f>E32-D32</f>
        <v>-64645</v>
      </c>
      <c r="G32" s="67">
        <f>G31</f>
        <v>0.37959999999999999</v>
      </c>
      <c r="H32" s="52">
        <f t="shared" si="7"/>
        <v>-24539.241999999998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</row>
    <row r="33" spans="1:8" s="27" customFormat="1">
      <c r="A33" s="84">
        <v>15</v>
      </c>
      <c r="B33" s="84" t="s">
        <v>89</v>
      </c>
      <c r="C33" s="84"/>
      <c r="D33" s="57">
        <f t="shared" si="5"/>
        <v>264568</v>
      </c>
      <c r="E33" s="52">
        <f t="shared" si="6"/>
        <v>0</v>
      </c>
      <c r="F33" s="52">
        <f>E33-D33</f>
        <v>-264568</v>
      </c>
      <c r="G33" s="67">
        <f>G31</f>
        <v>0.37959999999999999</v>
      </c>
      <c r="H33" s="52">
        <f t="shared" si="7"/>
        <v>-100430.0128</v>
      </c>
    </row>
    <row r="34" spans="1:8" s="27" customFormat="1">
      <c r="A34" s="84">
        <v>16</v>
      </c>
      <c r="B34" s="84" t="s">
        <v>90</v>
      </c>
      <c r="C34" s="84"/>
      <c r="D34" s="57">
        <f t="shared" si="5"/>
        <v>0</v>
      </c>
      <c r="E34" s="52">
        <f t="shared" si="6"/>
        <v>0</v>
      </c>
      <c r="F34" s="52">
        <f>E34-D34</f>
        <v>0</v>
      </c>
      <c r="G34" s="67">
        <f>G31</f>
        <v>0.37959999999999999</v>
      </c>
      <c r="H34" s="52">
        <f t="shared" si="7"/>
        <v>0</v>
      </c>
    </row>
    <row r="35" spans="1:8" s="27" customFormat="1">
      <c r="A35" s="84">
        <v>17</v>
      </c>
      <c r="B35" s="84" t="s">
        <v>91</v>
      </c>
      <c r="C35" s="84"/>
      <c r="D35" s="57">
        <f t="shared" si="5"/>
        <v>0</v>
      </c>
      <c r="E35" s="52">
        <f t="shared" si="6"/>
        <v>0</v>
      </c>
      <c r="F35" s="52">
        <f>E35-D35</f>
        <v>0</v>
      </c>
      <c r="G35" s="67">
        <f>G31</f>
        <v>0.37959999999999999</v>
      </c>
      <c r="H35" s="52">
        <f t="shared" si="7"/>
        <v>0</v>
      </c>
    </row>
    <row r="36" spans="1:8" s="27" customFormat="1">
      <c r="A36" s="84">
        <v>18</v>
      </c>
      <c r="B36" s="84" t="s">
        <v>92</v>
      </c>
      <c r="C36" s="84"/>
      <c r="D36" s="59">
        <f t="shared" si="5"/>
        <v>410101</v>
      </c>
      <c r="E36" s="65" t="str">
        <f t="shared" si="6"/>
        <v>NA</v>
      </c>
      <c r="F36" s="59">
        <f>-D36</f>
        <v>-410101</v>
      </c>
      <c r="G36" s="69">
        <f>G31</f>
        <v>0.37959999999999999</v>
      </c>
      <c r="H36" s="59">
        <f t="shared" si="7"/>
        <v>-155674.33960000001</v>
      </c>
    </row>
    <row r="37" spans="1:8" s="27" customFormat="1">
      <c r="A37" s="84"/>
      <c r="B37" s="84"/>
      <c r="C37" s="84"/>
      <c r="D37" s="52">
        <f>SUM(D31:D36)</f>
        <v>1272749</v>
      </c>
      <c r="E37" s="52">
        <f>SUM(E31:E36)</f>
        <v>0</v>
      </c>
      <c r="F37" s="52">
        <f>SUM(F31:F36)</f>
        <v>-1272749</v>
      </c>
      <c r="G37" s="84"/>
      <c r="H37" s="52">
        <f>SUM(H31:H36)</f>
        <v>-483135.52039999998</v>
      </c>
    </row>
    <row r="39" spans="1:8">
      <c r="A39" s="15" t="s">
        <v>73</v>
      </c>
      <c r="B39" s="25" t="s">
        <v>112</v>
      </c>
      <c r="C39" s="25"/>
      <c r="D39" s="25"/>
      <c r="E39" s="25"/>
      <c r="F39" s="25"/>
      <c r="G39" s="25"/>
      <c r="H39" s="25"/>
    </row>
    <row r="40" spans="1:8">
      <c r="A40" s="15"/>
      <c r="B40" s="25"/>
      <c r="C40" s="25"/>
      <c r="D40" s="25"/>
      <c r="E40" s="25"/>
      <c r="F40" s="25"/>
      <c r="G40" s="25"/>
      <c r="H40" s="25"/>
    </row>
  </sheetData>
  <mergeCells count="3">
    <mergeCell ref="F2:H2"/>
    <mergeCell ref="L16:P16"/>
    <mergeCell ref="D29:E29"/>
  </mergeCells>
  <pageMargins left="0.25" right="0.25" top="0.75" bottom="0.75" header="0.3" footer="0.3"/>
  <pageSetup scale="66" orientation="landscape" r:id="rId1"/>
  <headerFooter>
    <oddHeader>&amp;RResponse to PSC 3-3
Page &amp;P of &amp;N
Witnesses: John Brown and
William Steven Seelye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40"/>
  <sheetViews>
    <sheetView view="pageBreakPreview" topLeftCell="A13" zoomScaleNormal="100" zoomScaleSheetLayoutView="100" workbookViewId="0">
      <selection activeCell="E44" sqref="E44"/>
    </sheetView>
  </sheetViews>
  <sheetFormatPr defaultColWidth="9.140625" defaultRowHeight="15"/>
  <cols>
    <col min="1" max="1" width="14.42578125" style="4" customWidth="1"/>
    <col min="2" max="2" width="18.5703125" style="4" bestFit="1" customWidth="1"/>
    <col min="3" max="4" width="12.7109375" style="4" customWidth="1"/>
    <col min="5" max="5" width="11.28515625" style="4" bestFit="1" customWidth="1"/>
    <col min="6" max="6" width="12.7109375" style="4" customWidth="1"/>
    <col min="7" max="7" width="12.42578125" style="4" bestFit="1" customWidth="1"/>
    <col min="8" max="8" width="13.140625" style="4" bestFit="1" customWidth="1"/>
    <col min="9" max="9" width="2.7109375" style="4" customWidth="1"/>
    <col min="10" max="10" width="10.7109375" style="4" customWidth="1"/>
    <col min="11" max="11" width="8.140625" style="4" bestFit="1" customWidth="1"/>
    <col min="12" max="12" width="12.7109375" style="4" customWidth="1"/>
    <col min="13" max="14" width="11.28515625" style="4" bestFit="1" customWidth="1"/>
    <col min="15" max="15" width="8.42578125" style="4" bestFit="1" customWidth="1"/>
    <col min="16" max="16" width="11.28515625" style="4" bestFit="1" customWidth="1"/>
    <col min="17" max="17" width="2.7109375" style="4" customWidth="1"/>
    <col min="18" max="18" width="13.7109375" style="4" bestFit="1" customWidth="1"/>
    <col min="19" max="19" width="7.7109375" style="4" bestFit="1" customWidth="1"/>
    <col min="20" max="20" width="7.42578125" style="4" bestFit="1" customWidth="1"/>
    <col min="21" max="16384" width="9.140625" style="4"/>
  </cols>
  <sheetData>
    <row r="1" spans="1:18">
      <c r="A1" s="22" t="s">
        <v>70</v>
      </c>
      <c r="B1" s="7">
        <v>2012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>
      <c r="A2" s="22" t="s">
        <v>72</v>
      </c>
      <c r="B2" s="25"/>
      <c r="C2" s="25"/>
      <c r="D2" s="14" t="s">
        <v>73</v>
      </c>
      <c r="E2" s="25"/>
      <c r="F2" s="125" t="s">
        <v>75</v>
      </c>
      <c r="G2" s="125"/>
      <c r="H2" s="1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>
      <c r="A3" s="25"/>
      <c r="B3" s="25"/>
      <c r="C3" s="25"/>
      <c r="D3" s="16" t="s">
        <v>74</v>
      </c>
      <c r="E3" s="25"/>
      <c r="F3" s="20"/>
      <c r="G3" s="14" t="s">
        <v>73</v>
      </c>
      <c r="H3" s="20"/>
      <c r="I3" s="25"/>
      <c r="J3" s="23" t="s">
        <v>76</v>
      </c>
      <c r="K3" s="25"/>
      <c r="L3" s="25"/>
      <c r="M3" s="25"/>
      <c r="N3" s="25"/>
      <c r="O3" s="25"/>
      <c r="P3" s="25"/>
      <c r="Q3" s="25"/>
      <c r="R3" s="25"/>
    </row>
    <row r="4" spans="1:18">
      <c r="A4" s="25"/>
      <c r="B4" s="25"/>
      <c r="C4" s="16">
        <v>2012</v>
      </c>
      <c r="D4" s="16" t="s">
        <v>77</v>
      </c>
      <c r="E4" s="25"/>
      <c r="F4" s="16"/>
      <c r="G4" s="16" t="s">
        <v>78</v>
      </c>
      <c r="H4" s="16"/>
      <c r="I4" s="25"/>
      <c r="J4" s="16" t="s">
        <v>79</v>
      </c>
      <c r="K4" s="25"/>
      <c r="L4" s="25"/>
      <c r="M4" s="25"/>
      <c r="N4" s="25"/>
      <c r="O4" s="16" t="s">
        <v>80</v>
      </c>
      <c r="P4" s="16" t="s">
        <v>80</v>
      </c>
      <c r="Q4" s="25"/>
      <c r="R4" s="25"/>
    </row>
    <row r="5" spans="1:18">
      <c r="A5" s="25"/>
      <c r="B5" s="25"/>
      <c r="C5" s="123" t="s">
        <v>81</v>
      </c>
      <c r="D5" s="10">
        <v>11</v>
      </c>
      <c r="E5" s="25"/>
      <c r="F5" s="123" t="s">
        <v>82</v>
      </c>
      <c r="G5" s="123" t="s">
        <v>83</v>
      </c>
      <c r="H5" s="123" t="s">
        <v>84</v>
      </c>
      <c r="I5" s="25"/>
      <c r="J5" s="123" t="s">
        <v>85</v>
      </c>
      <c r="K5" s="25"/>
      <c r="L5" s="25"/>
      <c r="M5" s="25"/>
      <c r="N5" s="25"/>
      <c r="O5" s="123" t="s">
        <v>65</v>
      </c>
      <c r="P5" s="123" t="s">
        <v>86</v>
      </c>
      <c r="Q5" s="25"/>
      <c r="R5" s="25"/>
    </row>
    <row r="6" spans="1:18">
      <c r="A6" s="25">
        <v>1</v>
      </c>
      <c r="B6" s="25" t="s">
        <v>87</v>
      </c>
      <c r="C6" s="100">
        <f>1546783+617748</f>
        <v>2164531</v>
      </c>
      <c r="D6" s="2">
        <v>3.1E-2</v>
      </c>
      <c r="E6" s="25"/>
      <c r="F6" s="100">
        <v>-637450</v>
      </c>
      <c r="G6" s="18">
        <f>ROUND(IF(D$5=1,-0.5*D6*C6,-D6*C6),0)</f>
        <v>-67100</v>
      </c>
      <c r="H6" s="18">
        <f t="shared" ref="H6:H11" si="0">SUM(F6:G6)</f>
        <v>-704550</v>
      </c>
      <c r="I6" s="25"/>
      <c r="J6" s="5">
        <f t="shared" ref="J6:J11" si="1">C6+H6</f>
        <v>1459981</v>
      </c>
      <c r="K6" s="25"/>
      <c r="L6" s="25"/>
      <c r="M6" s="25"/>
      <c r="N6" s="25"/>
      <c r="O6" s="11">
        <v>1E-4</v>
      </c>
      <c r="P6" s="17">
        <f>ROUND(IF(D$5=1,-0.5*O6*C6,-O6*C6),0)</f>
        <v>-216</v>
      </c>
      <c r="Q6" s="25"/>
      <c r="R6" s="25"/>
    </row>
    <row r="7" spans="1:18">
      <c r="A7" s="25">
        <v>2</v>
      </c>
      <c r="B7" s="25" t="s">
        <v>88</v>
      </c>
      <c r="C7" s="100">
        <v>31604</v>
      </c>
      <c r="D7" s="2">
        <v>2.3300000000000001E-2</v>
      </c>
      <c r="E7" s="25"/>
      <c r="F7" s="100">
        <v>-6992</v>
      </c>
      <c r="G7" s="18">
        <f>ROUND(IF(D$5=1,-0.5*D7*C7,-D7*C7),0)</f>
        <v>-736</v>
      </c>
      <c r="H7" s="18">
        <f t="shared" si="0"/>
        <v>-7728</v>
      </c>
      <c r="I7" s="25"/>
      <c r="J7" s="5">
        <f t="shared" si="1"/>
        <v>23876</v>
      </c>
      <c r="K7" s="25"/>
      <c r="L7" s="25"/>
      <c r="M7" s="25"/>
      <c r="N7" s="25"/>
      <c r="O7" s="11">
        <v>2.0000000000000001E-4</v>
      </c>
      <c r="P7" s="5">
        <f>ROUND(IF(D$5=1,-0.5*O7*C7,-O7*C7),0)</f>
        <v>-6</v>
      </c>
      <c r="Q7" s="25"/>
      <c r="R7" s="25"/>
    </row>
    <row r="8" spans="1:18">
      <c r="A8" s="25">
        <v>3</v>
      </c>
      <c r="B8" s="25" t="s">
        <v>89</v>
      </c>
      <c r="C8" s="100">
        <f>306201+425927</f>
        <v>732128</v>
      </c>
      <c r="D8" s="2">
        <v>2.69E-2</v>
      </c>
      <c r="E8" s="25"/>
      <c r="F8" s="100">
        <v>-187093</v>
      </c>
      <c r="G8" s="18">
        <f>ROUND(IF(D$5=1,-0.5*D8*C8,-D8*C8),0)</f>
        <v>-19694</v>
      </c>
      <c r="H8" s="18">
        <f t="shared" si="0"/>
        <v>-206787</v>
      </c>
      <c r="I8" s="25"/>
      <c r="J8" s="5">
        <f t="shared" si="1"/>
        <v>525341</v>
      </c>
      <c r="K8" s="25"/>
      <c r="L8" s="25"/>
      <c r="M8" s="25"/>
      <c r="N8" s="25"/>
      <c r="O8" s="11">
        <v>4.1999999999999997E-3</v>
      </c>
      <c r="P8" s="5">
        <f>ROUND(IF(D$5=1,-0.5*O8*C8,-O8*C8),0)</f>
        <v>-3075</v>
      </c>
      <c r="Q8" s="25"/>
      <c r="R8" s="25"/>
    </row>
    <row r="9" spans="1:18">
      <c r="A9" s="25">
        <v>4</v>
      </c>
      <c r="B9" s="25" t="s">
        <v>90</v>
      </c>
      <c r="C9" s="100">
        <v>0</v>
      </c>
      <c r="D9" s="2">
        <v>2.2499999999999999E-2</v>
      </c>
      <c r="E9" s="25"/>
      <c r="F9" s="100">
        <v>0</v>
      </c>
      <c r="G9" s="18">
        <f>ROUND(IF(D$5=1,-0.5*D9*C9,-D9*C9),0)</f>
        <v>0</v>
      </c>
      <c r="H9" s="18">
        <f t="shared" si="0"/>
        <v>0</v>
      </c>
      <c r="I9" s="25"/>
      <c r="J9" s="5">
        <f t="shared" si="1"/>
        <v>0</v>
      </c>
      <c r="K9" s="25"/>
      <c r="L9" s="25"/>
      <c r="M9" s="25"/>
      <c r="N9" s="25"/>
      <c r="O9" s="11">
        <v>0</v>
      </c>
      <c r="P9" s="5">
        <f>IF(D$5=1,-0.5*O9*C9,-O9*C9)</f>
        <v>0</v>
      </c>
      <c r="Q9" s="25"/>
      <c r="R9" s="25"/>
    </row>
    <row r="10" spans="1:18">
      <c r="A10" s="25">
        <v>5</v>
      </c>
      <c r="B10" s="25" t="s">
        <v>91</v>
      </c>
      <c r="C10" s="100">
        <v>0</v>
      </c>
      <c r="D10" s="2">
        <v>2.0500000000000001E-2</v>
      </c>
      <c r="E10" s="25"/>
      <c r="F10" s="100">
        <v>0</v>
      </c>
      <c r="G10" s="18">
        <f>ROUND(IF(D$5=1,-0.5*D10*C10,-D10*C10),0)</f>
        <v>0</v>
      </c>
      <c r="H10" s="18">
        <f t="shared" si="0"/>
        <v>0</v>
      </c>
      <c r="I10" s="25"/>
      <c r="J10" s="5">
        <f t="shared" si="1"/>
        <v>0</v>
      </c>
      <c r="K10" s="25"/>
      <c r="L10" s="25"/>
      <c r="M10" s="25"/>
      <c r="N10" s="25"/>
      <c r="O10" s="11">
        <v>0</v>
      </c>
      <c r="P10" s="5">
        <f>IF(D$5=1,-0.5*O10*C10,-O10*C10)</f>
        <v>0</v>
      </c>
      <c r="Q10" s="25"/>
      <c r="R10" s="25"/>
    </row>
    <row r="11" spans="1:18">
      <c r="A11" s="25">
        <v>6</v>
      </c>
      <c r="B11" s="25" t="s">
        <v>92</v>
      </c>
      <c r="C11" s="101">
        <v>868008</v>
      </c>
      <c r="D11" s="3" t="s">
        <v>93</v>
      </c>
      <c r="E11" s="25"/>
      <c r="F11" s="101">
        <v>-31321</v>
      </c>
      <c r="G11" s="21">
        <f>P12</f>
        <v>-3297</v>
      </c>
      <c r="H11" s="21">
        <f t="shared" si="0"/>
        <v>-34618</v>
      </c>
      <c r="I11" s="25"/>
      <c r="J11" s="6">
        <f t="shared" si="1"/>
        <v>833390</v>
      </c>
      <c r="K11" s="25"/>
      <c r="L11" s="25"/>
      <c r="M11" s="25"/>
      <c r="N11" s="25"/>
      <c r="O11" s="24">
        <v>0</v>
      </c>
      <c r="P11" s="6">
        <f>IF(D$5=1,-0.5*O11*C11,-O11*C11)</f>
        <v>0</v>
      </c>
      <c r="Q11" s="25"/>
      <c r="R11" s="25"/>
    </row>
    <row r="12" spans="1:18">
      <c r="A12" s="25"/>
      <c r="B12" s="25"/>
      <c r="C12" s="18">
        <f>SUM(C6:C11)</f>
        <v>3796271</v>
      </c>
      <c r="D12" s="18"/>
      <c r="E12" s="25"/>
      <c r="F12" s="100">
        <f>SUM(F5:F11)</f>
        <v>-862856</v>
      </c>
      <c r="G12" s="18">
        <f>SUM(G5:G11)</f>
        <v>-90827</v>
      </c>
      <c r="H12" s="18">
        <f>SUM(H5:H11)</f>
        <v>-953683</v>
      </c>
      <c r="I12" s="25"/>
      <c r="J12" s="5">
        <f>SUM(J6:J11)</f>
        <v>2842588</v>
      </c>
      <c r="K12" s="25"/>
      <c r="L12" s="25"/>
      <c r="M12" s="25"/>
      <c r="N12" s="25"/>
      <c r="O12" s="5"/>
      <c r="P12" s="17">
        <f>SUM(P5:P11)</f>
        <v>-3297</v>
      </c>
      <c r="Q12" s="25"/>
      <c r="R12" s="25"/>
    </row>
    <row r="13" spans="1:18" ht="14.25" customHeight="1">
      <c r="A13" s="25"/>
      <c r="B13" s="25"/>
      <c r="C13" s="18"/>
      <c r="D13" s="18"/>
      <c r="E13" s="18"/>
      <c r="F13" s="18"/>
      <c r="G13" s="25"/>
      <c r="H13" s="25"/>
      <c r="I13" s="25"/>
      <c r="J13" s="25"/>
      <c r="K13" s="25"/>
      <c r="L13" s="25"/>
      <c r="M13" s="16"/>
      <c r="N13" s="20"/>
      <c r="O13" s="25"/>
      <c r="P13" s="25"/>
      <c r="Q13" s="25"/>
      <c r="R13" s="25"/>
    </row>
    <row r="14" spans="1:18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6"/>
      <c r="N14" s="20"/>
      <c r="O14" s="25"/>
      <c r="P14" s="25"/>
      <c r="Q14" s="25"/>
      <c r="R14" s="25"/>
    </row>
    <row r="15" spans="1:18">
      <c r="A15" s="25"/>
      <c r="B15" s="25"/>
      <c r="C15" s="25"/>
      <c r="D15" s="16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s="27" customFormat="1">
      <c r="A16" s="84"/>
      <c r="B16" s="84"/>
      <c r="C16" s="93"/>
      <c r="D16" s="95" t="s">
        <v>94</v>
      </c>
      <c r="E16" s="93"/>
      <c r="F16" s="93"/>
      <c r="G16" s="48">
        <v>0.5</v>
      </c>
      <c r="H16" s="93"/>
      <c r="I16" s="84"/>
      <c r="J16" s="49"/>
      <c r="K16" s="95" t="s">
        <v>95</v>
      </c>
      <c r="L16" s="124" t="s">
        <v>96</v>
      </c>
      <c r="M16" s="124"/>
      <c r="N16" s="124"/>
      <c r="O16" s="124"/>
      <c r="P16" s="124"/>
      <c r="Q16" s="84"/>
      <c r="R16" s="50" t="s">
        <v>97</v>
      </c>
    </row>
    <row r="17" spans="1:18" s="27" customFormat="1">
      <c r="A17" s="84"/>
      <c r="B17" s="84"/>
      <c r="C17" s="95" t="s">
        <v>76</v>
      </c>
      <c r="D17" s="95" t="s">
        <v>83</v>
      </c>
      <c r="E17" s="95" t="s">
        <v>97</v>
      </c>
      <c r="F17" s="95" t="s">
        <v>97</v>
      </c>
      <c r="G17" s="95" t="s">
        <v>98</v>
      </c>
      <c r="H17" s="95" t="s">
        <v>99</v>
      </c>
      <c r="I17" s="84"/>
      <c r="J17" s="95"/>
      <c r="K17" s="95" t="s">
        <v>100</v>
      </c>
      <c r="L17" s="95"/>
      <c r="M17" s="95" t="s">
        <v>97</v>
      </c>
      <c r="N17" s="95" t="s">
        <v>98</v>
      </c>
      <c r="O17" s="95" t="s">
        <v>95</v>
      </c>
      <c r="P17" s="95"/>
      <c r="Q17" s="84"/>
      <c r="R17" s="95" t="s">
        <v>79</v>
      </c>
    </row>
    <row r="18" spans="1:18" s="27" customFormat="1">
      <c r="A18" s="84"/>
      <c r="B18" s="84"/>
      <c r="C18" s="122" t="s">
        <v>81</v>
      </c>
      <c r="D18" s="122" t="s">
        <v>101</v>
      </c>
      <c r="E18" s="122" t="s">
        <v>83</v>
      </c>
      <c r="F18" s="122" t="s">
        <v>102</v>
      </c>
      <c r="G18" s="122" t="s">
        <v>78</v>
      </c>
      <c r="H18" s="122" t="s">
        <v>103</v>
      </c>
      <c r="I18" s="84"/>
      <c r="J18" s="122" t="s">
        <v>104</v>
      </c>
      <c r="K18" s="122">
        <f>D5</f>
        <v>11</v>
      </c>
      <c r="L18" s="122" t="s">
        <v>82</v>
      </c>
      <c r="M18" s="122" t="s">
        <v>83</v>
      </c>
      <c r="N18" s="122" t="s">
        <v>86</v>
      </c>
      <c r="O18" s="122" t="s">
        <v>86</v>
      </c>
      <c r="P18" s="122" t="s">
        <v>84</v>
      </c>
      <c r="Q18" s="84"/>
      <c r="R18" s="122" t="s">
        <v>85</v>
      </c>
    </row>
    <row r="19" spans="1:18" s="27" customFormat="1">
      <c r="A19" s="84">
        <v>7</v>
      </c>
      <c r="B19" s="84" t="s">
        <v>87</v>
      </c>
      <c r="C19" s="87">
        <f t="shared" ref="C19:C24" si="2">C6</f>
        <v>2164531</v>
      </c>
      <c r="D19" s="51">
        <v>0.93</v>
      </c>
      <c r="E19" s="87">
        <f>ROUND(C19*-D19,0)</f>
        <v>-2013014</v>
      </c>
      <c r="F19" s="52">
        <f>C19+E19</f>
        <v>151517</v>
      </c>
      <c r="G19" s="52">
        <f t="shared" ref="G19:G24" si="3">ROUND(F19*-$G$16,0)</f>
        <v>-75759</v>
      </c>
      <c r="H19" s="53">
        <f t="shared" ref="H19:H24" si="4">F19+G19</f>
        <v>75758</v>
      </c>
      <c r="I19" s="84"/>
      <c r="J19" s="84">
        <v>15</v>
      </c>
      <c r="K19" s="54">
        <f>IFERROR(VLOOKUP(J19,'Tax Rates'!$A$1:$AA$12,$K$18+1,FALSE),0)</f>
        <v>5.9049999999999998E-2</v>
      </c>
      <c r="L19" s="102">
        <v>-2139929</v>
      </c>
      <c r="M19" s="52">
        <v>0</v>
      </c>
      <c r="N19" s="52">
        <v>0</v>
      </c>
      <c r="O19" s="87">
        <f>ROUND(K19*-H19,0)</f>
        <v>-4474</v>
      </c>
      <c r="P19" s="55">
        <f t="shared" ref="P19:P24" si="5">SUM(L19:O19)</f>
        <v>-2144403</v>
      </c>
      <c r="Q19" s="84"/>
      <c r="R19" s="52">
        <f>C19+P19</f>
        <v>20128</v>
      </c>
    </row>
    <row r="20" spans="1:18" s="27" customFormat="1">
      <c r="A20" s="84">
        <v>8</v>
      </c>
      <c r="B20" s="84" t="s">
        <v>88</v>
      </c>
      <c r="C20" s="33">
        <f t="shared" si="2"/>
        <v>31604</v>
      </c>
      <c r="D20" s="56">
        <v>1.3162890773319801E-2</v>
      </c>
      <c r="E20" s="87">
        <f>ROUND(C20*-D20,0)</f>
        <v>-416</v>
      </c>
      <c r="F20" s="52">
        <f>C20+E20</f>
        <v>31188</v>
      </c>
      <c r="G20" s="52">
        <f t="shared" si="3"/>
        <v>-15594</v>
      </c>
      <c r="H20" s="53">
        <f t="shared" si="4"/>
        <v>15594</v>
      </c>
      <c r="I20" s="84"/>
      <c r="J20" s="84">
        <v>15</v>
      </c>
      <c r="K20" s="54">
        <f>IFERROR(VLOOKUP(J20,'Tax Rates'!$A$1:$AA$12,$K$18+1,FALSE),0)</f>
        <v>5.9049999999999998E-2</v>
      </c>
      <c r="L20" s="102">
        <v>-26540</v>
      </c>
      <c r="M20" s="52">
        <v>0</v>
      </c>
      <c r="N20" s="52">
        <v>0</v>
      </c>
      <c r="O20" s="87">
        <f>ROUND(K20*-H20,0)</f>
        <v>-921</v>
      </c>
      <c r="P20" s="55">
        <f t="shared" si="5"/>
        <v>-27461</v>
      </c>
      <c r="Q20" s="84"/>
      <c r="R20" s="52">
        <f>C20+P20</f>
        <v>4143</v>
      </c>
    </row>
    <row r="21" spans="1:18" s="27" customFormat="1">
      <c r="A21" s="84">
        <v>9</v>
      </c>
      <c r="B21" s="84" t="s">
        <v>89</v>
      </c>
      <c r="C21" s="33">
        <f t="shared" si="2"/>
        <v>732128</v>
      </c>
      <c r="D21" s="51">
        <v>1</v>
      </c>
      <c r="E21" s="87">
        <f>ROUND(C21*-D21,0)</f>
        <v>-732128</v>
      </c>
      <c r="F21" s="52">
        <f>C21+E21</f>
        <v>0</v>
      </c>
      <c r="G21" s="57">
        <f t="shared" si="3"/>
        <v>0</v>
      </c>
      <c r="H21" s="53">
        <f t="shared" si="4"/>
        <v>0</v>
      </c>
      <c r="I21" s="84"/>
      <c r="J21" s="84">
        <v>20</v>
      </c>
      <c r="K21" s="54">
        <f>IFERROR(VLOOKUP(J21,'Tax Rates'!$A$1:$AA$12,$K$18+1,FALSE),0)</f>
        <v>4.462E-2</v>
      </c>
      <c r="L21" s="102">
        <v>-732128</v>
      </c>
      <c r="M21" s="52">
        <v>0</v>
      </c>
      <c r="N21" s="52">
        <f>G21</f>
        <v>0</v>
      </c>
      <c r="O21" s="87">
        <f>ROUND(K21*-H21,0)</f>
        <v>0</v>
      </c>
      <c r="P21" s="55">
        <f t="shared" si="5"/>
        <v>-732128</v>
      </c>
      <c r="Q21" s="84"/>
      <c r="R21" s="52">
        <f>C21+P21</f>
        <v>0</v>
      </c>
    </row>
    <row r="22" spans="1:18" s="27" customFormat="1">
      <c r="A22" s="84">
        <v>10</v>
      </c>
      <c r="B22" s="84" t="s">
        <v>90</v>
      </c>
      <c r="C22" s="33">
        <f t="shared" si="2"/>
        <v>0</v>
      </c>
      <c r="D22" s="51">
        <v>0</v>
      </c>
      <c r="E22" s="87">
        <f>ROUND(C22*-D22,0)</f>
        <v>0</v>
      </c>
      <c r="F22" s="52">
        <f>C22+E22</f>
        <v>0</v>
      </c>
      <c r="G22" s="57">
        <f t="shared" si="3"/>
        <v>0</v>
      </c>
      <c r="H22" s="53">
        <f t="shared" si="4"/>
        <v>0</v>
      </c>
      <c r="I22" s="84"/>
      <c r="J22" s="84">
        <v>7</v>
      </c>
      <c r="K22" s="54">
        <f>IFERROR(VLOOKUP(J22,'Tax Rates'!$A$1:$AA$12,$K$18+1,FALSE),0)</f>
        <v>0</v>
      </c>
      <c r="L22" s="102">
        <v>0</v>
      </c>
      <c r="M22" s="52">
        <f>E22</f>
        <v>0</v>
      </c>
      <c r="N22" s="52">
        <f>G22</f>
        <v>0</v>
      </c>
      <c r="O22" s="87">
        <f>ROUND(K22*-H22,0)</f>
        <v>0</v>
      </c>
      <c r="P22" s="55">
        <f t="shared" si="5"/>
        <v>0</v>
      </c>
      <c r="Q22" s="84"/>
      <c r="R22" s="52">
        <f>C22+P22</f>
        <v>0</v>
      </c>
    </row>
    <row r="23" spans="1:18" s="27" customFormat="1">
      <c r="A23" s="84">
        <v>11</v>
      </c>
      <c r="B23" s="84" t="s">
        <v>91</v>
      </c>
      <c r="C23" s="33">
        <f t="shared" si="2"/>
        <v>0</v>
      </c>
      <c r="D23" s="51">
        <v>0</v>
      </c>
      <c r="E23" s="87">
        <f>ROUND(C23*-D23,0)</f>
        <v>0</v>
      </c>
      <c r="F23" s="52">
        <f>C23+E23</f>
        <v>0</v>
      </c>
      <c r="G23" s="57">
        <f t="shared" si="3"/>
        <v>0</v>
      </c>
      <c r="H23" s="53">
        <f t="shared" si="4"/>
        <v>0</v>
      </c>
      <c r="I23" s="84"/>
      <c r="J23" s="84">
        <v>15</v>
      </c>
      <c r="K23" s="54">
        <f>IFERROR(VLOOKUP(J23,'Tax Rates'!$A$1:$AA$12,$K$18+1,FALSE),0)</f>
        <v>5.9049999999999998E-2</v>
      </c>
      <c r="L23" s="102">
        <v>0</v>
      </c>
      <c r="M23" s="52">
        <f>E23</f>
        <v>0</v>
      </c>
      <c r="N23" s="52">
        <f>G23</f>
        <v>0</v>
      </c>
      <c r="O23" s="87">
        <f>ROUND(K23*-H23,0)</f>
        <v>0</v>
      </c>
      <c r="P23" s="55">
        <f t="shared" si="5"/>
        <v>0</v>
      </c>
      <c r="Q23" s="84"/>
      <c r="R23" s="52">
        <f>C23+P23</f>
        <v>0</v>
      </c>
    </row>
    <row r="24" spans="1:18" s="27" customFormat="1">
      <c r="A24" s="84">
        <v>12</v>
      </c>
      <c r="B24" s="84" t="s">
        <v>92</v>
      </c>
      <c r="C24" s="88">
        <f t="shared" si="2"/>
        <v>868008</v>
      </c>
      <c r="D24" s="58" t="s">
        <v>105</v>
      </c>
      <c r="E24" s="88">
        <v>0</v>
      </c>
      <c r="F24" s="59">
        <v>0</v>
      </c>
      <c r="G24" s="59">
        <f t="shared" si="3"/>
        <v>0</v>
      </c>
      <c r="H24" s="60">
        <f t="shared" si="4"/>
        <v>0</v>
      </c>
      <c r="I24" s="84"/>
      <c r="J24" s="61" t="s">
        <v>105</v>
      </c>
      <c r="K24" s="62" t="s">
        <v>105</v>
      </c>
      <c r="L24" s="103">
        <v>0</v>
      </c>
      <c r="M24" s="59">
        <f>E24</f>
        <v>0</v>
      </c>
      <c r="N24" s="63">
        <f>G24</f>
        <v>0</v>
      </c>
      <c r="O24" s="88">
        <v>0</v>
      </c>
      <c r="P24" s="64">
        <f t="shared" si="5"/>
        <v>0</v>
      </c>
      <c r="Q24" s="84"/>
      <c r="R24" s="65" t="s">
        <v>105</v>
      </c>
    </row>
    <row r="25" spans="1:18" s="27" customFormat="1">
      <c r="A25" s="84"/>
      <c r="B25" s="84"/>
      <c r="C25" s="87">
        <f>SUM(C18:C24)</f>
        <v>3796271</v>
      </c>
      <c r="D25" s="84"/>
      <c r="E25" s="87">
        <f>SUM(E19:E24)</f>
        <v>-2745558</v>
      </c>
      <c r="F25" s="87">
        <f>SUM(F19:F24)</f>
        <v>182705</v>
      </c>
      <c r="G25" s="87">
        <f>SUM(G19:G24)</f>
        <v>-91353</v>
      </c>
      <c r="H25" s="55">
        <f>SUM(H19:H24)</f>
        <v>91352</v>
      </c>
      <c r="I25" s="84"/>
      <c r="J25" s="84"/>
      <c r="K25" s="84"/>
      <c r="L25" s="55">
        <f>SUM(L19:L24)</f>
        <v>-2898597</v>
      </c>
      <c r="M25" s="87">
        <f>SUM(M19:M24)</f>
        <v>0</v>
      </c>
      <c r="N25" s="87">
        <f>SUM(N19:N24)</f>
        <v>0</v>
      </c>
      <c r="O25" s="87">
        <f>SUM(O19:O24)</f>
        <v>-5395</v>
      </c>
      <c r="P25" s="55">
        <f>SUM(P19:P24)</f>
        <v>-2903992</v>
      </c>
      <c r="Q25" s="84"/>
      <c r="R25" s="52">
        <f>SUM(R19:R24)</f>
        <v>24271</v>
      </c>
    </row>
    <row r="26" spans="1:18" s="27" customFormat="1">
      <c r="A26" s="84"/>
      <c r="B26" s="84"/>
      <c r="C26" s="87"/>
      <c r="D26" s="84"/>
      <c r="E26" s="87"/>
      <c r="F26" s="87"/>
      <c r="G26" s="87"/>
      <c r="H26" s="55"/>
      <c r="I26" s="84"/>
      <c r="J26" s="55"/>
      <c r="K26" s="87"/>
      <c r="L26" s="87"/>
      <c r="M26" s="87"/>
      <c r="N26" s="55"/>
      <c r="O26" s="84"/>
      <c r="P26" s="84"/>
      <c r="Q26" s="84"/>
      <c r="R26" s="84"/>
    </row>
    <row r="27" spans="1:18" s="27" customForma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s="27" customFormat="1">
      <c r="A28" s="84"/>
      <c r="B28" s="84"/>
      <c r="C28" s="84"/>
      <c r="D28" s="84"/>
      <c r="E28" s="87"/>
      <c r="F28" s="50" t="s">
        <v>106</v>
      </c>
      <c r="G28" s="84"/>
      <c r="H28" s="67"/>
      <c r="I28" s="84"/>
      <c r="J28" s="84"/>
      <c r="K28" s="84"/>
      <c r="L28" s="84"/>
      <c r="M28" s="84"/>
      <c r="N28" s="84"/>
      <c r="O28" s="84"/>
      <c r="P28" s="84"/>
      <c r="Q28" s="84"/>
      <c r="R28" s="84"/>
    </row>
    <row r="29" spans="1:18" s="27" customFormat="1">
      <c r="A29" s="84"/>
      <c r="B29" s="84"/>
      <c r="C29" s="84"/>
      <c r="D29" s="124" t="s">
        <v>107</v>
      </c>
      <c r="E29" s="124"/>
      <c r="F29" s="50" t="s">
        <v>108</v>
      </c>
      <c r="G29" s="50" t="s">
        <v>109</v>
      </c>
      <c r="H29" s="95" t="s">
        <v>110</v>
      </c>
      <c r="I29" s="84"/>
      <c r="J29" s="84"/>
      <c r="K29" s="84"/>
      <c r="L29" s="84"/>
      <c r="M29" s="84"/>
      <c r="N29" s="84"/>
      <c r="O29" s="84"/>
      <c r="P29" s="84"/>
      <c r="Q29" s="84"/>
      <c r="R29" s="84"/>
    </row>
    <row r="30" spans="1:18" s="27" customFormat="1">
      <c r="A30" s="84"/>
      <c r="B30" s="84"/>
      <c r="C30" s="84"/>
      <c r="D30" s="122" t="s">
        <v>76</v>
      </c>
      <c r="E30" s="122" t="s">
        <v>97</v>
      </c>
      <c r="F30" s="122" t="s">
        <v>5</v>
      </c>
      <c r="G30" s="122" t="s">
        <v>65</v>
      </c>
      <c r="H30" s="122" t="s">
        <v>111</v>
      </c>
      <c r="I30" s="84"/>
      <c r="J30" s="84"/>
      <c r="K30" s="84"/>
      <c r="L30" s="84"/>
      <c r="M30" s="84"/>
      <c r="N30" s="84"/>
      <c r="O30" s="84"/>
      <c r="P30" s="84"/>
      <c r="Q30" s="84"/>
      <c r="R30" s="84"/>
    </row>
    <row r="31" spans="1:18" s="27" customFormat="1">
      <c r="A31" s="84">
        <v>13</v>
      </c>
      <c r="B31" s="84" t="s">
        <v>87</v>
      </c>
      <c r="C31" s="84"/>
      <c r="D31" s="52">
        <f t="shared" ref="D31:D36" si="6">J6</f>
        <v>1459981</v>
      </c>
      <c r="E31" s="52">
        <f t="shared" ref="E31:E36" si="7">R19</f>
        <v>20128</v>
      </c>
      <c r="F31" s="52">
        <f>E31-D31</f>
        <v>-1439853</v>
      </c>
      <c r="G31" s="68">
        <v>0.37959999999999999</v>
      </c>
      <c r="H31" s="52">
        <f>ROUND(F31*0.3796,0)</f>
        <v>-546568</v>
      </c>
      <c r="I31" s="84"/>
      <c r="J31" s="84"/>
      <c r="K31" s="84"/>
      <c r="L31" s="84"/>
      <c r="M31" s="84"/>
      <c r="N31" s="84"/>
      <c r="O31" s="84"/>
      <c r="P31" s="84"/>
      <c r="Q31" s="84"/>
      <c r="R31" s="84"/>
    </row>
    <row r="32" spans="1:18" s="27" customFormat="1">
      <c r="A32" s="84">
        <v>14</v>
      </c>
      <c r="B32" s="84" t="s">
        <v>88</v>
      </c>
      <c r="C32" s="84"/>
      <c r="D32" s="57">
        <f t="shared" si="6"/>
        <v>23876</v>
      </c>
      <c r="E32" s="52">
        <f t="shared" si="7"/>
        <v>4143</v>
      </c>
      <c r="F32" s="52">
        <f>E32-D32</f>
        <v>-19733</v>
      </c>
      <c r="G32" s="67">
        <f>G31</f>
        <v>0.37959999999999999</v>
      </c>
      <c r="H32" s="52">
        <f t="shared" ref="H32:H36" si="8">ROUND(F32*0.3796,0)</f>
        <v>-7491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</row>
    <row r="33" spans="1:8" s="27" customFormat="1">
      <c r="A33" s="84">
        <v>15</v>
      </c>
      <c r="B33" s="84" t="s">
        <v>89</v>
      </c>
      <c r="C33" s="84"/>
      <c r="D33" s="57">
        <f t="shared" si="6"/>
        <v>525341</v>
      </c>
      <c r="E33" s="52">
        <f t="shared" si="7"/>
        <v>0</v>
      </c>
      <c r="F33" s="52">
        <f>E33-D33</f>
        <v>-525341</v>
      </c>
      <c r="G33" s="67">
        <f>G31</f>
        <v>0.37959999999999999</v>
      </c>
      <c r="H33" s="52">
        <f t="shared" si="8"/>
        <v>-199419</v>
      </c>
    </row>
    <row r="34" spans="1:8" s="27" customFormat="1">
      <c r="A34" s="84">
        <v>16</v>
      </c>
      <c r="B34" s="84" t="s">
        <v>90</v>
      </c>
      <c r="C34" s="84"/>
      <c r="D34" s="57">
        <f t="shared" si="6"/>
        <v>0</v>
      </c>
      <c r="E34" s="52">
        <f t="shared" si="7"/>
        <v>0</v>
      </c>
      <c r="F34" s="52">
        <f>E34-D34</f>
        <v>0</v>
      </c>
      <c r="G34" s="67">
        <f>G31</f>
        <v>0.37959999999999999</v>
      </c>
      <c r="H34" s="52">
        <f t="shared" si="8"/>
        <v>0</v>
      </c>
    </row>
    <row r="35" spans="1:8" s="27" customFormat="1">
      <c r="A35" s="84">
        <v>17</v>
      </c>
      <c r="B35" s="84" t="s">
        <v>91</v>
      </c>
      <c r="C35" s="84"/>
      <c r="D35" s="57">
        <f t="shared" si="6"/>
        <v>0</v>
      </c>
      <c r="E35" s="52">
        <f t="shared" si="7"/>
        <v>0</v>
      </c>
      <c r="F35" s="52">
        <f>E35-D35</f>
        <v>0</v>
      </c>
      <c r="G35" s="67">
        <f>G31</f>
        <v>0.37959999999999999</v>
      </c>
      <c r="H35" s="52">
        <f t="shared" si="8"/>
        <v>0</v>
      </c>
    </row>
    <row r="36" spans="1:8" s="27" customFormat="1">
      <c r="A36" s="84">
        <v>18</v>
      </c>
      <c r="B36" s="84" t="s">
        <v>92</v>
      </c>
      <c r="C36" s="84"/>
      <c r="D36" s="59">
        <f t="shared" si="6"/>
        <v>833390</v>
      </c>
      <c r="E36" s="65" t="str">
        <f t="shared" si="7"/>
        <v>NA</v>
      </c>
      <c r="F36" s="59">
        <f>-D36</f>
        <v>-833390</v>
      </c>
      <c r="G36" s="69">
        <f>G31</f>
        <v>0.37959999999999999</v>
      </c>
      <c r="H36" s="59">
        <f t="shared" si="8"/>
        <v>-316355</v>
      </c>
    </row>
    <row r="37" spans="1:8" s="27" customFormat="1">
      <c r="A37" s="84"/>
      <c r="B37" s="84"/>
      <c r="C37" s="84"/>
      <c r="D37" s="52">
        <f>SUM(D31:D36)</f>
        <v>2842588</v>
      </c>
      <c r="E37" s="52">
        <f>SUM(E31:E36)</f>
        <v>24271</v>
      </c>
      <c r="F37" s="52">
        <f>SUM(F31:F36)</f>
        <v>-2818317</v>
      </c>
      <c r="G37" s="84"/>
      <c r="H37" s="52">
        <f>SUM(H31:H36)</f>
        <v>-1069833</v>
      </c>
    </row>
    <row r="39" spans="1:8">
      <c r="A39" s="15" t="s">
        <v>73</v>
      </c>
      <c r="B39" s="25" t="s">
        <v>112</v>
      </c>
      <c r="C39" s="25"/>
      <c r="D39" s="25"/>
      <c r="E39" s="25"/>
      <c r="F39" s="25"/>
      <c r="G39" s="25"/>
      <c r="H39" s="25"/>
    </row>
    <row r="40" spans="1:8">
      <c r="A40" s="15"/>
      <c r="B40" s="25"/>
      <c r="C40" s="25"/>
      <c r="D40" s="25"/>
      <c r="E40" s="25"/>
      <c r="F40" s="25"/>
      <c r="G40" s="25"/>
      <c r="H40" s="25"/>
    </row>
  </sheetData>
  <mergeCells count="3">
    <mergeCell ref="F2:H2"/>
    <mergeCell ref="L16:P16"/>
    <mergeCell ref="D29:E29"/>
  </mergeCells>
  <pageMargins left="0.25" right="0.25" top="0.75" bottom="0.75" header="0.3" footer="0.3"/>
  <pageSetup scale="66" orientation="landscape" r:id="rId1"/>
  <headerFooter>
    <oddHeader>&amp;RResponse to PSC 3-3
Page &amp;P of &amp;N
Witnesses: John Brown and
William Steven Seelye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40"/>
  <sheetViews>
    <sheetView view="pageBreakPreview" topLeftCell="A19" zoomScaleNormal="100" zoomScaleSheetLayoutView="100" workbookViewId="0">
      <selection activeCell="E44" sqref="E44"/>
    </sheetView>
  </sheetViews>
  <sheetFormatPr defaultColWidth="9.140625" defaultRowHeight="15"/>
  <cols>
    <col min="1" max="1" width="14.42578125" style="4" customWidth="1"/>
    <col min="2" max="2" width="18.5703125" style="4" bestFit="1" customWidth="1"/>
    <col min="3" max="4" width="12.7109375" style="4" customWidth="1"/>
    <col min="5" max="5" width="11.28515625" style="4" bestFit="1" customWidth="1"/>
    <col min="6" max="6" width="12.7109375" style="4" customWidth="1"/>
    <col min="7" max="7" width="12.42578125" style="4" bestFit="1" customWidth="1"/>
    <col min="8" max="8" width="13.140625" style="4" bestFit="1" customWidth="1"/>
    <col min="9" max="9" width="2.7109375" style="4" customWidth="1"/>
    <col min="10" max="10" width="10.7109375" style="4" customWidth="1"/>
    <col min="11" max="11" width="8.140625" style="4" bestFit="1" customWidth="1"/>
    <col min="12" max="12" width="12.7109375" style="4" customWidth="1"/>
    <col min="13" max="14" width="11.28515625" style="4" bestFit="1" customWidth="1"/>
    <col min="15" max="15" width="8.42578125" style="4" bestFit="1" customWidth="1"/>
    <col min="16" max="16" width="11.28515625" style="4" bestFit="1" customWidth="1"/>
    <col min="17" max="17" width="2.7109375" style="4" customWidth="1"/>
    <col min="18" max="18" width="13.7109375" style="4" bestFit="1" customWidth="1"/>
    <col min="19" max="19" width="7.7109375" style="4" bestFit="1" customWidth="1"/>
    <col min="20" max="20" width="7.42578125" style="4" bestFit="1" customWidth="1"/>
    <col min="21" max="16384" width="9.140625" style="4"/>
  </cols>
  <sheetData>
    <row r="1" spans="1:18">
      <c r="A1" s="22" t="s">
        <v>70</v>
      </c>
      <c r="B1" s="7">
        <v>2013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>
      <c r="A2" s="22" t="s">
        <v>72</v>
      </c>
      <c r="B2" s="25"/>
      <c r="C2" s="25"/>
      <c r="D2" s="14" t="s">
        <v>73</v>
      </c>
      <c r="E2" s="25"/>
      <c r="F2" s="125" t="s">
        <v>75</v>
      </c>
      <c r="G2" s="125"/>
      <c r="H2" s="1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>
      <c r="A3" s="25"/>
      <c r="B3" s="25"/>
      <c r="C3" s="25"/>
      <c r="D3" s="16" t="s">
        <v>74</v>
      </c>
      <c r="E3" s="25"/>
      <c r="F3" s="20"/>
      <c r="G3" s="14" t="s">
        <v>73</v>
      </c>
      <c r="H3" s="20"/>
      <c r="I3" s="25"/>
      <c r="J3" s="23" t="s">
        <v>76</v>
      </c>
      <c r="K3" s="25"/>
      <c r="L3" s="25"/>
      <c r="M3" s="25"/>
      <c r="N3" s="25"/>
      <c r="O3" s="25"/>
      <c r="P3" s="25"/>
      <c r="Q3" s="25"/>
      <c r="R3" s="25"/>
    </row>
    <row r="4" spans="1:18">
      <c r="A4" s="25"/>
      <c r="B4" s="25"/>
      <c r="C4" s="16">
        <v>2013</v>
      </c>
      <c r="D4" s="16" t="s">
        <v>77</v>
      </c>
      <c r="E4" s="25"/>
      <c r="F4" s="16"/>
      <c r="G4" s="16" t="s">
        <v>78</v>
      </c>
      <c r="H4" s="16"/>
      <c r="I4" s="25"/>
      <c r="J4" s="16" t="s">
        <v>79</v>
      </c>
      <c r="K4" s="25"/>
      <c r="L4" s="25"/>
      <c r="M4" s="25"/>
      <c r="N4" s="25"/>
      <c r="O4" s="16" t="s">
        <v>80</v>
      </c>
      <c r="P4" s="16" t="s">
        <v>80</v>
      </c>
      <c r="Q4" s="25"/>
      <c r="R4" s="25"/>
    </row>
    <row r="5" spans="1:18">
      <c r="A5" s="25"/>
      <c r="B5" s="25"/>
      <c r="C5" s="123" t="s">
        <v>81</v>
      </c>
      <c r="D5" s="10">
        <v>10</v>
      </c>
      <c r="E5" s="25"/>
      <c r="F5" s="123" t="s">
        <v>82</v>
      </c>
      <c r="G5" s="123" t="s">
        <v>83</v>
      </c>
      <c r="H5" s="123" t="s">
        <v>84</v>
      </c>
      <c r="I5" s="25"/>
      <c r="J5" s="123" t="s">
        <v>85</v>
      </c>
      <c r="K5" s="25"/>
      <c r="L5" s="25"/>
      <c r="M5" s="25"/>
      <c r="N5" s="25"/>
      <c r="O5" s="123" t="s">
        <v>65</v>
      </c>
      <c r="P5" s="123" t="s">
        <v>86</v>
      </c>
      <c r="Q5" s="25"/>
      <c r="R5" s="25"/>
    </row>
    <row r="6" spans="1:18">
      <c r="A6" s="25">
        <v>1</v>
      </c>
      <c r="B6" s="25" t="s">
        <v>87</v>
      </c>
      <c r="C6" s="100">
        <v>1672265</v>
      </c>
      <c r="D6" s="2">
        <v>3.1E-2</v>
      </c>
      <c r="E6" s="25"/>
      <c r="F6" s="100">
        <v>-440640</v>
      </c>
      <c r="G6" s="18">
        <f>ROUND(IF(D$5=1,-0.5*D6*C6,-D6*C6),0)</f>
        <v>-51840</v>
      </c>
      <c r="H6" s="18">
        <f t="shared" ref="H6:H11" si="0">SUM(F6:G6)</f>
        <v>-492480</v>
      </c>
      <c r="I6" s="25"/>
      <c r="J6" s="5">
        <f t="shared" ref="J6:J11" si="1">C6+H6</f>
        <v>1179785</v>
      </c>
      <c r="K6" s="25"/>
      <c r="L6" s="25"/>
      <c r="M6" s="25"/>
      <c r="N6" s="25"/>
      <c r="O6" s="11">
        <v>1E-4</v>
      </c>
      <c r="P6" s="17">
        <f>ROUND(IF(D$5=1,-0.5*O6*C6,-O6*C6),0)</f>
        <v>-167</v>
      </c>
      <c r="Q6" s="25"/>
      <c r="R6" s="25"/>
    </row>
    <row r="7" spans="1:18">
      <c r="A7" s="25">
        <v>2</v>
      </c>
      <c r="B7" s="25" t="s">
        <v>88</v>
      </c>
      <c r="C7" s="100">
        <v>0</v>
      </c>
      <c r="D7" s="2">
        <v>2.3300000000000001E-2</v>
      </c>
      <c r="E7" s="25"/>
      <c r="F7" s="100">
        <v>0</v>
      </c>
      <c r="G7" s="18">
        <f>ROUND(IF(D$5=1,-0.5*D7*C7,-D7*C7),0)</f>
        <v>0</v>
      </c>
      <c r="H7" s="18">
        <f t="shared" si="0"/>
        <v>0</v>
      </c>
      <c r="I7" s="25"/>
      <c r="J7" s="5">
        <f t="shared" si="1"/>
        <v>0</v>
      </c>
      <c r="K7" s="25"/>
      <c r="L7" s="25"/>
      <c r="M7" s="25"/>
      <c r="N7" s="25"/>
      <c r="O7" s="11">
        <v>2.0000000000000001E-4</v>
      </c>
      <c r="P7" s="5">
        <f>ROUND(IF(D$5=1,-0.5*O7*C7,-O7*C7),0)</f>
        <v>0</v>
      </c>
      <c r="Q7" s="25"/>
      <c r="R7" s="25"/>
    </row>
    <row r="8" spans="1:18">
      <c r="A8" s="25">
        <v>3</v>
      </c>
      <c r="B8" s="25" t="s">
        <v>89</v>
      </c>
      <c r="C8" s="100">
        <v>520370</v>
      </c>
      <c r="D8" s="2">
        <v>2.69E-2</v>
      </c>
      <c r="E8" s="25"/>
      <c r="F8" s="100">
        <v>-118983</v>
      </c>
      <c r="G8" s="18">
        <f>ROUND(IF(D$5=1,-0.5*D8*C8,-D8*C8),0)</f>
        <v>-13998</v>
      </c>
      <c r="H8" s="18">
        <f t="shared" si="0"/>
        <v>-132981</v>
      </c>
      <c r="I8" s="25"/>
      <c r="J8" s="5">
        <f t="shared" si="1"/>
        <v>387389</v>
      </c>
      <c r="K8" s="25"/>
      <c r="L8" s="25"/>
      <c r="M8" s="25"/>
      <c r="N8" s="25"/>
      <c r="O8" s="11">
        <v>4.1999999999999997E-3</v>
      </c>
      <c r="P8" s="5">
        <f>ROUND(IF(D$5=1,-0.5*O8*C8,-O8*C8),0)</f>
        <v>-2186</v>
      </c>
      <c r="Q8" s="25"/>
      <c r="R8" s="25"/>
    </row>
    <row r="9" spans="1:18">
      <c r="A9" s="25">
        <v>4</v>
      </c>
      <c r="B9" s="25" t="s">
        <v>90</v>
      </c>
      <c r="C9" s="100">
        <v>0</v>
      </c>
      <c r="D9" s="2">
        <v>2.2499999999999999E-2</v>
      </c>
      <c r="E9" s="25"/>
      <c r="F9" s="100">
        <v>0</v>
      </c>
      <c r="G9" s="18">
        <f>ROUND(IF(D$5=1,-0.5*D9*C9,-D9*C9),0)</f>
        <v>0</v>
      </c>
      <c r="H9" s="18">
        <f t="shared" si="0"/>
        <v>0</v>
      </c>
      <c r="I9" s="25"/>
      <c r="J9" s="5">
        <f t="shared" si="1"/>
        <v>0</v>
      </c>
      <c r="K9" s="25"/>
      <c r="L9" s="25"/>
      <c r="M9" s="25"/>
      <c r="N9" s="25"/>
      <c r="O9" s="11">
        <v>0</v>
      </c>
      <c r="P9" s="5">
        <f>IF(D$5=1,-0.5*O9*C9,-O9*C9)</f>
        <v>0</v>
      </c>
      <c r="Q9" s="25"/>
      <c r="R9" s="25"/>
    </row>
    <row r="10" spans="1:18">
      <c r="A10" s="25">
        <v>5</v>
      </c>
      <c r="B10" s="25" t="s">
        <v>91</v>
      </c>
      <c r="C10" s="100">
        <v>0</v>
      </c>
      <c r="D10" s="2">
        <v>2.0500000000000001E-2</v>
      </c>
      <c r="E10" s="25"/>
      <c r="F10" s="100">
        <v>0</v>
      </c>
      <c r="G10" s="18">
        <f>ROUND(IF(D$5=1,-0.5*D10*C10,-D10*C10),0)</f>
        <v>0</v>
      </c>
      <c r="H10" s="18">
        <f t="shared" si="0"/>
        <v>0</v>
      </c>
      <c r="I10" s="25"/>
      <c r="J10" s="5">
        <f t="shared" si="1"/>
        <v>0</v>
      </c>
      <c r="K10" s="25"/>
      <c r="L10" s="25"/>
      <c r="M10" s="25"/>
      <c r="N10" s="25"/>
      <c r="O10" s="11">
        <v>0</v>
      </c>
      <c r="P10" s="5">
        <f>IF(D$5=1,-0.5*O10*C10,-O10*C10)</f>
        <v>0</v>
      </c>
      <c r="Q10" s="25"/>
      <c r="R10" s="25"/>
    </row>
    <row r="11" spans="1:18">
      <c r="A11" s="25">
        <v>6</v>
      </c>
      <c r="B11" s="25" t="s">
        <v>92</v>
      </c>
      <c r="C11" s="101">
        <v>768907</v>
      </c>
      <c r="D11" s="3" t="s">
        <v>93</v>
      </c>
      <c r="E11" s="25"/>
      <c r="F11" s="101">
        <v>-20001</v>
      </c>
      <c r="G11" s="21">
        <f>P12</f>
        <v>-2353</v>
      </c>
      <c r="H11" s="21">
        <f t="shared" si="0"/>
        <v>-22354</v>
      </c>
      <c r="I11" s="25"/>
      <c r="J11" s="6">
        <f t="shared" si="1"/>
        <v>746553</v>
      </c>
      <c r="K11" s="25"/>
      <c r="L11" s="25"/>
      <c r="M11" s="25"/>
      <c r="N11" s="25"/>
      <c r="O11" s="24">
        <v>0</v>
      </c>
      <c r="P11" s="6">
        <f>IF(D$5=1,-0.5*O11*C11,-O11*C11)</f>
        <v>0</v>
      </c>
      <c r="Q11" s="25"/>
      <c r="R11" s="25"/>
    </row>
    <row r="12" spans="1:18">
      <c r="A12" s="25"/>
      <c r="B12" s="25"/>
      <c r="C12" s="18">
        <f>SUM(C6:C11)</f>
        <v>2961542</v>
      </c>
      <c r="D12" s="18"/>
      <c r="E12" s="25"/>
      <c r="F12" s="100">
        <f>SUM(F5:F11)</f>
        <v>-579624</v>
      </c>
      <c r="G12" s="18">
        <f>SUM(G5:G11)</f>
        <v>-68191</v>
      </c>
      <c r="H12" s="18">
        <f>SUM(H5:H11)</f>
        <v>-647815</v>
      </c>
      <c r="I12" s="25"/>
      <c r="J12" s="5">
        <f>SUM(J6:J11)</f>
        <v>2313727</v>
      </c>
      <c r="K12" s="25"/>
      <c r="L12" s="25"/>
      <c r="M12" s="25"/>
      <c r="N12" s="25"/>
      <c r="O12" s="5"/>
      <c r="P12" s="17">
        <f>SUM(P5:P11)</f>
        <v>-2353</v>
      </c>
      <c r="Q12" s="25"/>
      <c r="R12" s="25"/>
    </row>
    <row r="13" spans="1:18" ht="14.25" customHeight="1">
      <c r="A13" s="25"/>
      <c r="B13" s="25"/>
      <c r="C13" s="18"/>
      <c r="D13" s="18"/>
      <c r="E13" s="18"/>
      <c r="F13" s="18"/>
      <c r="G13" s="25"/>
      <c r="H13" s="25"/>
      <c r="I13" s="25"/>
      <c r="J13" s="25"/>
      <c r="K13" s="25"/>
      <c r="L13" s="25"/>
      <c r="M13" s="16"/>
      <c r="N13" s="20"/>
      <c r="O13" s="25"/>
      <c r="P13" s="25"/>
      <c r="Q13" s="25"/>
      <c r="R13" s="25"/>
    </row>
    <row r="14" spans="1:18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6"/>
      <c r="N14" s="20"/>
      <c r="O14" s="25"/>
      <c r="P14" s="25"/>
      <c r="Q14" s="25"/>
      <c r="R14" s="25"/>
    </row>
    <row r="15" spans="1:18">
      <c r="A15" s="25"/>
      <c r="B15" s="25"/>
      <c r="C15" s="25"/>
      <c r="D15" s="16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s="27" customFormat="1">
      <c r="A16" s="84"/>
      <c r="B16" s="84"/>
      <c r="C16" s="93"/>
      <c r="D16" s="95" t="s">
        <v>94</v>
      </c>
      <c r="E16" s="93"/>
      <c r="F16" s="93"/>
      <c r="G16" s="48">
        <v>0.5</v>
      </c>
      <c r="H16" s="93"/>
      <c r="I16" s="84"/>
      <c r="J16" s="49"/>
      <c r="K16" s="95" t="s">
        <v>95</v>
      </c>
      <c r="L16" s="124" t="s">
        <v>96</v>
      </c>
      <c r="M16" s="124"/>
      <c r="N16" s="124"/>
      <c r="O16" s="124"/>
      <c r="P16" s="124"/>
      <c r="Q16" s="84"/>
      <c r="R16" s="50" t="s">
        <v>97</v>
      </c>
    </row>
    <row r="17" spans="1:18" s="27" customFormat="1">
      <c r="A17" s="84"/>
      <c r="B17" s="84"/>
      <c r="C17" s="95" t="s">
        <v>76</v>
      </c>
      <c r="D17" s="95" t="s">
        <v>83</v>
      </c>
      <c r="E17" s="95" t="s">
        <v>97</v>
      </c>
      <c r="F17" s="95" t="s">
        <v>97</v>
      </c>
      <c r="G17" s="95" t="s">
        <v>98</v>
      </c>
      <c r="H17" s="95" t="s">
        <v>99</v>
      </c>
      <c r="I17" s="84"/>
      <c r="J17" s="95"/>
      <c r="K17" s="95" t="s">
        <v>100</v>
      </c>
      <c r="L17" s="95"/>
      <c r="M17" s="95" t="s">
        <v>97</v>
      </c>
      <c r="N17" s="95" t="s">
        <v>98</v>
      </c>
      <c r="O17" s="95" t="s">
        <v>95</v>
      </c>
      <c r="P17" s="95"/>
      <c r="Q17" s="84"/>
      <c r="R17" s="95" t="s">
        <v>79</v>
      </c>
    </row>
    <row r="18" spans="1:18" s="27" customFormat="1">
      <c r="A18" s="84"/>
      <c r="B18" s="84"/>
      <c r="C18" s="122" t="s">
        <v>81</v>
      </c>
      <c r="D18" s="122" t="s">
        <v>101</v>
      </c>
      <c r="E18" s="122" t="s">
        <v>83</v>
      </c>
      <c r="F18" s="122" t="s">
        <v>102</v>
      </c>
      <c r="G18" s="122" t="s">
        <v>78</v>
      </c>
      <c r="H18" s="122" t="s">
        <v>103</v>
      </c>
      <c r="I18" s="84"/>
      <c r="J18" s="122" t="s">
        <v>104</v>
      </c>
      <c r="K18" s="122">
        <f>D5</f>
        <v>10</v>
      </c>
      <c r="L18" s="122" t="s">
        <v>82</v>
      </c>
      <c r="M18" s="122" t="s">
        <v>83</v>
      </c>
      <c r="N18" s="122" t="s">
        <v>86</v>
      </c>
      <c r="O18" s="122" t="s">
        <v>86</v>
      </c>
      <c r="P18" s="122" t="s">
        <v>84</v>
      </c>
      <c r="Q18" s="84"/>
      <c r="R18" s="122" t="s">
        <v>85</v>
      </c>
    </row>
    <row r="19" spans="1:18" s="27" customFormat="1">
      <c r="A19" s="84">
        <v>7</v>
      </c>
      <c r="B19" s="84" t="s">
        <v>87</v>
      </c>
      <c r="C19" s="87">
        <f t="shared" ref="C19:C24" si="2">C6</f>
        <v>1672265</v>
      </c>
      <c r="D19" s="51">
        <v>1</v>
      </c>
      <c r="E19" s="87">
        <f>ROUND(C19*-D19,0)</f>
        <v>-1672265</v>
      </c>
      <c r="F19" s="52">
        <f>C19+E19</f>
        <v>0</v>
      </c>
      <c r="G19" s="52">
        <f t="shared" ref="G19:G24" si="3">ROUND(F19*-$G$16,0)</f>
        <v>0</v>
      </c>
      <c r="H19" s="53">
        <f t="shared" ref="H19:H24" si="4">F19+G19</f>
        <v>0</v>
      </c>
      <c r="I19" s="84"/>
      <c r="J19" s="84">
        <v>15</v>
      </c>
      <c r="K19" s="54">
        <f>IFERROR(VLOOKUP(J19,'Tax Rates'!$A$1:$AA$12,$K$18+1,FALSE),0)</f>
        <v>5.9049999999999998E-2</v>
      </c>
      <c r="L19" s="102">
        <v>-1672265</v>
      </c>
      <c r="M19" s="52"/>
      <c r="N19" s="52">
        <f t="shared" ref="N19:N24" si="5">G19</f>
        <v>0</v>
      </c>
      <c r="O19" s="87">
        <f>ROUND(K19*-H19,0)</f>
        <v>0</v>
      </c>
      <c r="P19" s="55">
        <f t="shared" ref="P19:P24" si="6">SUM(L19:O19)</f>
        <v>-1672265</v>
      </c>
      <c r="Q19" s="84"/>
      <c r="R19" s="52">
        <f>C19+P19</f>
        <v>0</v>
      </c>
    </row>
    <row r="20" spans="1:18" s="27" customFormat="1">
      <c r="A20" s="84">
        <v>8</v>
      </c>
      <c r="B20" s="84" t="s">
        <v>88</v>
      </c>
      <c r="C20" s="33">
        <f t="shared" si="2"/>
        <v>0</v>
      </c>
      <c r="D20" s="56">
        <v>0</v>
      </c>
      <c r="E20" s="87">
        <f>ROUND(C20*-D20,0)</f>
        <v>0</v>
      </c>
      <c r="F20" s="52">
        <f>C20+E20</f>
        <v>0</v>
      </c>
      <c r="G20" s="52">
        <f t="shared" si="3"/>
        <v>0</v>
      </c>
      <c r="H20" s="53">
        <f t="shared" si="4"/>
        <v>0</v>
      </c>
      <c r="I20" s="84"/>
      <c r="J20" s="84">
        <v>15</v>
      </c>
      <c r="K20" s="54">
        <f>IFERROR(VLOOKUP(J20,'Tax Rates'!$A$1:$AA$12,$K$18+1,FALSE),0)</f>
        <v>5.9049999999999998E-2</v>
      </c>
      <c r="L20" s="102" t="s">
        <v>113</v>
      </c>
      <c r="M20" s="52">
        <f>E20</f>
        <v>0</v>
      </c>
      <c r="N20" s="52">
        <f t="shared" si="5"/>
        <v>0</v>
      </c>
      <c r="O20" s="87">
        <f>ROUND(K20*-H20,0)</f>
        <v>0</v>
      </c>
      <c r="P20" s="55">
        <f t="shared" si="6"/>
        <v>0</v>
      </c>
      <c r="Q20" s="84"/>
      <c r="R20" s="52">
        <f>C20+P20</f>
        <v>0</v>
      </c>
    </row>
    <row r="21" spans="1:18" s="27" customFormat="1">
      <c r="A21" s="84">
        <v>9</v>
      </c>
      <c r="B21" s="84" t="s">
        <v>89</v>
      </c>
      <c r="C21" s="33">
        <f t="shared" si="2"/>
        <v>520370</v>
      </c>
      <c r="D21" s="51">
        <v>1</v>
      </c>
      <c r="E21" s="87">
        <f>ROUND(C21*-D21,0)</f>
        <v>-520370</v>
      </c>
      <c r="F21" s="52">
        <f>C21+E21</f>
        <v>0</v>
      </c>
      <c r="G21" s="57">
        <f t="shared" si="3"/>
        <v>0</v>
      </c>
      <c r="H21" s="53">
        <f t="shared" si="4"/>
        <v>0</v>
      </c>
      <c r="I21" s="84"/>
      <c r="J21" s="84">
        <v>20</v>
      </c>
      <c r="K21" s="54">
        <f>IFERROR(VLOOKUP(J21,'Tax Rates'!$A$1:$AA$12,$K$18+1,FALSE),0)</f>
        <v>4.4609999999999997E-2</v>
      </c>
      <c r="L21" s="102">
        <v>-520370</v>
      </c>
      <c r="M21" s="52"/>
      <c r="N21" s="52">
        <f t="shared" si="5"/>
        <v>0</v>
      </c>
      <c r="O21" s="87">
        <f>ROUND(K21*-H21,0)</f>
        <v>0</v>
      </c>
      <c r="P21" s="55">
        <f t="shared" si="6"/>
        <v>-520370</v>
      </c>
      <c r="Q21" s="84"/>
      <c r="R21" s="52">
        <f>C21+P21</f>
        <v>0</v>
      </c>
    </row>
    <row r="22" spans="1:18" s="27" customFormat="1">
      <c r="A22" s="84">
        <v>10</v>
      </c>
      <c r="B22" s="84" t="s">
        <v>90</v>
      </c>
      <c r="C22" s="33">
        <f t="shared" si="2"/>
        <v>0</v>
      </c>
      <c r="D22" s="51">
        <v>0</v>
      </c>
      <c r="E22" s="87">
        <f>ROUND(C22*-D22,0)</f>
        <v>0</v>
      </c>
      <c r="F22" s="52">
        <f>C22+E22</f>
        <v>0</v>
      </c>
      <c r="G22" s="57">
        <f t="shared" si="3"/>
        <v>0</v>
      </c>
      <c r="H22" s="53">
        <f t="shared" si="4"/>
        <v>0</v>
      </c>
      <c r="I22" s="84"/>
      <c r="J22" s="84">
        <v>7</v>
      </c>
      <c r="K22" s="54">
        <f>IFERROR(VLOOKUP(J22,'Tax Rates'!$A$1:$AA$12,$K$18+1,FALSE),0)</f>
        <v>0</v>
      </c>
      <c r="L22" s="102">
        <v>0</v>
      </c>
      <c r="M22" s="52">
        <f>E22</f>
        <v>0</v>
      </c>
      <c r="N22" s="52">
        <f t="shared" si="5"/>
        <v>0</v>
      </c>
      <c r="O22" s="87">
        <f>ROUND(K22*-H22,0)</f>
        <v>0</v>
      </c>
      <c r="P22" s="55">
        <f t="shared" si="6"/>
        <v>0</v>
      </c>
      <c r="Q22" s="84"/>
      <c r="R22" s="52">
        <f>C22+P22</f>
        <v>0</v>
      </c>
    </row>
    <row r="23" spans="1:18" s="27" customFormat="1">
      <c r="A23" s="84">
        <v>11</v>
      </c>
      <c r="B23" s="84" t="s">
        <v>91</v>
      </c>
      <c r="C23" s="33">
        <f t="shared" si="2"/>
        <v>0</v>
      </c>
      <c r="D23" s="51">
        <v>0</v>
      </c>
      <c r="E23" s="87">
        <f>ROUND(C23*-D23,0)</f>
        <v>0</v>
      </c>
      <c r="F23" s="52">
        <f>C23+E23</f>
        <v>0</v>
      </c>
      <c r="G23" s="57">
        <f t="shared" si="3"/>
        <v>0</v>
      </c>
      <c r="H23" s="53">
        <f t="shared" si="4"/>
        <v>0</v>
      </c>
      <c r="I23" s="84"/>
      <c r="J23" s="84">
        <v>15</v>
      </c>
      <c r="K23" s="54">
        <f>IFERROR(VLOOKUP(J23,'Tax Rates'!$A$1:$AA$12,$K$18+1,FALSE),0)</f>
        <v>5.9049999999999998E-2</v>
      </c>
      <c r="L23" s="102">
        <v>0</v>
      </c>
      <c r="M23" s="52">
        <f>E23</f>
        <v>0</v>
      </c>
      <c r="N23" s="52">
        <f t="shared" si="5"/>
        <v>0</v>
      </c>
      <c r="O23" s="87">
        <f>ROUND(K23*-H23,0)</f>
        <v>0</v>
      </c>
      <c r="P23" s="55">
        <f t="shared" si="6"/>
        <v>0</v>
      </c>
      <c r="Q23" s="84"/>
      <c r="R23" s="52">
        <f>C23+P23</f>
        <v>0</v>
      </c>
    </row>
    <row r="24" spans="1:18" s="27" customFormat="1">
      <c r="A24" s="84">
        <v>12</v>
      </c>
      <c r="B24" s="84" t="s">
        <v>92</v>
      </c>
      <c r="C24" s="88">
        <f t="shared" si="2"/>
        <v>768907</v>
      </c>
      <c r="D24" s="58" t="s">
        <v>105</v>
      </c>
      <c r="E24" s="88">
        <v>0</v>
      </c>
      <c r="F24" s="59">
        <v>0</v>
      </c>
      <c r="G24" s="59">
        <f t="shared" si="3"/>
        <v>0</v>
      </c>
      <c r="H24" s="60">
        <f t="shared" si="4"/>
        <v>0</v>
      </c>
      <c r="I24" s="84"/>
      <c r="J24" s="61" t="s">
        <v>105</v>
      </c>
      <c r="K24" s="62" t="s">
        <v>105</v>
      </c>
      <c r="L24" s="103">
        <v>0</v>
      </c>
      <c r="M24" s="59">
        <f>E24</f>
        <v>0</v>
      </c>
      <c r="N24" s="63">
        <f t="shared" si="5"/>
        <v>0</v>
      </c>
      <c r="O24" s="88">
        <v>0</v>
      </c>
      <c r="P24" s="64">
        <f t="shared" si="6"/>
        <v>0</v>
      </c>
      <c r="Q24" s="84"/>
      <c r="R24" s="65" t="s">
        <v>105</v>
      </c>
    </row>
    <row r="25" spans="1:18" s="27" customFormat="1">
      <c r="A25" s="84"/>
      <c r="B25" s="84"/>
      <c r="C25" s="87">
        <f>SUM(C18:C24)</f>
        <v>2961542</v>
      </c>
      <c r="D25" s="84"/>
      <c r="E25" s="87">
        <f>SUM(E19:E24)</f>
        <v>-2192635</v>
      </c>
      <c r="F25" s="87">
        <f>SUM(F19:F24)</f>
        <v>0</v>
      </c>
      <c r="G25" s="87">
        <f>SUM(G19:G24)</f>
        <v>0</v>
      </c>
      <c r="H25" s="55">
        <f>SUM(H19:H24)</f>
        <v>0</v>
      </c>
      <c r="I25" s="84"/>
      <c r="J25" s="84"/>
      <c r="K25" s="84"/>
      <c r="L25" s="55">
        <f>SUM(L19:L24)</f>
        <v>-2192635</v>
      </c>
      <c r="M25" s="87">
        <f>SUM(M19:M24)</f>
        <v>0</v>
      </c>
      <c r="N25" s="87">
        <f>SUM(N19:N24)</f>
        <v>0</v>
      </c>
      <c r="O25" s="87">
        <f>SUM(O19:O24)</f>
        <v>0</v>
      </c>
      <c r="P25" s="55">
        <f>SUM(P19:P24)</f>
        <v>-2192635</v>
      </c>
      <c r="Q25" s="84"/>
      <c r="R25" s="52">
        <f>SUM(R19:R24)</f>
        <v>0</v>
      </c>
    </row>
    <row r="26" spans="1:18" s="27" customFormat="1">
      <c r="A26" s="84"/>
      <c r="B26" s="84"/>
      <c r="C26" s="87"/>
      <c r="D26" s="84"/>
      <c r="E26" s="87"/>
      <c r="F26" s="87"/>
      <c r="G26" s="87"/>
      <c r="H26" s="55"/>
      <c r="I26" s="84"/>
      <c r="J26" s="55"/>
      <c r="K26" s="87"/>
      <c r="L26" s="87"/>
      <c r="M26" s="87"/>
      <c r="N26" s="55"/>
      <c r="O26" s="84"/>
      <c r="P26" s="84"/>
      <c r="Q26" s="84"/>
      <c r="R26" s="84"/>
    </row>
    <row r="27" spans="1:18" s="27" customForma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s="27" customFormat="1">
      <c r="A28" s="84"/>
      <c r="B28" s="84"/>
      <c r="C28" s="84"/>
      <c r="D28" s="84"/>
      <c r="E28" s="87"/>
      <c r="F28" s="50" t="s">
        <v>106</v>
      </c>
      <c r="G28" s="84"/>
      <c r="H28" s="67"/>
      <c r="I28" s="84"/>
      <c r="J28" s="84"/>
      <c r="K28" s="84"/>
      <c r="L28" s="84"/>
      <c r="M28" s="84"/>
      <c r="N28" s="84"/>
      <c r="O28" s="84"/>
      <c r="P28" s="84"/>
      <c r="Q28" s="84"/>
      <c r="R28" s="84"/>
    </row>
    <row r="29" spans="1:18" s="27" customFormat="1">
      <c r="A29" s="84"/>
      <c r="B29" s="84"/>
      <c r="C29" s="84"/>
      <c r="D29" s="124" t="s">
        <v>107</v>
      </c>
      <c r="E29" s="124"/>
      <c r="F29" s="50" t="s">
        <v>108</v>
      </c>
      <c r="G29" s="50" t="s">
        <v>109</v>
      </c>
      <c r="H29" s="95" t="s">
        <v>110</v>
      </c>
      <c r="I29" s="84"/>
      <c r="J29" s="84"/>
      <c r="K29" s="84"/>
      <c r="L29" s="84"/>
      <c r="M29" s="84"/>
      <c r="N29" s="84"/>
      <c r="O29" s="84"/>
      <c r="P29" s="84"/>
      <c r="Q29" s="84"/>
      <c r="R29" s="84"/>
    </row>
    <row r="30" spans="1:18" s="27" customFormat="1">
      <c r="A30" s="84"/>
      <c r="B30" s="84"/>
      <c r="C30" s="84"/>
      <c r="D30" s="122" t="s">
        <v>76</v>
      </c>
      <c r="E30" s="122" t="s">
        <v>97</v>
      </c>
      <c r="F30" s="122" t="s">
        <v>5</v>
      </c>
      <c r="G30" s="122" t="s">
        <v>65</v>
      </c>
      <c r="H30" s="122" t="s">
        <v>111</v>
      </c>
      <c r="I30" s="84"/>
      <c r="J30" s="84"/>
      <c r="K30" s="84"/>
      <c r="L30" s="84"/>
      <c r="M30" s="84"/>
      <c r="N30" s="84"/>
      <c r="O30" s="84"/>
      <c r="P30" s="84"/>
      <c r="Q30" s="84"/>
      <c r="R30" s="84"/>
    </row>
    <row r="31" spans="1:18" s="27" customFormat="1">
      <c r="A31" s="84">
        <v>13</v>
      </c>
      <c r="B31" s="84" t="s">
        <v>87</v>
      </c>
      <c r="C31" s="84"/>
      <c r="D31" s="52">
        <f t="shared" ref="D31:D36" si="7">J6</f>
        <v>1179785</v>
      </c>
      <c r="E31" s="52">
        <f t="shared" ref="E31:E36" si="8">R19</f>
        <v>0</v>
      </c>
      <c r="F31" s="52">
        <f>E31-D31</f>
        <v>-1179785</v>
      </c>
      <c r="G31" s="68">
        <v>0.37959999999999999</v>
      </c>
      <c r="H31" s="52">
        <f>ROUND(F31*0.3796,0)</f>
        <v>-447846</v>
      </c>
      <c r="I31" s="84"/>
      <c r="J31" s="84"/>
      <c r="K31" s="84"/>
      <c r="L31" s="84"/>
      <c r="M31" s="84"/>
      <c r="N31" s="84"/>
      <c r="O31" s="84"/>
      <c r="P31" s="84"/>
      <c r="Q31" s="84"/>
      <c r="R31" s="84"/>
    </row>
    <row r="32" spans="1:18" s="27" customFormat="1">
      <c r="A32" s="84">
        <v>14</v>
      </c>
      <c r="B32" s="84" t="s">
        <v>88</v>
      </c>
      <c r="C32" s="84"/>
      <c r="D32" s="57">
        <f t="shared" si="7"/>
        <v>0</v>
      </c>
      <c r="E32" s="52">
        <f t="shared" si="8"/>
        <v>0</v>
      </c>
      <c r="F32" s="52">
        <f>E32-D32</f>
        <v>0</v>
      </c>
      <c r="G32" s="67">
        <f>G31</f>
        <v>0.37959999999999999</v>
      </c>
      <c r="H32" s="52">
        <f t="shared" ref="H32:H36" si="9">ROUND(F32*0.3796,0)</f>
        <v>0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</row>
    <row r="33" spans="1:8" s="27" customFormat="1">
      <c r="A33" s="84">
        <v>15</v>
      </c>
      <c r="B33" s="84" t="s">
        <v>89</v>
      </c>
      <c r="C33" s="84"/>
      <c r="D33" s="57">
        <f t="shared" si="7"/>
        <v>387389</v>
      </c>
      <c r="E33" s="52">
        <f t="shared" si="8"/>
        <v>0</v>
      </c>
      <c r="F33" s="52">
        <f>E33-D33</f>
        <v>-387389</v>
      </c>
      <c r="G33" s="67">
        <f>G31</f>
        <v>0.37959999999999999</v>
      </c>
      <c r="H33" s="52">
        <f t="shared" si="9"/>
        <v>-147053</v>
      </c>
    </row>
    <row r="34" spans="1:8" s="27" customFormat="1">
      <c r="A34" s="84">
        <v>16</v>
      </c>
      <c r="B34" s="84" t="s">
        <v>90</v>
      </c>
      <c r="C34" s="84"/>
      <c r="D34" s="57">
        <f t="shared" si="7"/>
        <v>0</v>
      </c>
      <c r="E34" s="52">
        <f t="shared" si="8"/>
        <v>0</v>
      </c>
      <c r="F34" s="52">
        <f>E34-D34</f>
        <v>0</v>
      </c>
      <c r="G34" s="67">
        <f>G31</f>
        <v>0.37959999999999999</v>
      </c>
      <c r="H34" s="52">
        <f t="shared" si="9"/>
        <v>0</v>
      </c>
    </row>
    <row r="35" spans="1:8" s="27" customFormat="1">
      <c r="A35" s="84">
        <v>17</v>
      </c>
      <c r="B35" s="84" t="s">
        <v>91</v>
      </c>
      <c r="C35" s="84"/>
      <c r="D35" s="57">
        <f t="shared" si="7"/>
        <v>0</v>
      </c>
      <c r="E35" s="52">
        <f t="shared" si="8"/>
        <v>0</v>
      </c>
      <c r="F35" s="52">
        <f>E35-D35</f>
        <v>0</v>
      </c>
      <c r="G35" s="67">
        <f>G31</f>
        <v>0.37959999999999999</v>
      </c>
      <c r="H35" s="52">
        <f t="shared" si="9"/>
        <v>0</v>
      </c>
    </row>
    <row r="36" spans="1:8" s="27" customFormat="1">
      <c r="A36" s="84">
        <v>18</v>
      </c>
      <c r="B36" s="84" t="s">
        <v>92</v>
      </c>
      <c r="C36" s="84"/>
      <c r="D36" s="59">
        <f t="shared" si="7"/>
        <v>746553</v>
      </c>
      <c r="E36" s="65" t="str">
        <f t="shared" si="8"/>
        <v>NA</v>
      </c>
      <c r="F36" s="59">
        <f>-D36</f>
        <v>-746553</v>
      </c>
      <c r="G36" s="69">
        <f>G31</f>
        <v>0.37959999999999999</v>
      </c>
      <c r="H36" s="59">
        <f t="shared" si="9"/>
        <v>-283392</v>
      </c>
    </row>
    <row r="37" spans="1:8" s="27" customFormat="1">
      <c r="A37" s="84"/>
      <c r="B37" s="84"/>
      <c r="C37" s="84"/>
      <c r="D37" s="52">
        <f>SUM(D31:D36)</f>
        <v>2313727</v>
      </c>
      <c r="E37" s="52">
        <f>SUM(E31:E36)</f>
        <v>0</v>
      </c>
      <c r="F37" s="52">
        <f>SUM(F31:F36)</f>
        <v>-2313727</v>
      </c>
      <c r="G37" s="84"/>
      <c r="H37" s="52">
        <f>SUM(H31:H36)</f>
        <v>-878291</v>
      </c>
    </row>
    <row r="38" spans="1:8" s="27" customFormat="1">
      <c r="A38" s="84"/>
      <c r="B38" s="84"/>
      <c r="C38" s="84"/>
      <c r="D38" s="84"/>
      <c r="E38" s="84"/>
      <c r="F38" s="84"/>
      <c r="G38" s="84"/>
      <c r="H38" s="84"/>
    </row>
    <row r="39" spans="1:8">
      <c r="A39" s="15" t="s">
        <v>73</v>
      </c>
      <c r="B39" s="25" t="s">
        <v>112</v>
      </c>
      <c r="C39" s="25"/>
      <c r="D39" s="25"/>
      <c r="E39" s="25"/>
      <c r="F39" s="25"/>
      <c r="G39" s="25"/>
      <c r="H39" s="25"/>
    </row>
    <row r="40" spans="1:8">
      <c r="A40" s="15"/>
      <c r="B40" s="25"/>
      <c r="C40" s="25"/>
      <c r="D40" s="25"/>
      <c r="E40" s="25"/>
      <c r="F40" s="25"/>
      <c r="G40" s="25"/>
      <c r="H40" s="25"/>
    </row>
  </sheetData>
  <mergeCells count="3">
    <mergeCell ref="F2:H2"/>
    <mergeCell ref="L16:P16"/>
    <mergeCell ref="D29:E29"/>
  </mergeCells>
  <pageMargins left="0.25" right="0.25" top="0.75" bottom="0.75" header="0.3" footer="0.3"/>
  <pageSetup scale="66" orientation="landscape" r:id="rId1"/>
  <headerFooter>
    <oddHeader>&amp;RResponse to PSC 3-3
Page &amp;P of &amp;N
Witnesses: John Brown and
William Steven Seelye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0"/>
  <sheetViews>
    <sheetView view="pageBreakPreview" topLeftCell="A13" zoomScaleNormal="100" zoomScaleSheetLayoutView="100" workbookViewId="0">
      <selection activeCell="E44" sqref="E44"/>
    </sheetView>
  </sheetViews>
  <sheetFormatPr defaultColWidth="9.140625" defaultRowHeight="15"/>
  <cols>
    <col min="1" max="1" width="14.42578125" style="4" customWidth="1"/>
    <col min="2" max="2" width="18.5703125" style="4" bestFit="1" customWidth="1"/>
    <col min="3" max="4" width="12.7109375" style="4" customWidth="1"/>
    <col min="5" max="5" width="11.28515625" style="4" bestFit="1" customWidth="1"/>
    <col min="6" max="6" width="12.7109375" style="4" customWidth="1"/>
    <col min="7" max="7" width="12.42578125" style="4" bestFit="1" customWidth="1"/>
    <col min="8" max="8" width="13.140625" style="4" bestFit="1" customWidth="1"/>
    <col min="9" max="9" width="2.7109375" style="4" customWidth="1"/>
    <col min="10" max="10" width="10.7109375" style="4" customWidth="1"/>
    <col min="11" max="11" width="8.140625" style="4" bestFit="1" customWidth="1"/>
    <col min="12" max="12" width="12.7109375" style="4" customWidth="1"/>
    <col min="13" max="14" width="11.28515625" style="4" bestFit="1" customWidth="1"/>
    <col min="15" max="15" width="8.42578125" style="4" bestFit="1" customWidth="1"/>
    <col min="16" max="16" width="11.28515625" style="4" bestFit="1" customWidth="1"/>
    <col min="17" max="17" width="2.7109375" style="4" customWidth="1"/>
    <col min="18" max="18" width="13.7109375" style="4" bestFit="1" customWidth="1"/>
    <col min="19" max="19" width="7.7109375" style="4" bestFit="1" customWidth="1"/>
    <col min="20" max="20" width="7.42578125" style="4" bestFit="1" customWidth="1"/>
    <col min="21" max="16384" width="9.140625" style="4"/>
  </cols>
  <sheetData>
    <row r="1" spans="1:18">
      <c r="A1" s="22" t="s">
        <v>70</v>
      </c>
      <c r="B1" s="7">
        <v>2014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>
      <c r="A2" s="22" t="s">
        <v>72</v>
      </c>
      <c r="B2" s="25"/>
      <c r="C2" s="25"/>
      <c r="D2" s="14" t="s">
        <v>73</v>
      </c>
      <c r="E2" s="25"/>
      <c r="F2" s="125" t="s">
        <v>75</v>
      </c>
      <c r="G2" s="125"/>
      <c r="H2" s="1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>
      <c r="A3" s="25"/>
      <c r="B3" s="25"/>
      <c r="C3" s="25"/>
      <c r="D3" s="16" t="s">
        <v>74</v>
      </c>
      <c r="E3" s="25"/>
      <c r="F3" s="20"/>
      <c r="G3" s="14" t="s">
        <v>73</v>
      </c>
      <c r="H3" s="20"/>
      <c r="I3" s="25"/>
      <c r="J3" s="23" t="s">
        <v>76</v>
      </c>
      <c r="K3" s="25"/>
      <c r="L3" s="25"/>
      <c r="M3" s="25"/>
      <c r="N3" s="25"/>
      <c r="O3" s="25"/>
      <c r="P3" s="25"/>
      <c r="Q3" s="25"/>
      <c r="R3" s="25"/>
    </row>
    <row r="4" spans="1:18">
      <c r="A4" s="25"/>
      <c r="B4" s="25"/>
      <c r="C4" s="16">
        <v>2014</v>
      </c>
      <c r="D4" s="16" t="s">
        <v>77</v>
      </c>
      <c r="E4" s="25"/>
      <c r="F4" s="16"/>
      <c r="G4" s="16" t="s">
        <v>78</v>
      </c>
      <c r="H4" s="16"/>
      <c r="I4" s="25"/>
      <c r="J4" s="16" t="s">
        <v>79</v>
      </c>
      <c r="K4" s="25"/>
      <c r="L4" s="25"/>
      <c r="M4" s="25"/>
      <c r="N4" s="25"/>
      <c r="O4" s="16" t="s">
        <v>80</v>
      </c>
      <c r="P4" s="16" t="s">
        <v>80</v>
      </c>
      <c r="Q4" s="25"/>
      <c r="R4" s="25"/>
    </row>
    <row r="5" spans="1:18">
      <c r="A5" s="25"/>
      <c r="B5" s="25"/>
      <c r="C5" s="123" t="s">
        <v>81</v>
      </c>
      <c r="D5" s="10">
        <v>9</v>
      </c>
      <c r="E5" s="25"/>
      <c r="F5" s="123" t="s">
        <v>82</v>
      </c>
      <c r="G5" s="123" t="s">
        <v>83</v>
      </c>
      <c r="H5" s="123" t="s">
        <v>84</v>
      </c>
      <c r="I5" s="25"/>
      <c r="J5" s="123" t="s">
        <v>85</v>
      </c>
      <c r="K5" s="25"/>
      <c r="L5" s="25"/>
      <c r="M5" s="25"/>
      <c r="N5" s="25"/>
      <c r="O5" s="123" t="s">
        <v>65</v>
      </c>
      <c r="P5" s="123" t="s">
        <v>86</v>
      </c>
      <c r="Q5" s="25"/>
      <c r="R5" s="25"/>
    </row>
    <row r="6" spans="1:18">
      <c r="A6" s="25">
        <v>1</v>
      </c>
      <c r="B6" s="25" t="s">
        <v>87</v>
      </c>
      <c r="C6" s="100">
        <v>1281613</v>
      </c>
      <c r="D6" s="2">
        <v>3.1E-2</v>
      </c>
      <c r="E6" s="25"/>
      <c r="F6" s="100">
        <v>-297975</v>
      </c>
      <c r="G6" s="18">
        <f>ROUND(IF(D$5=1,-0.5*D6*C6,-D6*C6),0)</f>
        <v>-39730</v>
      </c>
      <c r="H6" s="18">
        <f t="shared" ref="H6:H11" si="0">SUM(F6:G6)</f>
        <v>-337705</v>
      </c>
      <c r="I6" s="25"/>
      <c r="J6" s="5">
        <f t="shared" ref="J6:J11" si="1">C6+H6</f>
        <v>943908</v>
      </c>
      <c r="K6" s="25"/>
      <c r="L6" s="25"/>
      <c r="M6" s="25"/>
      <c r="N6" s="25"/>
      <c r="O6" s="11">
        <v>1E-4</v>
      </c>
      <c r="P6" s="17">
        <f>ROUND(IF(D$5=1,-0.5*O6*C6,-O6*C6),0)</f>
        <v>-128</v>
      </c>
      <c r="Q6" s="25"/>
      <c r="R6" s="25"/>
    </row>
    <row r="7" spans="1:18">
      <c r="A7" s="25">
        <v>2</v>
      </c>
      <c r="B7" s="25" t="s">
        <v>88</v>
      </c>
      <c r="C7" s="100">
        <v>500</v>
      </c>
      <c r="D7" s="2">
        <v>2.3300000000000001E-2</v>
      </c>
      <c r="E7" s="25"/>
      <c r="F7" s="100">
        <v>-90</v>
      </c>
      <c r="G7" s="18">
        <f>ROUND(IF(D$5=1,-0.5*D7*C7,-D7*C7),0)</f>
        <v>-12</v>
      </c>
      <c r="H7" s="18">
        <f t="shared" si="0"/>
        <v>-102</v>
      </c>
      <c r="I7" s="25"/>
      <c r="J7" s="5">
        <f t="shared" si="1"/>
        <v>398</v>
      </c>
      <c r="K7" s="25"/>
      <c r="L7" s="25"/>
      <c r="M7" s="25"/>
      <c r="N7" s="25"/>
      <c r="O7" s="11">
        <v>2.0000000000000001E-4</v>
      </c>
      <c r="P7" s="5">
        <f>ROUND(IF(D$5=1,-0.5*O7*C7,-O7*C7),0)</f>
        <v>0</v>
      </c>
      <c r="Q7" s="25"/>
      <c r="R7" s="25"/>
    </row>
    <row r="8" spans="1:18">
      <c r="A8" s="25">
        <v>3</v>
      </c>
      <c r="B8" s="25" t="s">
        <v>89</v>
      </c>
      <c r="C8" s="100">
        <v>396014</v>
      </c>
      <c r="D8" s="2">
        <v>2.69E-2</v>
      </c>
      <c r="E8" s="25"/>
      <c r="F8" s="100">
        <v>-79897</v>
      </c>
      <c r="G8" s="18">
        <f>ROUND(IF(D$5=1,-0.5*D8*C8,-D8*C8),0)</f>
        <v>-10653</v>
      </c>
      <c r="H8" s="18">
        <f t="shared" si="0"/>
        <v>-90550</v>
      </c>
      <c r="I8" s="25"/>
      <c r="J8" s="5">
        <f t="shared" si="1"/>
        <v>305464</v>
      </c>
      <c r="K8" s="25"/>
      <c r="L8" s="25"/>
      <c r="M8" s="25"/>
      <c r="N8" s="25"/>
      <c r="O8" s="11">
        <v>4.1999999999999997E-3</v>
      </c>
      <c r="P8" s="5">
        <f>ROUND(IF(D$5=1,-0.5*O8*C8,-O8*C8),0)</f>
        <v>-1663</v>
      </c>
      <c r="Q8" s="25"/>
      <c r="R8" s="25"/>
    </row>
    <row r="9" spans="1:18">
      <c r="A9" s="25">
        <v>4</v>
      </c>
      <c r="B9" s="25" t="s">
        <v>90</v>
      </c>
      <c r="C9" s="100">
        <v>0</v>
      </c>
      <c r="D9" s="2">
        <v>2.2499999999999999E-2</v>
      </c>
      <c r="E9" s="25"/>
      <c r="F9" s="100">
        <v>0</v>
      </c>
      <c r="G9" s="18">
        <f>ROUND(IF(D$5=1,-0.5*D9*C9,-D9*C9),0)</f>
        <v>0</v>
      </c>
      <c r="H9" s="18">
        <f t="shared" si="0"/>
        <v>0</v>
      </c>
      <c r="I9" s="25"/>
      <c r="J9" s="5">
        <f t="shared" si="1"/>
        <v>0</v>
      </c>
      <c r="K9" s="25"/>
      <c r="L9" s="25"/>
      <c r="M9" s="25"/>
      <c r="N9" s="25"/>
      <c r="O9" s="11">
        <v>0</v>
      </c>
      <c r="P9" s="5">
        <f>IF(D$5=1,-0.5*O9*C9,-O9*C9)</f>
        <v>0</v>
      </c>
      <c r="Q9" s="25"/>
      <c r="R9" s="25"/>
    </row>
    <row r="10" spans="1:18">
      <c r="A10" s="25">
        <v>5</v>
      </c>
      <c r="B10" s="25" t="s">
        <v>91</v>
      </c>
      <c r="C10" s="100">
        <v>0</v>
      </c>
      <c r="D10" s="2">
        <v>2.0500000000000001E-2</v>
      </c>
      <c r="E10" s="25"/>
      <c r="F10" s="100">
        <v>0</v>
      </c>
      <c r="G10" s="18">
        <f>ROUND(IF(D$5=1,-0.5*D10*C10,-D10*C10),0)</f>
        <v>0</v>
      </c>
      <c r="H10" s="18">
        <f t="shared" si="0"/>
        <v>0</v>
      </c>
      <c r="I10" s="25"/>
      <c r="J10" s="5">
        <f t="shared" si="1"/>
        <v>0</v>
      </c>
      <c r="K10" s="25"/>
      <c r="L10" s="25"/>
      <c r="M10" s="25"/>
      <c r="N10" s="25"/>
      <c r="O10" s="11">
        <v>0</v>
      </c>
      <c r="P10" s="5">
        <f>IF(D$5=1,-0.5*O10*C10,-O10*C10)</f>
        <v>0</v>
      </c>
      <c r="Q10" s="25"/>
      <c r="R10" s="25"/>
    </row>
    <row r="11" spans="1:18">
      <c r="A11" s="25">
        <v>6</v>
      </c>
      <c r="B11" s="25" t="s">
        <v>92</v>
      </c>
      <c r="C11" s="101">
        <v>165239</v>
      </c>
      <c r="D11" s="3" t="s">
        <v>93</v>
      </c>
      <c r="E11" s="25"/>
      <c r="F11" s="101">
        <v>-13433</v>
      </c>
      <c r="G11" s="21">
        <f>P12</f>
        <v>-1791</v>
      </c>
      <c r="H11" s="21">
        <f t="shared" si="0"/>
        <v>-15224</v>
      </c>
      <c r="I11" s="25"/>
      <c r="J11" s="6">
        <f t="shared" si="1"/>
        <v>150015</v>
      </c>
      <c r="K11" s="25"/>
      <c r="L11" s="25"/>
      <c r="M11" s="25"/>
      <c r="N11" s="25"/>
      <c r="O11" s="24">
        <v>0</v>
      </c>
      <c r="P11" s="6">
        <f>IF(D$5=1,-0.5*O11*C11,-O11*C11)</f>
        <v>0</v>
      </c>
      <c r="Q11" s="25"/>
      <c r="R11" s="25"/>
    </row>
    <row r="12" spans="1:18">
      <c r="A12" s="25"/>
      <c r="B12" s="25"/>
      <c r="C12" s="18">
        <f>SUM(C6:C11)</f>
        <v>1843366</v>
      </c>
      <c r="D12" s="18"/>
      <c r="E12" s="25"/>
      <c r="F12" s="100">
        <f>SUM(F5:F11)</f>
        <v>-391395</v>
      </c>
      <c r="G12" s="18">
        <f>SUM(G5:G11)</f>
        <v>-52186</v>
      </c>
      <c r="H12" s="18">
        <f>SUM(H5:H11)</f>
        <v>-443581</v>
      </c>
      <c r="I12" s="25"/>
      <c r="J12" s="5">
        <f>SUM(J6:J11)</f>
        <v>1399785</v>
      </c>
      <c r="K12" s="25"/>
      <c r="L12" s="25"/>
      <c r="M12" s="25"/>
      <c r="N12" s="25"/>
      <c r="O12" s="5"/>
      <c r="P12" s="17">
        <f>SUM(P5:P11)</f>
        <v>-1791</v>
      </c>
      <c r="Q12" s="25"/>
      <c r="R12" s="25"/>
    </row>
    <row r="13" spans="1:18" ht="14.25" customHeight="1">
      <c r="A13" s="25"/>
      <c r="B13" s="25"/>
      <c r="C13" s="18"/>
      <c r="D13" s="18"/>
      <c r="E13" s="18"/>
      <c r="F13" s="18"/>
      <c r="G13" s="25"/>
      <c r="H13" s="25"/>
      <c r="I13" s="25"/>
      <c r="J13" s="25"/>
      <c r="K13" s="25"/>
      <c r="L13" s="25"/>
      <c r="M13" s="16"/>
      <c r="N13" s="20"/>
      <c r="O13" s="25"/>
      <c r="P13" s="25"/>
      <c r="Q13" s="25"/>
      <c r="R13" s="25"/>
    </row>
    <row r="14" spans="1:18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6"/>
      <c r="N14" s="20"/>
      <c r="O14" s="25"/>
      <c r="P14" s="25"/>
      <c r="Q14" s="25"/>
      <c r="R14" s="25"/>
    </row>
    <row r="15" spans="1:18" s="27" customFormat="1">
      <c r="A15" s="84"/>
      <c r="B15" s="84"/>
      <c r="C15" s="84"/>
      <c r="D15" s="95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</row>
    <row r="16" spans="1:18" s="27" customFormat="1">
      <c r="A16" s="84"/>
      <c r="B16" s="84"/>
      <c r="C16" s="93"/>
      <c r="D16" s="95" t="s">
        <v>94</v>
      </c>
      <c r="E16" s="93"/>
      <c r="F16" s="93"/>
      <c r="G16" s="48">
        <v>0.5</v>
      </c>
      <c r="H16" s="93"/>
      <c r="I16" s="84"/>
      <c r="J16" s="49"/>
      <c r="K16" s="95" t="s">
        <v>95</v>
      </c>
      <c r="L16" s="124" t="s">
        <v>96</v>
      </c>
      <c r="M16" s="124"/>
      <c r="N16" s="124"/>
      <c r="O16" s="124"/>
      <c r="P16" s="124"/>
      <c r="Q16" s="84"/>
      <c r="R16" s="50" t="s">
        <v>97</v>
      </c>
    </row>
    <row r="17" spans="1:18" s="27" customFormat="1">
      <c r="A17" s="84"/>
      <c r="B17" s="84"/>
      <c r="C17" s="95" t="s">
        <v>76</v>
      </c>
      <c r="D17" s="95" t="s">
        <v>83</v>
      </c>
      <c r="E17" s="95" t="s">
        <v>97</v>
      </c>
      <c r="F17" s="95" t="s">
        <v>97</v>
      </c>
      <c r="G17" s="95" t="s">
        <v>98</v>
      </c>
      <c r="H17" s="95" t="s">
        <v>99</v>
      </c>
      <c r="I17" s="84"/>
      <c r="J17" s="95"/>
      <c r="K17" s="95" t="s">
        <v>100</v>
      </c>
      <c r="L17" s="95"/>
      <c r="M17" s="95" t="s">
        <v>97</v>
      </c>
      <c r="N17" s="95" t="s">
        <v>98</v>
      </c>
      <c r="O17" s="95" t="s">
        <v>95</v>
      </c>
      <c r="P17" s="95"/>
      <c r="Q17" s="84"/>
      <c r="R17" s="95" t="s">
        <v>79</v>
      </c>
    </row>
    <row r="18" spans="1:18" s="27" customFormat="1">
      <c r="A18" s="84"/>
      <c r="B18" s="84"/>
      <c r="C18" s="122" t="s">
        <v>81</v>
      </c>
      <c r="D18" s="122" t="s">
        <v>101</v>
      </c>
      <c r="E18" s="122" t="s">
        <v>83</v>
      </c>
      <c r="F18" s="122" t="s">
        <v>102</v>
      </c>
      <c r="G18" s="122" t="s">
        <v>78</v>
      </c>
      <c r="H18" s="122" t="s">
        <v>103</v>
      </c>
      <c r="I18" s="84"/>
      <c r="J18" s="122" t="s">
        <v>104</v>
      </c>
      <c r="K18" s="122">
        <f>D5</f>
        <v>9</v>
      </c>
      <c r="L18" s="122" t="s">
        <v>82</v>
      </c>
      <c r="M18" s="122" t="s">
        <v>83</v>
      </c>
      <c r="N18" s="122" t="s">
        <v>86</v>
      </c>
      <c r="O18" s="122" t="s">
        <v>86</v>
      </c>
      <c r="P18" s="122" t="s">
        <v>84</v>
      </c>
      <c r="Q18" s="84"/>
      <c r="R18" s="122" t="s">
        <v>85</v>
      </c>
    </row>
    <row r="19" spans="1:18" s="27" customFormat="1">
      <c r="A19" s="84">
        <v>7</v>
      </c>
      <c r="B19" s="84" t="s">
        <v>87</v>
      </c>
      <c r="C19" s="87">
        <f t="shared" ref="C19:C24" si="2">C6</f>
        <v>1281613</v>
      </c>
      <c r="D19" s="51">
        <v>1</v>
      </c>
      <c r="E19" s="87">
        <f>ROUND(C19*-D19,0)</f>
        <v>-1281613</v>
      </c>
      <c r="F19" s="52">
        <f>C19+E19</f>
        <v>0</v>
      </c>
      <c r="G19" s="52">
        <f t="shared" ref="G19:G24" si="3">ROUND(F19*-$G$16,0)</f>
        <v>0</v>
      </c>
      <c r="H19" s="53">
        <f t="shared" ref="H19:H24" si="4">F19+G19</f>
        <v>0</v>
      </c>
      <c r="I19" s="84"/>
      <c r="J19" s="84">
        <v>15</v>
      </c>
      <c r="K19" s="54">
        <f>IFERROR(VLOOKUP(J19,'Tax Rates'!$A$1:$AA$12,$K$18+1,FALSE),0)</f>
        <v>5.9049999999999998E-2</v>
      </c>
      <c r="L19" s="102">
        <v>-1281613</v>
      </c>
      <c r="M19" s="52">
        <v>0</v>
      </c>
      <c r="N19" s="52">
        <f t="shared" ref="N19:N24" si="5">G19</f>
        <v>0</v>
      </c>
      <c r="O19" s="87">
        <f>ROUND(K19*-H19,0)</f>
        <v>0</v>
      </c>
      <c r="P19" s="55">
        <f t="shared" ref="P19:P24" si="6">SUM(L19:O19)</f>
        <v>-1281613</v>
      </c>
      <c r="Q19" s="84"/>
      <c r="R19" s="52">
        <f>C19+P19</f>
        <v>0</v>
      </c>
    </row>
    <row r="20" spans="1:18" s="27" customFormat="1">
      <c r="A20" s="84">
        <v>8</v>
      </c>
      <c r="B20" s="84" t="s">
        <v>88</v>
      </c>
      <c r="C20" s="33">
        <f t="shared" si="2"/>
        <v>500</v>
      </c>
      <c r="D20" s="56">
        <v>0</v>
      </c>
      <c r="E20" s="87">
        <f>ROUND(C20*-D20,0)</f>
        <v>0</v>
      </c>
      <c r="F20" s="52">
        <f>C20+E20</f>
        <v>500</v>
      </c>
      <c r="G20" s="52">
        <f t="shared" si="3"/>
        <v>-250</v>
      </c>
      <c r="H20" s="53">
        <f t="shared" si="4"/>
        <v>250</v>
      </c>
      <c r="I20" s="84"/>
      <c r="J20" s="84">
        <v>15</v>
      </c>
      <c r="K20" s="54">
        <f>IFERROR(VLOOKUP(J20,'Tax Rates'!$A$1:$AA$12,$K$18+1,FALSE),0)</f>
        <v>5.9049999999999998E-2</v>
      </c>
      <c r="L20" s="102">
        <v>-390</v>
      </c>
      <c r="M20" s="52">
        <f>E20</f>
        <v>0</v>
      </c>
      <c r="N20" s="52">
        <v>0</v>
      </c>
      <c r="O20" s="87">
        <f>ROUND(K20*-H20,0)</f>
        <v>-15</v>
      </c>
      <c r="P20" s="55">
        <f t="shared" si="6"/>
        <v>-405</v>
      </c>
      <c r="Q20" s="84"/>
      <c r="R20" s="52">
        <f>C20+P20</f>
        <v>95</v>
      </c>
    </row>
    <row r="21" spans="1:18" s="27" customFormat="1">
      <c r="A21" s="84">
        <v>9</v>
      </c>
      <c r="B21" s="84" t="s">
        <v>89</v>
      </c>
      <c r="C21" s="33">
        <f t="shared" si="2"/>
        <v>396014</v>
      </c>
      <c r="D21" s="51">
        <v>1</v>
      </c>
      <c r="E21" s="87">
        <f>ROUND(C21*-D21,0)</f>
        <v>-396014</v>
      </c>
      <c r="F21" s="52">
        <f>C21+E21</f>
        <v>0</v>
      </c>
      <c r="G21" s="57">
        <f t="shared" si="3"/>
        <v>0</v>
      </c>
      <c r="H21" s="53">
        <f t="shared" si="4"/>
        <v>0</v>
      </c>
      <c r="I21" s="84"/>
      <c r="J21" s="84">
        <v>20</v>
      </c>
      <c r="K21" s="54">
        <f>IFERROR(VLOOKUP(J21,'Tax Rates'!$A$1:$AA$12,$K$18+1,FALSE),0)</f>
        <v>4.462E-2</v>
      </c>
      <c r="L21" s="102">
        <v>-396014</v>
      </c>
      <c r="M21" s="52">
        <v>0</v>
      </c>
      <c r="N21" s="52">
        <f t="shared" si="5"/>
        <v>0</v>
      </c>
      <c r="O21" s="87">
        <f>ROUND(K21*-H21,0)</f>
        <v>0</v>
      </c>
      <c r="P21" s="55">
        <f t="shared" si="6"/>
        <v>-396014</v>
      </c>
      <c r="Q21" s="84"/>
      <c r="R21" s="52">
        <f>C21+P21</f>
        <v>0</v>
      </c>
    </row>
    <row r="22" spans="1:18" s="27" customFormat="1">
      <c r="A22" s="84">
        <v>10</v>
      </c>
      <c r="B22" s="84" t="s">
        <v>90</v>
      </c>
      <c r="C22" s="33">
        <f t="shared" si="2"/>
        <v>0</v>
      </c>
      <c r="D22" s="51">
        <v>0</v>
      </c>
      <c r="E22" s="87">
        <f>ROUND(C22*-D22,0)</f>
        <v>0</v>
      </c>
      <c r="F22" s="52">
        <f>C22+E22</f>
        <v>0</v>
      </c>
      <c r="G22" s="57">
        <f t="shared" si="3"/>
        <v>0</v>
      </c>
      <c r="H22" s="53">
        <f t="shared" si="4"/>
        <v>0</v>
      </c>
      <c r="I22" s="84"/>
      <c r="J22" s="84">
        <v>7</v>
      </c>
      <c r="K22" s="54">
        <f>IFERROR(VLOOKUP(J22,'Tax Rates'!$A$1:$AA$12,$K$18+1,FALSE),0)</f>
        <v>0</v>
      </c>
      <c r="L22" s="102">
        <v>0</v>
      </c>
      <c r="M22" s="52">
        <f>E22</f>
        <v>0</v>
      </c>
      <c r="N22" s="52">
        <f t="shared" si="5"/>
        <v>0</v>
      </c>
      <c r="O22" s="87">
        <f>ROUND(K22*-H22,0)</f>
        <v>0</v>
      </c>
      <c r="P22" s="55">
        <f t="shared" si="6"/>
        <v>0</v>
      </c>
      <c r="Q22" s="84"/>
      <c r="R22" s="52">
        <f>C22+P22</f>
        <v>0</v>
      </c>
    </row>
    <row r="23" spans="1:18" s="27" customFormat="1">
      <c r="A23" s="84">
        <v>11</v>
      </c>
      <c r="B23" s="84" t="s">
        <v>91</v>
      </c>
      <c r="C23" s="33">
        <f t="shared" si="2"/>
        <v>0</v>
      </c>
      <c r="D23" s="51">
        <v>0</v>
      </c>
      <c r="E23" s="87">
        <f>ROUND(C23*-D23,0)</f>
        <v>0</v>
      </c>
      <c r="F23" s="52">
        <f>C23+E23</f>
        <v>0</v>
      </c>
      <c r="G23" s="57">
        <f t="shared" si="3"/>
        <v>0</v>
      </c>
      <c r="H23" s="53">
        <f t="shared" si="4"/>
        <v>0</v>
      </c>
      <c r="I23" s="84"/>
      <c r="J23" s="84">
        <v>15</v>
      </c>
      <c r="K23" s="54">
        <f>IFERROR(VLOOKUP(J23,'Tax Rates'!$A$1:$AA$12,$K$18+1,FALSE),0)</f>
        <v>5.9049999999999998E-2</v>
      </c>
      <c r="L23" s="102">
        <v>0</v>
      </c>
      <c r="M23" s="52">
        <f>E23</f>
        <v>0</v>
      </c>
      <c r="N23" s="52">
        <f t="shared" si="5"/>
        <v>0</v>
      </c>
      <c r="O23" s="87">
        <f>ROUND(K23*-H23,0)</f>
        <v>0</v>
      </c>
      <c r="P23" s="55">
        <f t="shared" si="6"/>
        <v>0</v>
      </c>
      <c r="Q23" s="84"/>
      <c r="R23" s="52">
        <f>C23+P23</f>
        <v>0</v>
      </c>
    </row>
    <row r="24" spans="1:18" s="27" customFormat="1">
      <c r="A24" s="84">
        <v>12</v>
      </c>
      <c r="B24" s="84" t="s">
        <v>92</v>
      </c>
      <c r="C24" s="88">
        <f t="shared" si="2"/>
        <v>165239</v>
      </c>
      <c r="D24" s="58" t="s">
        <v>105</v>
      </c>
      <c r="E24" s="88">
        <v>0</v>
      </c>
      <c r="F24" s="59">
        <v>0</v>
      </c>
      <c r="G24" s="59">
        <f t="shared" si="3"/>
        <v>0</v>
      </c>
      <c r="H24" s="60">
        <f t="shared" si="4"/>
        <v>0</v>
      </c>
      <c r="I24" s="84"/>
      <c r="J24" s="61" t="s">
        <v>105</v>
      </c>
      <c r="K24" s="62" t="s">
        <v>105</v>
      </c>
      <c r="L24" s="103">
        <v>0</v>
      </c>
      <c r="M24" s="59">
        <f>E24</f>
        <v>0</v>
      </c>
      <c r="N24" s="63">
        <f t="shared" si="5"/>
        <v>0</v>
      </c>
      <c r="O24" s="88">
        <v>0</v>
      </c>
      <c r="P24" s="64">
        <f t="shared" si="6"/>
        <v>0</v>
      </c>
      <c r="Q24" s="84"/>
      <c r="R24" s="65" t="s">
        <v>105</v>
      </c>
    </row>
    <row r="25" spans="1:18" s="27" customFormat="1">
      <c r="A25" s="84"/>
      <c r="B25" s="84"/>
      <c r="C25" s="87">
        <f>SUM(C18:C24)</f>
        <v>1843366</v>
      </c>
      <c r="D25" s="84"/>
      <c r="E25" s="87">
        <f>SUM(E19:E24)</f>
        <v>-1677627</v>
      </c>
      <c r="F25" s="87">
        <f>SUM(F19:F24)</f>
        <v>500</v>
      </c>
      <c r="G25" s="87">
        <f>SUM(G19:G24)</f>
        <v>-250</v>
      </c>
      <c r="H25" s="55">
        <f>SUM(H19:H24)</f>
        <v>250</v>
      </c>
      <c r="I25" s="84"/>
      <c r="J25" s="84"/>
      <c r="K25" s="84"/>
      <c r="L25" s="55">
        <f>SUM(L19:L24)</f>
        <v>-1678017</v>
      </c>
      <c r="M25" s="87">
        <f>SUM(M19:M24)</f>
        <v>0</v>
      </c>
      <c r="N25" s="87">
        <f>SUM(N19:N24)</f>
        <v>0</v>
      </c>
      <c r="O25" s="87">
        <f>SUM(O19:O24)</f>
        <v>-15</v>
      </c>
      <c r="P25" s="55">
        <f>SUM(P19:P24)</f>
        <v>-1678032</v>
      </c>
      <c r="Q25" s="84"/>
      <c r="R25" s="52">
        <f>SUM(R19:R24)</f>
        <v>95</v>
      </c>
    </row>
    <row r="26" spans="1:18" s="27" customFormat="1">
      <c r="A26" s="84"/>
      <c r="B26" s="84"/>
      <c r="C26" s="87"/>
      <c r="D26" s="84"/>
      <c r="E26" s="87"/>
      <c r="F26" s="87"/>
      <c r="G26" s="87"/>
      <c r="H26" s="55"/>
      <c r="I26" s="84"/>
      <c r="J26" s="55"/>
      <c r="K26" s="87"/>
      <c r="L26" s="87"/>
      <c r="M26" s="87"/>
      <c r="N26" s="55"/>
      <c r="O26" s="84"/>
      <c r="P26" s="84"/>
      <c r="Q26" s="84"/>
      <c r="R26" s="84"/>
    </row>
    <row r="27" spans="1:18" s="27" customForma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s="27" customFormat="1">
      <c r="A28" s="84"/>
      <c r="B28" s="84"/>
      <c r="C28" s="84"/>
      <c r="D28" s="84"/>
      <c r="E28" s="87"/>
      <c r="F28" s="50" t="s">
        <v>106</v>
      </c>
      <c r="G28" s="84"/>
      <c r="H28" s="67"/>
      <c r="I28" s="84"/>
      <c r="J28" s="84"/>
      <c r="K28" s="84"/>
      <c r="L28" s="84"/>
      <c r="M28" s="84"/>
      <c r="N28" s="84"/>
      <c r="O28" s="84"/>
      <c r="P28" s="84"/>
      <c r="Q28" s="84"/>
      <c r="R28" s="84"/>
    </row>
    <row r="29" spans="1:18" s="27" customFormat="1">
      <c r="A29" s="84"/>
      <c r="B29" s="84"/>
      <c r="C29" s="84"/>
      <c r="D29" s="124" t="s">
        <v>107</v>
      </c>
      <c r="E29" s="124"/>
      <c r="F29" s="50" t="s">
        <v>108</v>
      </c>
      <c r="G29" s="50" t="s">
        <v>109</v>
      </c>
      <c r="H29" s="95" t="s">
        <v>110</v>
      </c>
      <c r="I29" s="84"/>
      <c r="J29" s="84"/>
      <c r="K29" s="84"/>
      <c r="L29" s="84"/>
      <c r="M29" s="84"/>
      <c r="N29" s="84"/>
      <c r="O29" s="84"/>
      <c r="P29" s="84"/>
      <c r="Q29" s="84"/>
      <c r="R29" s="84"/>
    </row>
    <row r="30" spans="1:18" s="27" customFormat="1">
      <c r="A30" s="84"/>
      <c r="B30" s="84"/>
      <c r="C30" s="84"/>
      <c r="D30" s="122" t="s">
        <v>76</v>
      </c>
      <c r="E30" s="122" t="s">
        <v>97</v>
      </c>
      <c r="F30" s="122" t="s">
        <v>5</v>
      </c>
      <c r="G30" s="122" t="s">
        <v>65</v>
      </c>
      <c r="H30" s="122" t="s">
        <v>111</v>
      </c>
      <c r="I30" s="84"/>
      <c r="J30" s="84"/>
      <c r="K30" s="84"/>
      <c r="L30" s="84"/>
      <c r="M30" s="84"/>
      <c r="N30" s="84"/>
      <c r="O30" s="84"/>
      <c r="P30" s="84"/>
      <c r="Q30" s="84"/>
      <c r="R30" s="84"/>
    </row>
    <row r="31" spans="1:18" s="27" customFormat="1">
      <c r="A31" s="84">
        <v>13</v>
      </c>
      <c r="B31" s="84" t="s">
        <v>87</v>
      </c>
      <c r="C31" s="84"/>
      <c r="D31" s="52">
        <f t="shared" ref="D31:D36" si="7">J6</f>
        <v>943908</v>
      </c>
      <c r="E31" s="52">
        <f t="shared" ref="E31:E36" si="8">R19</f>
        <v>0</v>
      </c>
      <c r="F31" s="52">
        <f>E31-D31</f>
        <v>-943908</v>
      </c>
      <c r="G31" s="68">
        <v>0.37959999999999999</v>
      </c>
      <c r="H31" s="52">
        <f>ROUND(F31*0.3796,0)</f>
        <v>-358307</v>
      </c>
      <c r="I31" s="84"/>
      <c r="J31" s="84"/>
      <c r="K31" s="84"/>
      <c r="L31" s="84"/>
      <c r="M31" s="84"/>
      <c r="N31" s="84"/>
      <c r="O31" s="84"/>
      <c r="P31" s="84"/>
      <c r="Q31" s="84"/>
      <c r="R31" s="84"/>
    </row>
    <row r="32" spans="1:18" s="27" customFormat="1">
      <c r="A32" s="84">
        <v>14</v>
      </c>
      <c r="B32" s="84" t="s">
        <v>88</v>
      </c>
      <c r="C32" s="84"/>
      <c r="D32" s="57">
        <f t="shared" si="7"/>
        <v>398</v>
      </c>
      <c r="E32" s="52">
        <f t="shared" si="8"/>
        <v>95</v>
      </c>
      <c r="F32" s="52">
        <f>E32-D32</f>
        <v>-303</v>
      </c>
      <c r="G32" s="67">
        <f>G31</f>
        <v>0.37959999999999999</v>
      </c>
      <c r="H32" s="52">
        <f t="shared" ref="H32:H36" si="9">ROUND(F32*0.3796,0)</f>
        <v>-115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</row>
    <row r="33" spans="1:8" s="27" customFormat="1">
      <c r="A33" s="84">
        <v>15</v>
      </c>
      <c r="B33" s="84" t="s">
        <v>89</v>
      </c>
      <c r="C33" s="84"/>
      <c r="D33" s="57">
        <f t="shared" si="7"/>
        <v>305464</v>
      </c>
      <c r="E33" s="52">
        <f t="shared" si="8"/>
        <v>0</v>
      </c>
      <c r="F33" s="52">
        <f>E33-D33</f>
        <v>-305464</v>
      </c>
      <c r="G33" s="67">
        <f>G31</f>
        <v>0.37959999999999999</v>
      </c>
      <c r="H33" s="52">
        <f t="shared" si="9"/>
        <v>-115954</v>
      </c>
    </row>
    <row r="34" spans="1:8" s="27" customFormat="1">
      <c r="A34" s="84">
        <v>16</v>
      </c>
      <c r="B34" s="84" t="s">
        <v>90</v>
      </c>
      <c r="C34" s="84"/>
      <c r="D34" s="57">
        <f t="shared" si="7"/>
        <v>0</v>
      </c>
      <c r="E34" s="52">
        <f t="shared" si="8"/>
        <v>0</v>
      </c>
      <c r="F34" s="52">
        <f>E34-D34</f>
        <v>0</v>
      </c>
      <c r="G34" s="67">
        <f>G31</f>
        <v>0.37959999999999999</v>
      </c>
      <c r="H34" s="52">
        <f t="shared" si="9"/>
        <v>0</v>
      </c>
    </row>
    <row r="35" spans="1:8" s="27" customFormat="1">
      <c r="A35" s="84">
        <v>17</v>
      </c>
      <c r="B35" s="84" t="s">
        <v>91</v>
      </c>
      <c r="C35" s="84"/>
      <c r="D35" s="57">
        <f t="shared" si="7"/>
        <v>0</v>
      </c>
      <c r="E35" s="52">
        <f t="shared" si="8"/>
        <v>0</v>
      </c>
      <c r="F35" s="52">
        <f>E35-D35</f>
        <v>0</v>
      </c>
      <c r="G35" s="67">
        <f>G31</f>
        <v>0.37959999999999999</v>
      </c>
      <c r="H35" s="52">
        <f t="shared" si="9"/>
        <v>0</v>
      </c>
    </row>
    <row r="36" spans="1:8" s="27" customFormat="1">
      <c r="A36" s="84">
        <v>18</v>
      </c>
      <c r="B36" s="84" t="s">
        <v>92</v>
      </c>
      <c r="C36" s="84"/>
      <c r="D36" s="59">
        <f t="shared" si="7"/>
        <v>150015</v>
      </c>
      <c r="E36" s="65" t="str">
        <f t="shared" si="8"/>
        <v>NA</v>
      </c>
      <c r="F36" s="59">
        <f>-D36</f>
        <v>-150015</v>
      </c>
      <c r="G36" s="69">
        <f>G31</f>
        <v>0.37959999999999999</v>
      </c>
      <c r="H36" s="59">
        <f t="shared" si="9"/>
        <v>-56946</v>
      </c>
    </row>
    <row r="37" spans="1:8" s="27" customFormat="1">
      <c r="A37" s="84"/>
      <c r="B37" s="84"/>
      <c r="C37" s="84"/>
      <c r="D37" s="52">
        <f>SUM(D31:D36)</f>
        <v>1399785</v>
      </c>
      <c r="E37" s="52">
        <f>SUM(E31:E36)</f>
        <v>95</v>
      </c>
      <c r="F37" s="52">
        <f>SUM(F31:F36)</f>
        <v>-1399690</v>
      </c>
      <c r="G37" s="84"/>
      <c r="H37" s="52">
        <f>SUM(H31:H36)</f>
        <v>-531322</v>
      </c>
    </row>
    <row r="39" spans="1:8">
      <c r="A39" s="15" t="s">
        <v>73</v>
      </c>
      <c r="B39" s="25" t="s">
        <v>112</v>
      </c>
      <c r="C39" s="25"/>
      <c r="D39" s="25"/>
      <c r="E39" s="25"/>
      <c r="F39" s="25"/>
      <c r="G39" s="25"/>
      <c r="H39" s="25"/>
    </row>
    <row r="40" spans="1:8">
      <c r="A40" s="15"/>
      <c r="B40" s="25"/>
      <c r="C40" s="25"/>
      <c r="D40" s="25"/>
      <c r="E40" s="25"/>
      <c r="F40" s="25"/>
      <c r="G40" s="25"/>
      <c r="H40" s="25"/>
    </row>
  </sheetData>
  <mergeCells count="3">
    <mergeCell ref="F2:H2"/>
    <mergeCell ref="L16:P16"/>
    <mergeCell ref="D29:E29"/>
  </mergeCells>
  <pageMargins left="0.25" right="0.25" top="0.75" bottom="0.75" header="0.3" footer="0.3"/>
  <pageSetup scale="66" orientation="landscape" r:id="rId1"/>
  <headerFooter>
    <oddHeader>&amp;RResponse to PSC 3-3
Page &amp;P of &amp;N
Witnesses: John Brown and
William Steven Seelye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40"/>
  <sheetViews>
    <sheetView view="pageBreakPreview" topLeftCell="A16" zoomScaleNormal="100" zoomScaleSheetLayoutView="100" workbookViewId="0">
      <selection activeCell="E44" sqref="E44"/>
    </sheetView>
  </sheetViews>
  <sheetFormatPr defaultColWidth="9.140625" defaultRowHeight="15"/>
  <cols>
    <col min="1" max="1" width="14.42578125" style="19" customWidth="1"/>
    <col min="2" max="2" width="18.5703125" style="19" bestFit="1" customWidth="1"/>
    <col min="3" max="4" width="12.7109375" style="19" customWidth="1"/>
    <col min="5" max="5" width="11.28515625" style="19" bestFit="1" customWidth="1"/>
    <col min="6" max="6" width="12.7109375" style="19" customWidth="1"/>
    <col min="7" max="7" width="12.42578125" style="19" bestFit="1" customWidth="1"/>
    <col min="8" max="8" width="13.140625" style="19" bestFit="1" customWidth="1"/>
    <col min="9" max="9" width="2.7109375" style="19" customWidth="1"/>
    <col min="10" max="10" width="10.7109375" style="19" customWidth="1"/>
    <col min="11" max="11" width="8.140625" style="19" bestFit="1" customWidth="1"/>
    <col min="12" max="12" width="12.7109375" style="19" customWidth="1"/>
    <col min="13" max="14" width="11.28515625" style="19" bestFit="1" customWidth="1"/>
    <col min="15" max="15" width="8.42578125" style="19" bestFit="1" customWidth="1"/>
    <col min="16" max="16" width="11.28515625" style="19" bestFit="1" customWidth="1"/>
    <col min="17" max="17" width="2.7109375" style="19" customWidth="1"/>
    <col min="18" max="18" width="13.7109375" style="19" bestFit="1" customWidth="1"/>
    <col min="19" max="19" width="7.7109375" style="19" bestFit="1" customWidth="1"/>
    <col min="20" max="20" width="7.42578125" style="19" bestFit="1" customWidth="1"/>
    <col min="21" max="16384" width="9.140625" style="19"/>
  </cols>
  <sheetData>
    <row r="1" spans="1:18">
      <c r="A1" s="22" t="s">
        <v>70</v>
      </c>
      <c r="B1" s="7">
        <v>2015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>
      <c r="A2" s="22" t="s">
        <v>72</v>
      </c>
      <c r="B2" s="25"/>
      <c r="C2" s="25"/>
      <c r="D2" s="14" t="s">
        <v>73</v>
      </c>
      <c r="E2" s="25"/>
      <c r="F2" s="125" t="s">
        <v>75</v>
      </c>
      <c r="G2" s="125"/>
      <c r="H2" s="1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>
      <c r="A3" s="25"/>
      <c r="B3" s="25"/>
      <c r="C3" s="25"/>
      <c r="D3" s="16" t="s">
        <v>74</v>
      </c>
      <c r="E3" s="25"/>
      <c r="F3" s="20"/>
      <c r="G3" s="14"/>
      <c r="H3" s="20"/>
      <c r="I3" s="25"/>
      <c r="J3" s="23" t="s">
        <v>76</v>
      </c>
      <c r="K3" s="25"/>
      <c r="L3" s="25"/>
      <c r="M3" s="25"/>
      <c r="N3" s="25"/>
      <c r="O3" s="25"/>
      <c r="P3" s="25"/>
      <c r="Q3" s="25"/>
      <c r="R3" s="25"/>
    </row>
    <row r="4" spans="1:18">
      <c r="A4" s="25"/>
      <c r="B4" s="25"/>
      <c r="C4" s="16">
        <v>2015</v>
      </c>
      <c r="D4" s="16" t="s">
        <v>77</v>
      </c>
      <c r="E4" s="25"/>
      <c r="F4" s="16"/>
      <c r="G4" s="16" t="s">
        <v>78</v>
      </c>
      <c r="H4" s="16"/>
      <c r="I4" s="25"/>
      <c r="J4" s="16" t="s">
        <v>79</v>
      </c>
      <c r="K4" s="25"/>
      <c r="L4" s="25"/>
      <c r="M4" s="25"/>
      <c r="N4" s="25"/>
      <c r="O4" s="16" t="s">
        <v>80</v>
      </c>
      <c r="P4" s="16" t="s">
        <v>80</v>
      </c>
      <c r="Q4" s="25"/>
      <c r="R4" s="25"/>
    </row>
    <row r="5" spans="1:18">
      <c r="A5" s="25"/>
      <c r="B5" s="25"/>
      <c r="C5" s="123" t="s">
        <v>81</v>
      </c>
      <c r="D5" s="10">
        <v>8</v>
      </c>
      <c r="E5" s="25"/>
      <c r="F5" s="123" t="s">
        <v>82</v>
      </c>
      <c r="G5" s="123" t="s">
        <v>83</v>
      </c>
      <c r="H5" s="123" t="s">
        <v>84</v>
      </c>
      <c r="I5" s="25"/>
      <c r="J5" s="123" t="s">
        <v>85</v>
      </c>
      <c r="K5" s="25"/>
      <c r="L5" s="25"/>
      <c r="M5" s="25"/>
      <c r="N5" s="25"/>
      <c r="O5" s="123" t="s">
        <v>65</v>
      </c>
      <c r="P5" s="123" t="s">
        <v>86</v>
      </c>
      <c r="Q5" s="25"/>
      <c r="R5" s="25"/>
    </row>
    <row r="6" spans="1:18">
      <c r="A6" s="25">
        <v>1</v>
      </c>
      <c r="B6" s="25" t="s">
        <v>87</v>
      </c>
      <c r="C6" s="100">
        <v>1201977</v>
      </c>
      <c r="D6" s="2">
        <v>3.1E-2</v>
      </c>
      <c r="E6" s="25"/>
      <c r="F6" s="100">
        <v>-242197</v>
      </c>
      <c r="G6" s="18">
        <f>ROUND(IF(D$5=1,-0.5*D6*C6,-D6*C6),0)</f>
        <v>-37261</v>
      </c>
      <c r="H6" s="18">
        <f t="shared" ref="H6:H11" si="0">SUM(F6:G6)</f>
        <v>-279458</v>
      </c>
      <c r="I6" s="25"/>
      <c r="J6" s="5">
        <f t="shared" ref="J6:J11" si="1">C6+H6</f>
        <v>922519</v>
      </c>
      <c r="K6" s="25"/>
      <c r="L6" s="25"/>
      <c r="M6" s="25"/>
      <c r="N6" s="25"/>
      <c r="O6" s="11">
        <v>1E-4</v>
      </c>
      <c r="P6" s="17">
        <f>ROUND(IF(D$5=1,-0.5*O6*C6,-O6*C6),0)</f>
        <v>-120</v>
      </c>
      <c r="Q6" s="25"/>
      <c r="R6" s="25"/>
    </row>
    <row r="7" spans="1:18">
      <c r="A7" s="25">
        <v>2</v>
      </c>
      <c r="B7" s="25" t="s">
        <v>88</v>
      </c>
      <c r="C7" s="100">
        <v>87414</v>
      </c>
      <c r="D7" s="2">
        <v>2.3300000000000001E-2</v>
      </c>
      <c r="E7" s="25"/>
      <c r="F7" s="100">
        <v>-13240</v>
      </c>
      <c r="G7" s="18">
        <f>ROUND(IF(D$5=1,-0.5*D7*C7,-D7*C7),0)</f>
        <v>-2037</v>
      </c>
      <c r="H7" s="18">
        <f t="shared" si="0"/>
        <v>-15277</v>
      </c>
      <c r="I7" s="25"/>
      <c r="J7" s="5">
        <f t="shared" si="1"/>
        <v>72137</v>
      </c>
      <c r="K7" s="25"/>
      <c r="L7" s="25"/>
      <c r="M7" s="25"/>
      <c r="N7" s="25"/>
      <c r="O7" s="11">
        <v>2.0000000000000001E-4</v>
      </c>
      <c r="P7" s="5">
        <f>ROUND(IF(D$5=1,-0.5*O7*C7,-O7*C7),0)</f>
        <v>-17</v>
      </c>
      <c r="Q7" s="25"/>
      <c r="R7" s="25"/>
    </row>
    <row r="8" spans="1:18">
      <c r="A8" s="25">
        <v>3</v>
      </c>
      <c r="B8" s="25" t="s">
        <v>89</v>
      </c>
      <c r="C8" s="100">
        <v>137797</v>
      </c>
      <c r="D8" s="2">
        <v>2.69E-2</v>
      </c>
      <c r="E8" s="25"/>
      <c r="F8" s="100">
        <v>-24095</v>
      </c>
      <c r="G8" s="18">
        <f>ROUND(IF(D$5=1,-0.5*D8*C8,-D8*C8),0)</f>
        <v>-3707</v>
      </c>
      <c r="H8" s="18">
        <f t="shared" si="0"/>
        <v>-27802</v>
      </c>
      <c r="I8" s="25"/>
      <c r="J8" s="5">
        <f t="shared" si="1"/>
        <v>109995</v>
      </c>
      <c r="K8" s="25"/>
      <c r="L8" s="25"/>
      <c r="M8" s="25"/>
      <c r="N8" s="25"/>
      <c r="O8" s="11">
        <v>4.1999999999999997E-3</v>
      </c>
      <c r="P8" s="5">
        <f>ROUND(IF(D$5=1,-0.5*O8*C8,-O8*C8),0)</f>
        <v>-579</v>
      </c>
      <c r="Q8" s="25"/>
      <c r="R8" s="25"/>
    </row>
    <row r="9" spans="1:18">
      <c r="A9" s="25">
        <v>4</v>
      </c>
      <c r="B9" s="25" t="s">
        <v>90</v>
      </c>
      <c r="C9" s="100">
        <v>0</v>
      </c>
      <c r="D9" s="2">
        <v>2.2499999999999999E-2</v>
      </c>
      <c r="E9" s="25"/>
      <c r="F9" s="100">
        <v>0</v>
      </c>
      <c r="G9" s="18">
        <f>ROUND(IF(D$5=1,-0.5*D9*C9,-D9*C9),0)</f>
        <v>0</v>
      </c>
      <c r="H9" s="18">
        <f t="shared" si="0"/>
        <v>0</v>
      </c>
      <c r="I9" s="25"/>
      <c r="J9" s="5">
        <f t="shared" si="1"/>
        <v>0</v>
      </c>
      <c r="K9" s="25"/>
      <c r="L9" s="25"/>
      <c r="M9" s="25"/>
      <c r="N9" s="25"/>
      <c r="O9" s="11">
        <v>0</v>
      </c>
      <c r="P9" s="5">
        <f>IF(D$5=1,-0.5*O9*C9,-O9*C9)</f>
        <v>0</v>
      </c>
      <c r="Q9" s="25"/>
      <c r="R9" s="25"/>
    </row>
    <row r="10" spans="1:18">
      <c r="A10" s="25">
        <v>5</v>
      </c>
      <c r="B10" s="25" t="s">
        <v>91</v>
      </c>
      <c r="C10" s="100">
        <v>0</v>
      </c>
      <c r="D10" s="2">
        <v>2.0500000000000001E-2</v>
      </c>
      <c r="E10" s="25"/>
      <c r="F10" s="100">
        <v>0</v>
      </c>
      <c r="G10" s="18">
        <f>ROUND(IF(D$5=1,-0.5*D10*C10,-D10*C10),0)</f>
        <v>0</v>
      </c>
      <c r="H10" s="18">
        <f t="shared" si="0"/>
        <v>0</v>
      </c>
      <c r="I10" s="25"/>
      <c r="J10" s="5">
        <f t="shared" si="1"/>
        <v>0</v>
      </c>
      <c r="K10" s="25"/>
      <c r="L10" s="25"/>
      <c r="M10" s="25"/>
      <c r="N10" s="25"/>
      <c r="O10" s="11">
        <v>0</v>
      </c>
      <c r="P10" s="5">
        <f>IF(D$5=1,-0.5*O10*C10,-O10*C10)</f>
        <v>0</v>
      </c>
      <c r="Q10" s="25"/>
      <c r="R10" s="25"/>
    </row>
    <row r="11" spans="1:18">
      <c r="A11" s="25">
        <v>6</v>
      </c>
      <c r="B11" s="25" t="s">
        <v>92</v>
      </c>
      <c r="C11" s="101">
        <v>331639</v>
      </c>
      <c r="D11" s="3" t="s">
        <v>93</v>
      </c>
      <c r="E11" s="25"/>
      <c r="F11" s="101">
        <v>-4654</v>
      </c>
      <c r="G11" s="21">
        <f>P12</f>
        <v>-716</v>
      </c>
      <c r="H11" s="21">
        <f t="shared" si="0"/>
        <v>-5370</v>
      </c>
      <c r="I11" s="25"/>
      <c r="J11" s="6">
        <f t="shared" si="1"/>
        <v>326269</v>
      </c>
      <c r="K11" s="25"/>
      <c r="L11" s="25"/>
      <c r="M11" s="25"/>
      <c r="N11" s="25"/>
      <c r="O11" s="24">
        <v>0</v>
      </c>
      <c r="P11" s="6">
        <f>IF(D$5=1,-0.5*O11*C11,-O11*C11)</f>
        <v>0</v>
      </c>
      <c r="Q11" s="25"/>
      <c r="R11" s="25"/>
    </row>
    <row r="12" spans="1:18">
      <c r="A12" s="25"/>
      <c r="B12" s="25"/>
      <c r="C12" s="18">
        <f>SUM(C6:C11)</f>
        <v>1758827</v>
      </c>
      <c r="D12" s="18"/>
      <c r="E12" s="25"/>
      <c r="F12" s="100">
        <f>SUM(F5:F11)</f>
        <v>-284186</v>
      </c>
      <c r="G12" s="18">
        <f>SUM(G5:G11)</f>
        <v>-43721</v>
      </c>
      <c r="H12" s="18">
        <f>SUM(H5:H11)</f>
        <v>-327907</v>
      </c>
      <c r="I12" s="25"/>
      <c r="J12" s="5">
        <f>SUM(J6:J11)</f>
        <v>1430920</v>
      </c>
      <c r="K12" s="25"/>
      <c r="L12" s="25"/>
      <c r="M12" s="25"/>
      <c r="N12" s="25"/>
      <c r="O12" s="5"/>
      <c r="P12" s="17">
        <f>SUM(P5:P11)</f>
        <v>-716</v>
      </c>
      <c r="Q12" s="25"/>
      <c r="R12" s="25"/>
    </row>
    <row r="13" spans="1:18" ht="14.25" customHeight="1">
      <c r="A13" s="25"/>
      <c r="B13" s="25"/>
      <c r="C13" s="18"/>
      <c r="D13" s="18"/>
      <c r="E13" s="18"/>
      <c r="F13" s="18"/>
      <c r="G13" s="25"/>
      <c r="H13" s="25"/>
      <c r="I13" s="25"/>
      <c r="J13" s="25"/>
      <c r="K13" s="25"/>
      <c r="L13" s="25"/>
      <c r="M13" s="16"/>
      <c r="N13" s="20"/>
      <c r="O13" s="25"/>
      <c r="P13" s="25"/>
      <c r="Q13" s="25"/>
      <c r="R13" s="25"/>
    </row>
    <row r="14" spans="1:18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6"/>
      <c r="N14" s="20"/>
      <c r="O14" s="25"/>
      <c r="P14" s="25"/>
      <c r="Q14" s="25"/>
      <c r="R14" s="25"/>
    </row>
    <row r="15" spans="1:18">
      <c r="A15" s="25"/>
      <c r="B15" s="25"/>
      <c r="C15" s="25"/>
      <c r="D15" s="16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s="27" customFormat="1">
      <c r="A16" s="84"/>
      <c r="B16" s="84"/>
      <c r="C16" s="93"/>
      <c r="D16" s="95" t="s">
        <v>94</v>
      </c>
      <c r="E16" s="93"/>
      <c r="F16" s="93"/>
      <c r="G16" s="48">
        <v>0.5</v>
      </c>
      <c r="H16" s="93"/>
      <c r="I16" s="84"/>
      <c r="J16" s="49"/>
      <c r="K16" s="95" t="s">
        <v>95</v>
      </c>
      <c r="L16" s="124" t="s">
        <v>96</v>
      </c>
      <c r="M16" s="124"/>
      <c r="N16" s="124"/>
      <c r="O16" s="124"/>
      <c r="P16" s="124"/>
      <c r="Q16" s="84"/>
      <c r="R16" s="50" t="s">
        <v>97</v>
      </c>
    </row>
    <row r="17" spans="1:18" s="27" customFormat="1">
      <c r="A17" s="84"/>
      <c r="B17" s="84"/>
      <c r="C17" s="95" t="s">
        <v>76</v>
      </c>
      <c r="D17" s="95" t="s">
        <v>83</v>
      </c>
      <c r="E17" s="95" t="s">
        <v>97</v>
      </c>
      <c r="F17" s="95" t="s">
        <v>97</v>
      </c>
      <c r="G17" s="95" t="s">
        <v>98</v>
      </c>
      <c r="H17" s="95" t="s">
        <v>99</v>
      </c>
      <c r="I17" s="84"/>
      <c r="J17" s="95"/>
      <c r="K17" s="95" t="s">
        <v>100</v>
      </c>
      <c r="L17" s="95"/>
      <c r="M17" s="95" t="s">
        <v>97</v>
      </c>
      <c r="N17" s="95" t="s">
        <v>98</v>
      </c>
      <c r="O17" s="95" t="s">
        <v>95</v>
      </c>
      <c r="P17" s="95"/>
      <c r="Q17" s="84"/>
      <c r="R17" s="95" t="s">
        <v>79</v>
      </c>
    </row>
    <row r="18" spans="1:18" s="27" customFormat="1">
      <c r="A18" s="84"/>
      <c r="B18" s="84"/>
      <c r="C18" s="122" t="s">
        <v>81</v>
      </c>
      <c r="D18" s="122" t="s">
        <v>101</v>
      </c>
      <c r="E18" s="122" t="s">
        <v>83</v>
      </c>
      <c r="F18" s="122" t="s">
        <v>102</v>
      </c>
      <c r="G18" s="122" t="s">
        <v>78</v>
      </c>
      <c r="H18" s="122" t="s">
        <v>103</v>
      </c>
      <c r="I18" s="84"/>
      <c r="J18" s="122" t="s">
        <v>104</v>
      </c>
      <c r="K18" s="122">
        <f>D5</f>
        <v>8</v>
      </c>
      <c r="L18" s="122" t="s">
        <v>82</v>
      </c>
      <c r="M18" s="122" t="s">
        <v>83</v>
      </c>
      <c r="N18" s="122" t="s">
        <v>86</v>
      </c>
      <c r="O18" s="122" t="s">
        <v>86</v>
      </c>
      <c r="P18" s="122" t="s">
        <v>84</v>
      </c>
      <c r="Q18" s="84"/>
      <c r="R18" s="122" t="s">
        <v>85</v>
      </c>
    </row>
    <row r="19" spans="1:18" s="27" customFormat="1">
      <c r="A19" s="84">
        <v>7</v>
      </c>
      <c r="B19" s="84" t="s">
        <v>87</v>
      </c>
      <c r="C19" s="87">
        <f t="shared" ref="C19:C24" si="2">C6</f>
        <v>1201977</v>
      </c>
      <c r="D19" s="51">
        <v>0.91900000000000004</v>
      </c>
      <c r="E19" s="87">
        <f>ROUND(C19*-D19,0)</f>
        <v>-1104617</v>
      </c>
      <c r="F19" s="52">
        <f>C19+E19</f>
        <v>97360</v>
      </c>
      <c r="G19" s="52">
        <f t="shared" ref="G19:G24" si="3">ROUND(F19*-$G$16,0)</f>
        <v>-48680</v>
      </c>
      <c r="H19" s="53">
        <f t="shared" ref="H19:H24" si="4">F19+G19</f>
        <v>48680</v>
      </c>
      <c r="I19" s="84"/>
      <c r="J19" s="84">
        <v>15</v>
      </c>
      <c r="K19" s="54">
        <f>IFERROR(VLOOKUP(J19,'Tax Rates'!$A$1:$AA$12,$K$18+1,FALSE),0)</f>
        <v>5.9049999999999998E-2</v>
      </c>
      <c r="L19" s="102">
        <v>-1177544</v>
      </c>
      <c r="M19" s="52">
        <v>0</v>
      </c>
      <c r="N19" s="52">
        <v>0</v>
      </c>
      <c r="O19" s="87">
        <f>ROUND(K19*-H19,0)</f>
        <v>-2875</v>
      </c>
      <c r="P19" s="55">
        <f t="shared" ref="P19:P24" si="5">SUM(L19:O19)</f>
        <v>-1180419</v>
      </c>
      <c r="Q19" s="84"/>
      <c r="R19" s="52">
        <f>C19+P19</f>
        <v>21558</v>
      </c>
    </row>
    <row r="20" spans="1:18" s="27" customFormat="1">
      <c r="A20" s="84">
        <v>8</v>
      </c>
      <c r="B20" s="84" t="s">
        <v>88</v>
      </c>
      <c r="C20" s="33">
        <f t="shared" si="2"/>
        <v>87414</v>
      </c>
      <c r="D20" s="56">
        <f>-E20/C20</f>
        <v>0.25458164596060129</v>
      </c>
      <c r="E20" s="34">
        <v>-22254</v>
      </c>
      <c r="F20" s="52">
        <f>C20+E20</f>
        <v>65160</v>
      </c>
      <c r="G20" s="52">
        <f t="shared" si="3"/>
        <v>-32580</v>
      </c>
      <c r="H20" s="53">
        <f t="shared" si="4"/>
        <v>32580</v>
      </c>
      <c r="I20" s="84"/>
      <c r="J20" s="84">
        <v>15</v>
      </c>
      <c r="K20" s="54">
        <f>IFERROR(VLOOKUP(J20,'Tax Rates'!$A$1:$AA$12,$K$18+1,FALSE),0)</f>
        <v>5.9049999999999998E-2</v>
      </c>
      <c r="L20" s="102">
        <v>-71062</v>
      </c>
      <c r="M20" s="52">
        <v>0</v>
      </c>
      <c r="N20" s="52">
        <v>0</v>
      </c>
      <c r="O20" s="87">
        <f>ROUND(K20*-H20,0)</f>
        <v>-1924</v>
      </c>
      <c r="P20" s="55">
        <f t="shared" si="5"/>
        <v>-72986</v>
      </c>
      <c r="Q20" s="84"/>
      <c r="R20" s="52">
        <f>C20+P20</f>
        <v>14428</v>
      </c>
    </row>
    <row r="21" spans="1:18" s="27" customFormat="1">
      <c r="A21" s="84">
        <v>9</v>
      </c>
      <c r="B21" s="84" t="s">
        <v>89</v>
      </c>
      <c r="C21" s="33">
        <f t="shared" si="2"/>
        <v>137797</v>
      </c>
      <c r="D21" s="51">
        <v>1</v>
      </c>
      <c r="E21" s="87">
        <f>ROUND(C21*-D21,0)</f>
        <v>-137797</v>
      </c>
      <c r="F21" s="52">
        <f>C21+E21</f>
        <v>0</v>
      </c>
      <c r="G21" s="57">
        <f t="shared" si="3"/>
        <v>0</v>
      </c>
      <c r="H21" s="53">
        <f t="shared" si="4"/>
        <v>0</v>
      </c>
      <c r="I21" s="84"/>
      <c r="J21" s="84">
        <v>20</v>
      </c>
      <c r="K21" s="54">
        <f>IFERROR(VLOOKUP(J21,'Tax Rates'!$A$1:$AA$12,$K$18+1,FALSE),0)</f>
        <v>4.5220000000000003E-2</v>
      </c>
      <c r="L21" s="102">
        <v>-137797</v>
      </c>
      <c r="M21" s="52">
        <v>0</v>
      </c>
      <c r="N21" s="52">
        <f t="shared" ref="N21:N24" si="6">G21</f>
        <v>0</v>
      </c>
      <c r="O21" s="87">
        <f>ROUND(K21*-H21,0)</f>
        <v>0</v>
      </c>
      <c r="P21" s="55">
        <f t="shared" si="5"/>
        <v>-137797</v>
      </c>
      <c r="Q21" s="84"/>
      <c r="R21" s="52">
        <f>C21+P21</f>
        <v>0</v>
      </c>
    </row>
    <row r="22" spans="1:18" s="27" customFormat="1">
      <c r="A22" s="84">
        <v>10</v>
      </c>
      <c r="B22" s="84" t="s">
        <v>90</v>
      </c>
      <c r="C22" s="33">
        <f t="shared" si="2"/>
        <v>0</v>
      </c>
      <c r="D22" s="51">
        <v>0</v>
      </c>
      <c r="E22" s="87">
        <f>ROUND(C22*-D22,0)</f>
        <v>0</v>
      </c>
      <c r="F22" s="52">
        <f>C22+E22</f>
        <v>0</v>
      </c>
      <c r="G22" s="57">
        <f t="shared" si="3"/>
        <v>0</v>
      </c>
      <c r="H22" s="53">
        <f t="shared" si="4"/>
        <v>0</v>
      </c>
      <c r="I22" s="84"/>
      <c r="J22" s="84">
        <v>7</v>
      </c>
      <c r="K22" s="54">
        <f>IFERROR(VLOOKUP(J22,'Tax Rates'!$A$1:$AA$12,$K$18+1,FALSE),0)</f>
        <v>4.462E-2</v>
      </c>
      <c r="L22" s="102">
        <v>0</v>
      </c>
      <c r="M22" s="52">
        <f t="shared" ref="M22:M24" si="7">E22</f>
        <v>0</v>
      </c>
      <c r="N22" s="52">
        <f t="shared" si="6"/>
        <v>0</v>
      </c>
      <c r="O22" s="87">
        <f>ROUND(K22*-H22,0)</f>
        <v>0</v>
      </c>
      <c r="P22" s="55">
        <f t="shared" si="5"/>
        <v>0</v>
      </c>
      <c r="Q22" s="84"/>
      <c r="R22" s="52">
        <f>C22+P22</f>
        <v>0</v>
      </c>
    </row>
    <row r="23" spans="1:18" s="27" customFormat="1">
      <c r="A23" s="84">
        <v>11</v>
      </c>
      <c r="B23" s="84" t="s">
        <v>91</v>
      </c>
      <c r="C23" s="33">
        <f t="shared" si="2"/>
        <v>0</v>
      </c>
      <c r="D23" s="51">
        <v>0</v>
      </c>
      <c r="E23" s="87">
        <f>ROUND(C23*-D23,0)</f>
        <v>0</v>
      </c>
      <c r="F23" s="52">
        <f>C23+E23</f>
        <v>0</v>
      </c>
      <c r="G23" s="57">
        <f t="shared" si="3"/>
        <v>0</v>
      </c>
      <c r="H23" s="53">
        <f t="shared" si="4"/>
        <v>0</v>
      </c>
      <c r="I23" s="84"/>
      <c r="J23" s="84">
        <v>15</v>
      </c>
      <c r="K23" s="54">
        <f>IFERROR(VLOOKUP(J23,'Tax Rates'!$A$1:$AA$12,$K$18+1,FALSE),0)</f>
        <v>5.9049999999999998E-2</v>
      </c>
      <c r="L23" s="102">
        <v>0</v>
      </c>
      <c r="M23" s="52">
        <f t="shared" si="7"/>
        <v>0</v>
      </c>
      <c r="N23" s="52">
        <f t="shared" si="6"/>
        <v>0</v>
      </c>
      <c r="O23" s="87">
        <f>ROUND(K23*-H23,0)</f>
        <v>0</v>
      </c>
      <c r="P23" s="55">
        <f t="shared" si="5"/>
        <v>0</v>
      </c>
      <c r="Q23" s="84"/>
      <c r="R23" s="52">
        <f>C23+P23</f>
        <v>0</v>
      </c>
    </row>
    <row r="24" spans="1:18" s="27" customFormat="1">
      <c r="A24" s="84">
        <v>12</v>
      </c>
      <c r="B24" s="84" t="s">
        <v>92</v>
      </c>
      <c r="C24" s="88">
        <f t="shared" si="2"/>
        <v>331639</v>
      </c>
      <c r="D24" s="58" t="s">
        <v>105</v>
      </c>
      <c r="E24" s="88">
        <v>0</v>
      </c>
      <c r="F24" s="59">
        <v>0</v>
      </c>
      <c r="G24" s="59">
        <f t="shared" si="3"/>
        <v>0</v>
      </c>
      <c r="H24" s="60">
        <f t="shared" si="4"/>
        <v>0</v>
      </c>
      <c r="I24" s="84"/>
      <c r="J24" s="61" t="s">
        <v>105</v>
      </c>
      <c r="K24" s="62" t="s">
        <v>105</v>
      </c>
      <c r="L24" s="103">
        <v>0</v>
      </c>
      <c r="M24" s="59">
        <f t="shared" si="7"/>
        <v>0</v>
      </c>
      <c r="N24" s="63">
        <f t="shared" si="6"/>
        <v>0</v>
      </c>
      <c r="O24" s="88">
        <v>0</v>
      </c>
      <c r="P24" s="64">
        <f t="shared" si="5"/>
        <v>0</v>
      </c>
      <c r="Q24" s="84"/>
      <c r="R24" s="65" t="s">
        <v>105</v>
      </c>
    </row>
    <row r="25" spans="1:18" s="27" customFormat="1">
      <c r="A25" s="84"/>
      <c r="B25" s="84"/>
      <c r="C25" s="87">
        <f>SUM(C18:C24)</f>
        <v>1758827</v>
      </c>
      <c r="D25" s="84"/>
      <c r="E25" s="87">
        <f>SUM(E19:E24)</f>
        <v>-1264668</v>
      </c>
      <c r="F25" s="87">
        <f>SUM(F19:F24)</f>
        <v>162520</v>
      </c>
      <c r="G25" s="87">
        <f>SUM(G19:G24)</f>
        <v>-81260</v>
      </c>
      <c r="H25" s="55">
        <f>SUM(H19:H24)</f>
        <v>81260</v>
      </c>
      <c r="I25" s="84"/>
      <c r="J25" s="84"/>
      <c r="K25" s="84"/>
      <c r="L25" s="55">
        <f>SUM(L19:L24)</f>
        <v>-1386403</v>
      </c>
      <c r="M25" s="87">
        <f>SUM(M19:M24)</f>
        <v>0</v>
      </c>
      <c r="N25" s="87">
        <f>SUM(N19:N24)</f>
        <v>0</v>
      </c>
      <c r="O25" s="87">
        <f>SUM(O19:O24)</f>
        <v>-4799</v>
      </c>
      <c r="P25" s="55">
        <f>SUM(P19:P24)</f>
        <v>-1391202</v>
      </c>
      <c r="Q25" s="84"/>
      <c r="R25" s="52">
        <f>SUM(R19:R24)</f>
        <v>35986</v>
      </c>
    </row>
    <row r="26" spans="1:18" s="27" customFormat="1">
      <c r="A26" s="84"/>
      <c r="B26" s="84"/>
      <c r="C26" s="87"/>
      <c r="D26" s="84"/>
      <c r="E26" s="87"/>
      <c r="F26" s="87"/>
      <c r="G26" s="87"/>
      <c r="H26" s="55"/>
      <c r="I26" s="84"/>
      <c r="J26" s="55"/>
      <c r="K26" s="87"/>
      <c r="L26" s="87"/>
      <c r="M26" s="87"/>
      <c r="N26" s="55"/>
      <c r="O26" s="84"/>
      <c r="P26" s="84"/>
      <c r="Q26" s="84"/>
      <c r="R26" s="84"/>
    </row>
    <row r="27" spans="1:18" s="27" customForma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s="27" customFormat="1">
      <c r="A28" s="84"/>
      <c r="B28" s="84"/>
      <c r="C28" s="84"/>
      <c r="D28" s="84"/>
      <c r="E28" s="87"/>
      <c r="F28" s="50" t="s">
        <v>106</v>
      </c>
      <c r="G28" s="84"/>
      <c r="H28" s="67"/>
      <c r="I28" s="84"/>
      <c r="J28" s="84"/>
      <c r="K28" s="84"/>
      <c r="L28" s="84"/>
      <c r="M28" s="84"/>
      <c r="N28" s="84"/>
      <c r="O28" s="84"/>
      <c r="P28" s="84"/>
      <c r="Q28" s="84"/>
      <c r="R28" s="84"/>
    </row>
    <row r="29" spans="1:18" s="27" customFormat="1">
      <c r="A29" s="84"/>
      <c r="B29" s="84"/>
      <c r="C29" s="84"/>
      <c r="D29" s="124" t="s">
        <v>107</v>
      </c>
      <c r="E29" s="124"/>
      <c r="F29" s="50" t="s">
        <v>108</v>
      </c>
      <c r="G29" s="50" t="s">
        <v>109</v>
      </c>
      <c r="H29" s="95" t="s">
        <v>110</v>
      </c>
      <c r="I29" s="84"/>
      <c r="J29" s="84"/>
      <c r="K29" s="84"/>
      <c r="L29" s="84"/>
      <c r="M29" s="84"/>
      <c r="N29" s="84"/>
      <c r="O29" s="84"/>
      <c r="P29" s="84"/>
      <c r="Q29" s="84"/>
      <c r="R29" s="84"/>
    </row>
    <row r="30" spans="1:18" s="27" customFormat="1">
      <c r="A30" s="84"/>
      <c r="B30" s="84"/>
      <c r="C30" s="84"/>
      <c r="D30" s="122" t="s">
        <v>76</v>
      </c>
      <c r="E30" s="122" t="s">
        <v>97</v>
      </c>
      <c r="F30" s="122" t="s">
        <v>5</v>
      </c>
      <c r="G30" s="122" t="s">
        <v>65</v>
      </c>
      <c r="H30" s="122" t="s">
        <v>111</v>
      </c>
      <c r="I30" s="84"/>
      <c r="J30" s="84"/>
      <c r="K30" s="84"/>
      <c r="L30" s="84"/>
      <c r="M30" s="84"/>
      <c r="N30" s="84"/>
      <c r="O30" s="84"/>
      <c r="P30" s="84"/>
      <c r="Q30" s="84"/>
      <c r="R30" s="84"/>
    </row>
    <row r="31" spans="1:18" s="27" customFormat="1">
      <c r="A31" s="84">
        <v>13</v>
      </c>
      <c r="B31" s="84" t="s">
        <v>87</v>
      </c>
      <c r="C31" s="84"/>
      <c r="D31" s="52">
        <f t="shared" ref="D31:D36" si="8">J6</f>
        <v>922519</v>
      </c>
      <c r="E31" s="52">
        <f t="shared" ref="E31:E36" si="9">R19</f>
        <v>21558</v>
      </c>
      <c r="F31" s="52">
        <f>E31-D31</f>
        <v>-900961</v>
      </c>
      <c r="G31" s="68">
        <v>0.37959999999999999</v>
      </c>
      <c r="H31" s="52">
        <f>ROUND(F31*0.3796,0)</f>
        <v>-342005</v>
      </c>
      <c r="I31" s="84"/>
      <c r="J31" s="84"/>
      <c r="K31" s="84"/>
      <c r="L31" s="84"/>
      <c r="M31" s="84"/>
      <c r="N31" s="84"/>
      <c r="O31" s="84"/>
      <c r="P31" s="84"/>
      <c r="Q31" s="84"/>
      <c r="R31" s="84"/>
    </row>
    <row r="32" spans="1:18" s="27" customFormat="1">
      <c r="A32" s="84">
        <v>14</v>
      </c>
      <c r="B32" s="84" t="s">
        <v>88</v>
      </c>
      <c r="C32" s="84"/>
      <c r="D32" s="57">
        <f t="shared" si="8"/>
        <v>72137</v>
      </c>
      <c r="E32" s="52">
        <f t="shared" si="9"/>
        <v>14428</v>
      </c>
      <c r="F32" s="52">
        <f>E32-D32</f>
        <v>-57709</v>
      </c>
      <c r="G32" s="67">
        <f>G31</f>
        <v>0.37959999999999999</v>
      </c>
      <c r="H32" s="52">
        <f t="shared" ref="H32:H36" si="10">ROUND(F32*0.3796,0)</f>
        <v>-21906</v>
      </c>
      <c r="I32" s="84"/>
      <c r="J32" s="84"/>
      <c r="K32" s="84"/>
      <c r="L32" s="84"/>
      <c r="M32" s="84"/>
      <c r="N32" s="84"/>
      <c r="O32" s="84"/>
      <c r="P32" s="84"/>
      <c r="Q32" s="84"/>
      <c r="R32" s="84"/>
    </row>
    <row r="33" spans="1:8" s="27" customFormat="1">
      <c r="A33" s="84">
        <v>15</v>
      </c>
      <c r="B33" s="84" t="s">
        <v>89</v>
      </c>
      <c r="C33" s="84"/>
      <c r="D33" s="57">
        <f t="shared" si="8"/>
        <v>109995</v>
      </c>
      <c r="E33" s="52">
        <f t="shared" si="9"/>
        <v>0</v>
      </c>
      <c r="F33" s="52">
        <f>E33-D33</f>
        <v>-109995</v>
      </c>
      <c r="G33" s="67">
        <f>G31</f>
        <v>0.37959999999999999</v>
      </c>
      <c r="H33" s="52">
        <f t="shared" si="10"/>
        <v>-41754</v>
      </c>
    </row>
    <row r="34" spans="1:8" s="27" customFormat="1">
      <c r="A34" s="84">
        <v>16</v>
      </c>
      <c r="B34" s="84" t="s">
        <v>90</v>
      </c>
      <c r="C34" s="84"/>
      <c r="D34" s="57">
        <f t="shared" si="8"/>
        <v>0</v>
      </c>
      <c r="E34" s="52">
        <f t="shared" si="9"/>
        <v>0</v>
      </c>
      <c r="F34" s="52">
        <f>E34-D34</f>
        <v>0</v>
      </c>
      <c r="G34" s="67">
        <f>G31</f>
        <v>0.37959999999999999</v>
      </c>
      <c r="H34" s="52">
        <f t="shared" si="10"/>
        <v>0</v>
      </c>
    </row>
    <row r="35" spans="1:8" s="27" customFormat="1">
      <c r="A35" s="84">
        <v>17</v>
      </c>
      <c r="B35" s="84" t="s">
        <v>91</v>
      </c>
      <c r="C35" s="84"/>
      <c r="D35" s="57">
        <f t="shared" si="8"/>
        <v>0</v>
      </c>
      <c r="E35" s="52">
        <f t="shared" si="9"/>
        <v>0</v>
      </c>
      <c r="F35" s="52">
        <f>E35-D35</f>
        <v>0</v>
      </c>
      <c r="G35" s="67">
        <f>G31</f>
        <v>0.37959999999999999</v>
      </c>
      <c r="H35" s="52">
        <f t="shared" si="10"/>
        <v>0</v>
      </c>
    </row>
    <row r="36" spans="1:8" s="27" customFormat="1">
      <c r="A36" s="84">
        <v>18</v>
      </c>
      <c r="B36" s="84" t="s">
        <v>92</v>
      </c>
      <c r="C36" s="84"/>
      <c r="D36" s="59">
        <f t="shared" si="8"/>
        <v>326269</v>
      </c>
      <c r="E36" s="65" t="str">
        <f t="shared" si="9"/>
        <v>NA</v>
      </c>
      <c r="F36" s="59">
        <f>-D36</f>
        <v>-326269</v>
      </c>
      <c r="G36" s="69">
        <f>G31</f>
        <v>0.37959999999999999</v>
      </c>
      <c r="H36" s="59">
        <f t="shared" si="10"/>
        <v>-123852</v>
      </c>
    </row>
    <row r="37" spans="1:8" s="27" customFormat="1">
      <c r="A37" s="84"/>
      <c r="B37" s="84"/>
      <c r="C37" s="84"/>
      <c r="D37" s="52">
        <f>SUM(D31:D36)</f>
        <v>1430920</v>
      </c>
      <c r="E37" s="52">
        <f>SUM(E31:E36)</f>
        <v>35986</v>
      </c>
      <c r="F37" s="52">
        <f>SUM(F31:F36)</f>
        <v>-1394934</v>
      </c>
      <c r="G37" s="84"/>
      <c r="H37" s="52">
        <f>SUM(H31:H36)</f>
        <v>-529517</v>
      </c>
    </row>
    <row r="39" spans="1:8">
      <c r="A39" s="15" t="s">
        <v>73</v>
      </c>
      <c r="B39" s="25" t="s">
        <v>112</v>
      </c>
      <c r="C39" s="25"/>
      <c r="D39" s="25"/>
      <c r="E39" s="25"/>
      <c r="F39" s="25"/>
      <c r="G39" s="25"/>
      <c r="H39" s="25"/>
    </row>
    <row r="40" spans="1:8">
      <c r="A40" s="15"/>
      <c r="B40" s="25"/>
      <c r="C40" s="25"/>
      <c r="D40" s="25"/>
      <c r="E40" s="25"/>
      <c r="F40" s="25"/>
      <c r="G40" s="25"/>
      <c r="H40" s="25"/>
    </row>
  </sheetData>
  <mergeCells count="3">
    <mergeCell ref="F2:H2"/>
    <mergeCell ref="L16:P16"/>
    <mergeCell ref="D29:E29"/>
  </mergeCells>
  <pageMargins left="0.25" right="0.25" top="0.75" bottom="0.75" header="0.3" footer="0.3"/>
  <pageSetup scale="66" orientation="landscape" r:id="rId1"/>
  <headerFooter>
    <oddHeader>&amp;RResponse to PSC 3-3
Page &amp;P of &amp;N
Witnesses: John Brown and
William Steven Seelye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0"/>
  <sheetViews>
    <sheetView view="pageBreakPreview" topLeftCell="A16" zoomScaleNormal="100" zoomScaleSheetLayoutView="100" workbookViewId="0">
      <selection activeCell="E44" sqref="E44"/>
    </sheetView>
  </sheetViews>
  <sheetFormatPr defaultColWidth="9.140625" defaultRowHeight="15"/>
  <cols>
    <col min="1" max="1" width="14.42578125" style="19" customWidth="1"/>
    <col min="2" max="2" width="18.5703125" style="19" bestFit="1" customWidth="1"/>
    <col min="3" max="4" width="12.7109375" style="19" customWidth="1"/>
    <col min="5" max="5" width="11.28515625" style="19" bestFit="1" customWidth="1"/>
    <col min="6" max="6" width="12.7109375" style="19" customWidth="1"/>
    <col min="7" max="7" width="12.42578125" style="19" bestFit="1" customWidth="1"/>
    <col min="8" max="8" width="13.140625" style="19" bestFit="1" customWidth="1"/>
    <col min="9" max="9" width="2.7109375" style="19" customWidth="1"/>
    <col min="10" max="10" width="10.7109375" style="19" customWidth="1"/>
    <col min="11" max="11" width="8.140625" style="19" bestFit="1" customWidth="1"/>
    <col min="12" max="12" width="12.7109375" style="19" customWidth="1"/>
    <col min="13" max="14" width="11.28515625" style="19" bestFit="1" customWidth="1"/>
    <col min="15" max="15" width="8.42578125" style="19" bestFit="1" customWidth="1"/>
    <col min="16" max="16" width="11.28515625" style="19" bestFit="1" customWidth="1"/>
    <col min="17" max="17" width="2.7109375" style="19" customWidth="1"/>
    <col min="18" max="18" width="13.7109375" style="19" bestFit="1" customWidth="1"/>
    <col min="19" max="19" width="7.7109375" style="19" bestFit="1" customWidth="1"/>
    <col min="20" max="20" width="7.42578125" style="19" bestFit="1" customWidth="1"/>
    <col min="21" max="16384" width="9.140625" style="19"/>
  </cols>
  <sheetData>
    <row r="1" spans="1:18">
      <c r="A1" s="22" t="s">
        <v>70</v>
      </c>
      <c r="B1" s="7">
        <v>2016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>
      <c r="A2" s="22" t="s">
        <v>72</v>
      </c>
      <c r="B2" s="25"/>
      <c r="C2" s="25"/>
      <c r="D2" s="14" t="s">
        <v>73</v>
      </c>
      <c r="E2" s="25"/>
      <c r="F2" s="125" t="s">
        <v>75</v>
      </c>
      <c r="G2" s="125"/>
      <c r="H2" s="1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>
      <c r="A3" s="25"/>
      <c r="B3" s="25"/>
      <c r="C3" s="25"/>
      <c r="D3" s="16" t="s">
        <v>74</v>
      </c>
      <c r="E3" s="25"/>
      <c r="F3" s="20"/>
      <c r="G3" s="14"/>
      <c r="H3" s="20"/>
      <c r="I3" s="25"/>
      <c r="J3" s="23" t="s">
        <v>76</v>
      </c>
      <c r="K3" s="25"/>
      <c r="L3" s="25"/>
      <c r="M3" s="25"/>
      <c r="N3" s="25"/>
      <c r="O3" s="25"/>
      <c r="P3" s="25"/>
      <c r="Q3" s="25"/>
      <c r="R3" s="25"/>
    </row>
    <row r="4" spans="1:18">
      <c r="A4" s="25"/>
      <c r="B4" s="25"/>
      <c r="C4" s="16">
        <v>2016</v>
      </c>
      <c r="D4" s="16" t="s">
        <v>77</v>
      </c>
      <c r="E4" s="25"/>
      <c r="F4" s="16"/>
      <c r="G4" s="16" t="s">
        <v>78</v>
      </c>
      <c r="H4" s="16"/>
      <c r="I4" s="25"/>
      <c r="J4" s="16" t="s">
        <v>79</v>
      </c>
      <c r="K4" s="25"/>
      <c r="L4" s="25"/>
      <c r="M4" s="25"/>
      <c r="N4" s="25"/>
      <c r="O4" s="16" t="s">
        <v>80</v>
      </c>
      <c r="P4" s="16" t="s">
        <v>80</v>
      </c>
      <c r="Q4" s="25"/>
      <c r="R4" s="25"/>
    </row>
    <row r="5" spans="1:18">
      <c r="A5" s="25"/>
      <c r="B5" s="25"/>
      <c r="C5" s="123" t="s">
        <v>81</v>
      </c>
      <c r="D5" s="10">
        <v>7</v>
      </c>
      <c r="E5" s="25"/>
      <c r="F5" s="123" t="s">
        <v>82</v>
      </c>
      <c r="G5" s="123" t="s">
        <v>83</v>
      </c>
      <c r="H5" s="123" t="s">
        <v>84</v>
      </c>
      <c r="I5" s="25"/>
      <c r="J5" s="123" t="s">
        <v>85</v>
      </c>
      <c r="K5" s="25"/>
      <c r="L5" s="25"/>
      <c r="M5" s="25"/>
      <c r="N5" s="25"/>
      <c r="O5" s="123" t="s">
        <v>65</v>
      </c>
      <c r="P5" s="123" t="s">
        <v>86</v>
      </c>
      <c r="Q5" s="25"/>
      <c r="R5" s="25"/>
    </row>
    <row r="6" spans="1:18">
      <c r="A6" s="25">
        <v>1</v>
      </c>
      <c r="B6" s="25" t="s">
        <v>87</v>
      </c>
      <c r="C6" s="100">
        <v>2328216</v>
      </c>
      <c r="D6" s="2">
        <v>3.1E-2</v>
      </c>
      <c r="E6" s="25"/>
      <c r="F6" s="100">
        <v>-396962</v>
      </c>
      <c r="G6" s="18">
        <f>ROUND(IF(D$5=1,-0.5*D6*C6,-D6*C6),0)</f>
        <v>-72175</v>
      </c>
      <c r="H6" s="18">
        <f t="shared" ref="H6:H11" si="0">SUM(F6:G6)</f>
        <v>-469137</v>
      </c>
      <c r="I6" s="25"/>
      <c r="J6" s="5">
        <f t="shared" ref="J6:J11" si="1">C6+H6</f>
        <v>1859079</v>
      </c>
      <c r="K6" s="25"/>
      <c r="L6" s="25"/>
      <c r="M6" s="25"/>
      <c r="N6" s="25"/>
      <c r="O6" s="11">
        <v>1E-4</v>
      </c>
      <c r="P6" s="17">
        <f>ROUND(IF(D$5=1,-0.5*O6*C6,-O6*C6),0)</f>
        <v>-233</v>
      </c>
      <c r="Q6" s="25"/>
      <c r="R6" s="25"/>
    </row>
    <row r="7" spans="1:18">
      <c r="A7" s="25">
        <v>2</v>
      </c>
      <c r="B7" s="25" t="s">
        <v>88</v>
      </c>
      <c r="C7" s="100">
        <v>219764</v>
      </c>
      <c r="D7" s="2">
        <v>2.3300000000000001E-2</v>
      </c>
      <c r="E7" s="25"/>
      <c r="F7" s="100">
        <v>-28165</v>
      </c>
      <c r="G7" s="18">
        <f>ROUND(IF(D$5=1,-0.5*D7*C7,-D7*C7),0)</f>
        <v>-5121</v>
      </c>
      <c r="H7" s="18">
        <f t="shared" si="0"/>
        <v>-33286</v>
      </c>
      <c r="I7" s="25"/>
      <c r="J7" s="5">
        <f t="shared" si="1"/>
        <v>186478</v>
      </c>
      <c r="K7" s="25"/>
      <c r="L7" s="25"/>
      <c r="M7" s="25"/>
      <c r="N7" s="25"/>
      <c r="O7" s="11">
        <v>2.0000000000000001E-4</v>
      </c>
      <c r="P7" s="5">
        <f>ROUND(IF(D$5=1,-0.5*O7*C7,-O7*C7),0)</f>
        <v>-44</v>
      </c>
      <c r="Q7" s="25"/>
      <c r="R7" s="25"/>
    </row>
    <row r="8" spans="1:18">
      <c r="A8" s="25">
        <v>3</v>
      </c>
      <c r="B8" s="25" t="s">
        <v>89</v>
      </c>
      <c r="C8" s="100">
        <v>249152</v>
      </c>
      <c r="D8" s="2">
        <v>2.69E-2</v>
      </c>
      <c r="E8" s="25"/>
      <c r="F8" s="100">
        <v>-36861</v>
      </c>
      <c r="G8" s="18">
        <f>ROUND(IF(D$5=1,-0.5*D8*C8,-D8*C8),0)</f>
        <v>-6702</v>
      </c>
      <c r="H8" s="18">
        <f t="shared" si="0"/>
        <v>-43563</v>
      </c>
      <c r="I8" s="25"/>
      <c r="J8" s="5">
        <f t="shared" si="1"/>
        <v>205589</v>
      </c>
      <c r="K8" s="25"/>
      <c r="L8" s="25"/>
      <c r="M8" s="25"/>
      <c r="N8" s="25"/>
      <c r="O8" s="11">
        <v>4.1999999999999997E-3</v>
      </c>
      <c r="P8" s="5">
        <f>ROUND(IF(D$5=1,-0.5*O8*C8,-O8*C8),0)</f>
        <v>-1046</v>
      </c>
      <c r="Q8" s="25"/>
      <c r="R8" s="25"/>
    </row>
    <row r="9" spans="1:18">
      <c r="A9" s="25">
        <v>4</v>
      </c>
      <c r="B9" s="25" t="s">
        <v>90</v>
      </c>
      <c r="C9" s="100">
        <v>0</v>
      </c>
      <c r="D9" s="2">
        <v>2.2499999999999999E-2</v>
      </c>
      <c r="E9" s="25"/>
      <c r="F9" s="100">
        <v>0</v>
      </c>
      <c r="G9" s="18">
        <f>ROUND(IF(D$5=1,-0.5*D9*C9,-D9*C9),0)</f>
        <v>0</v>
      </c>
      <c r="H9" s="18">
        <f t="shared" si="0"/>
        <v>0</v>
      </c>
      <c r="I9" s="25"/>
      <c r="J9" s="5">
        <f t="shared" si="1"/>
        <v>0</v>
      </c>
      <c r="K9" s="25"/>
      <c r="L9" s="25"/>
      <c r="M9" s="25"/>
      <c r="N9" s="25"/>
      <c r="O9" s="11">
        <v>0</v>
      </c>
      <c r="P9" s="5">
        <f>IF(D$5=1,-0.5*O9*C9,-O9*C9)</f>
        <v>0</v>
      </c>
      <c r="Q9" s="25"/>
      <c r="R9" s="25"/>
    </row>
    <row r="10" spans="1:18">
      <c r="A10" s="25">
        <v>5</v>
      </c>
      <c r="B10" s="25" t="s">
        <v>91</v>
      </c>
      <c r="C10" s="100">
        <v>0</v>
      </c>
      <c r="D10" s="2">
        <v>2.0500000000000001E-2</v>
      </c>
      <c r="E10" s="25"/>
      <c r="F10" s="100">
        <v>0</v>
      </c>
      <c r="G10" s="18">
        <f>ROUND(IF(D$5=1,-0.5*D10*C10,-D10*C10),0)</f>
        <v>0</v>
      </c>
      <c r="H10" s="18">
        <f t="shared" si="0"/>
        <v>0</v>
      </c>
      <c r="I10" s="25"/>
      <c r="J10" s="5">
        <f t="shared" si="1"/>
        <v>0</v>
      </c>
      <c r="K10" s="25"/>
      <c r="L10" s="25"/>
      <c r="M10" s="25"/>
      <c r="N10" s="25"/>
      <c r="O10" s="11">
        <v>0</v>
      </c>
      <c r="P10" s="5">
        <f>IF(D$5=1,-0.5*O10*C10,-O10*C10)</f>
        <v>0</v>
      </c>
      <c r="Q10" s="25"/>
      <c r="R10" s="25"/>
    </row>
    <row r="11" spans="1:18">
      <c r="A11" s="25">
        <v>6</v>
      </c>
      <c r="B11" s="25" t="s">
        <v>92</v>
      </c>
      <c r="C11" s="101">
        <v>393216</v>
      </c>
      <c r="D11" s="3" t="s">
        <v>93</v>
      </c>
      <c r="E11" s="25"/>
      <c r="F11" s="101">
        <v>-7276</v>
      </c>
      <c r="G11" s="21">
        <f>P12</f>
        <v>-1323</v>
      </c>
      <c r="H11" s="21">
        <f t="shared" si="0"/>
        <v>-8599</v>
      </c>
      <c r="I11" s="25"/>
      <c r="J11" s="6">
        <f t="shared" si="1"/>
        <v>384617</v>
      </c>
      <c r="K11" s="25"/>
      <c r="L11" s="25"/>
      <c r="M11" s="25"/>
      <c r="N11" s="25"/>
      <c r="O11" s="24">
        <v>0</v>
      </c>
      <c r="P11" s="6">
        <f>IF(D$5=1,-0.5*O11*C11,-O11*C11)</f>
        <v>0</v>
      </c>
      <c r="Q11" s="25"/>
      <c r="R11" s="25"/>
    </row>
    <row r="12" spans="1:18">
      <c r="A12" s="25"/>
      <c r="B12" s="25"/>
      <c r="C12" s="18">
        <f>SUM(C6:C11)</f>
        <v>3190348</v>
      </c>
      <c r="D12" s="18"/>
      <c r="E12" s="25"/>
      <c r="F12" s="100">
        <f>SUM(F5:F11)</f>
        <v>-469264</v>
      </c>
      <c r="G12" s="18">
        <f>SUM(G5:G11)</f>
        <v>-85321</v>
      </c>
      <c r="H12" s="18">
        <f>SUM(H5:H11)</f>
        <v>-554585</v>
      </c>
      <c r="I12" s="25"/>
      <c r="J12" s="5">
        <f>SUM(J6:J11)</f>
        <v>2635763</v>
      </c>
      <c r="K12" s="25"/>
      <c r="L12" s="25"/>
      <c r="M12" s="25"/>
      <c r="N12" s="25"/>
      <c r="O12" s="5"/>
      <c r="P12" s="17">
        <f>SUM(P5:P11)</f>
        <v>-1323</v>
      </c>
      <c r="Q12" s="25"/>
      <c r="R12" s="25"/>
    </row>
    <row r="13" spans="1:18" ht="14.25" customHeight="1">
      <c r="A13" s="25"/>
      <c r="B13" s="25"/>
      <c r="C13" s="18"/>
      <c r="D13" s="18"/>
      <c r="E13" s="18"/>
      <c r="F13" s="18"/>
      <c r="G13" s="25"/>
      <c r="H13" s="25"/>
      <c r="I13" s="25"/>
      <c r="J13" s="25"/>
      <c r="K13" s="25"/>
      <c r="L13" s="25"/>
      <c r="M13" s="16"/>
      <c r="N13" s="20"/>
      <c r="O13" s="25"/>
      <c r="P13" s="25"/>
      <c r="Q13" s="25"/>
      <c r="R13" s="25"/>
    </row>
    <row r="14" spans="1:18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16"/>
      <c r="N14" s="20"/>
      <c r="O14" s="25"/>
      <c r="P14" s="25"/>
      <c r="Q14" s="25"/>
      <c r="R14" s="25"/>
    </row>
    <row r="15" spans="1:18">
      <c r="A15" s="84"/>
      <c r="B15" s="84"/>
      <c r="C15" s="84"/>
      <c r="D15" s="95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25"/>
      <c r="R15" s="25"/>
    </row>
    <row r="16" spans="1:18">
      <c r="A16" s="84"/>
      <c r="B16" s="84"/>
      <c r="C16" s="93"/>
      <c r="D16" s="95" t="s">
        <v>94</v>
      </c>
      <c r="E16" s="93"/>
      <c r="F16" s="93"/>
      <c r="G16" s="48">
        <v>0.5</v>
      </c>
      <c r="H16" s="93"/>
      <c r="I16" s="84"/>
      <c r="J16" s="49"/>
      <c r="K16" s="95" t="s">
        <v>95</v>
      </c>
      <c r="L16" s="124" t="s">
        <v>96</v>
      </c>
      <c r="M16" s="124"/>
      <c r="N16" s="124"/>
      <c r="O16" s="124"/>
      <c r="P16" s="124"/>
      <c r="Q16" s="25"/>
      <c r="R16" s="23" t="s">
        <v>97</v>
      </c>
    </row>
    <row r="17" spans="1:18">
      <c r="A17" s="84"/>
      <c r="B17" s="84"/>
      <c r="C17" s="95" t="s">
        <v>76</v>
      </c>
      <c r="D17" s="95" t="s">
        <v>83</v>
      </c>
      <c r="E17" s="95" t="s">
        <v>97</v>
      </c>
      <c r="F17" s="95" t="s">
        <v>97</v>
      </c>
      <c r="G17" s="95" t="s">
        <v>98</v>
      </c>
      <c r="H17" s="95" t="s">
        <v>99</v>
      </c>
      <c r="I17" s="84"/>
      <c r="J17" s="95"/>
      <c r="K17" s="95" t="s">
        <v>100</v>
      </c>
      <c r="L17" s="95"/>
      <c r="M17" s="95" t="s">
        <v>97</v>
      </c>
      <c r="N17" s="95" t="s">
        <v>98</v>
      </c>
      <c r="O17" s="95" t="s">
        <v>95</v>
      </c>
      <c r="P17" s="95"/>
      <c r="Q17" s="25"/>
      <c r="R17" s="16" t="s">
        <v>79</v>
      </c>
    </row>
    <row r="18" spans="1:18">
      <c r="A18" s="84"/>
      <c r="B18" s="84"/>
      <c r="C18" s="122" t="s">
        <v>81</v>
      </c>
      <c r="D18" s="122" t="s">
        <v>101</v>
      </c>
      <c r="E18" s="122" t="s">
        <v>83</v>
      </c>
      <c r="F18" s="122" t="s">
        <v>102</v>
      </c>
      <c r="G18" s="122" t="s">
        <v>78</v>
      </c>
      <c r="H18" s="122" t="s">
        <v>103</v>
      </c>
      <c r="I18" s="84"/>
      <c r="J18" s="122" t="s">
        <v>104</v>
      </c>
      <c r="K18" s="122">
        <f>D5</f>
        <v>7</v>
      </c>
      <c r="L18" s="122" t="s">
        <v>82</v>
      </c>
      <c r="M18" s="122" t="s">
        <v>83</v>
      </c>
      <c r="N18" s="122" t="s">
        <v>86</v>
      </c>
      <c r="O18" s="122" t="s">
        <v>86</v>
      </c>
      <c r="P18" s="122" t="s">
        <v>84</v>
      </c>
      <c r="Q18" s="25"/>
      <c r="R18" s="123" t="s">
        <v>85</v>
      </c>
    </row>
    <row r="19" spans="1:18">
      <c r="A19" s="84">
        <v>7</v>
      </c>
      <c r="B19" s="84" t="s">
        <v>87</v>
      </c>
      <c r="C19" s="87">
        <f t="shared" ref="C19:C24" si="2">C6</f>
        <v>2328216</v>
      </c>
      <c r="D19" s="51">
        <v>0.96899999999999997</v>
      </c>
      <c r="E19" s="87">
        <f>ROUND(C19*-D19,0)</f>
        <v>-2256041</v>
      </c>
      <c r="F19" s="52">
        <f>C19+E19</f>
        <v>72175</v>
      </c>
      <c r="G19" s="52">
        <f t="shared" ref="G19:G24" si="3">ROUND(F19*-$G$16,0)</f>
        <v>-36088</v>
      </c>
      <c r="H19" s="53">
        <f t="shared" ref="H19:H24" si="4">F19+G19</f>
        <v>36087</v>
      </c>
      <c r="I19" s="84"/>
      <c r="J19" s="84">
        <v>15</v>
      </c>
      <c r="K19" s="54">
        <f>IFERROR(VLOOKUP(J19,'Tax Rates'!$A$1:$AA$12,$K$18+1,FALSE),0)</f>
        <v>5.9049999999999998E-2</v>
      </c>
      <c r="L19" s="102">
        <v>-2307971</v>
      </c>
      <c r="M19" s="52">
        <v>0</v>
      </c>
      <c r="N19" s="52">
        <v>0</v>
      </c>
      <c r="O19" s="87">
        <f>ROUND(K19*-H19,0)</f>
        <v>-2131</v>
      </c>
      <c r="P19" s="55">
        <f t="shared" ref="P19:P24" si="5">SUM(L19:O19)</f>
        <v>-2310102</v>
      </c>
      <c r="Q19" s="25"/>
      <c r="R19" s="5">
        <f>C19+P19</f>
        <v>18114</v>
      </c>
    </row>
    <row r="20" spans="1:18">
      <c r="A20" s="84">
        <v>8</v>
      </c>
      <c r="B20" s="84" t="s">
        <v>88</v>
      </c>
      <c r="C20" s="33">
        <f t="shared" si="2"/>
        <v>219764</v>
      </c>
      <c r="D20" s="56">
        <f>-E20/C20</f>
        <v>7.5003185235070352E-2</v>
      </c>
      <c r="E20" s="34">
        <v>-16483</v>
      </c>
      <c r="F20" s="52">
        <f>C20+E20</f>
        <v>203281</v>
      </c>
      <c r="G20" s="52">
        <f t="shared" si="3"/>
        <v>-101641</v>
      </c>
      <c r="H20" s="53">
        <f t="shared" si="4"/>
        <v>101640</v>
      </c>
      <c r="I20" s="84"/>
      <c r="J20" s="84">
        <v>15</v>
      </c>
      <c r="K20" s="54">
        <f>IFERROR(VLOOKUP(J20,'Tax Rates'!$A$1:$AA$12,$K$18+1,FALSE),0)</f>
        <v>5.9049999999999998E-2</v>
      </c>
      <c r="L20" s="102">
        <v>-162747</v>
      </c>
      <c r="M20" s="52">
        <v>0</v>
      </c>
      <c r="N20" s="52">
        <v>0</v>
      </c>
      <c r="O20" s="87">
        <f>ROUND(K20*-H20,0)</f>
        <v>-6002</v>
      </c>
      <c r="P20" s="55">
        <f t="shared" si="5"/>
        <v>-168749</v>
      </c>
      <c r="Q20" s="25"/>
      <c r="R20" s="5">
        <f>C20+P20</f>
        <v>51015</v>
      </c>
    </row>
    <row r="21" spans="1:18">
      <c r="A21" s="84">
        <v>9</v>
      </c>
      <c r="B21" s="84" t="s">
        <v>89</v>
      </c>
      <c r="C21" s="33">
        <f t="shared" si="2"/>
        <v>249152</v>
      </c>
      <c r="D21" s="51">
        <v>1</v>
      </c>
      <c r="E21" s="87">
        <f>ROUND(C21*-D21,0)</f>
        <v>-249152</v>
      </c>
      <c r="F21" s="52">
        <f>C21+E21</f>
        <v>0</v>
      </c>
      <c r="G21" s="57">
        <f t="shared" si="3"/>
        <v>0</v>
      </c>
      <c r="H21" s="53">
        <f t="shared" si="4"/>
        <v>0</v>
      </c>
      <c r="I21" s="84"/>
      <c r="J21" s="84">
        <v>20</v>
      </c>
      <c r="K21" s="54">
        <f>IFERROR(VLOOKUP(J21,'Tax Rates'!$A$1:$AA$12,$K$18+1,FALSE),0)</f>
        <v>4.888E-2</v>
      </c>
      <c r="L21" s="102">
        <v>-249152</v>
      </c>
      <c r="M21" s="52">
        <v>0</v>
      </c>
      <c r="N21" s="52">
        <f t="shared" ref="N21:N24" si="6">G21</f>
        <v>0</v>
      </c>
      <c r="O21" s="87">
        <f>ROUND(K21*-H21,0)</f>
        <v>0</v>
      </c>
      <c r="P21" s="55">
        <f t="shared" si="5"/>
        <v>-249152</v>
      </c>
      <c r="Q21" s="25"/>
      <c r="R21" s="5">
        <f>C21+P21</f>
        <v>0</v>
      </c>
    </row>
    <row r="22" spans="1:18">
      <c r="A22" s="84">
        <v>10</v>
      </c>
      <c r="B22" s="84" t="s">
        <v>90</v>
      </c>
      <c r="C22" s="33">
        <f t="shared" si="2"/>
        <v>0</v>
      </c>
      <c r="D22" s="51">
        <v>0</v>
      </c>
      <c r="E22" s="87">
        <f>ROUND(C22*-D22,0)</f>
        <v>0</v>
      </c>
      <c r="F22" s="52">
        <f>C22+E22</f>
        <v>0</v>
      </c>
      <c r="G22" s="57">
        <f t="shared" si="3"/>
        <v>0</v>
      </c>
      <c r="H22" s="53">
        <f t="shared" si="4"/>
        <v>0</v>
      </c>
      <c r="I22" s="84"/>
      <c r="J22" s="84">
        <v>7</v>
      </c>
      <c r="K22" s="54">
        <f>IFERROR(VLOOKUP(J22,'Tax Rates'!$A$1:$AA$12,$K$18+1,FALSE),0)</f>
        <v>8.9249999999999996E-2</v>
      </c>
      <c r="L22" s="102">
        <v>0</v>
      </c>
      <c r="M22" s="52">
        <f t="shared" ref="M22:M24" si="7">E22</f>
        <v>0</v>
      </c>
      <c r="N22" s="52">
        <f t="shared" si="6"/>
        <v>0</v>
      </c>
      <c r="O22" s="87">
        <f>ROUND(K22*-H22,0)</f>
        <v>0</v>
      </c>
      <c r="P22" s="55">
        <f t="shared" si="5"/>
        <v>0</v>
      </c>
      <c r="Q22" s="25"/>
      <c r="R22" s="5">
        <f>C22+P22</f>
        <v>0</v>
      </c>
    </row>
    <row r="23" spans="1:18">
      <c r="A23" s="84">
        <v>11</v>
      </c>
      <c r="B23" s="84" t="s">
        <v>91</v>
      </c>
      <c r="C23" s="33">
        <f t="shared" si="2"/>
        <v>0</v>
      </c>
      <c r="D23" s="51">
        <v>0</v>
      </c>
      <c r="E23" s="87">
        <f>ROUND(C23*-D23,0)</f>
        <v>0</v>
      </c>
      <c r="F23" s="52">
        <f>C23+E23</f>
        <v>0</v>
      </c>
      <c r="G23" s="57">
        <f t="shared" si="3"/>
        <v>0</v>
      </c>
      <c r="H23" s="53">
        <f t="shared" si="4"/>
        <v>0</v>
      </c>
      <c r="I23" s="84"/>
      <c r="J23" s="84">
        <v>15</v>
      </c>
      <c r="K23" s="54">
        <f>IFERROR(VLOOKUP(J23,'Tax Rates'!$A$1:$AA$12,$K$18+1,FALSE),0)</f>
        <v>5.9049999999999998E-2</v>
      </c>
      <c r="L23" s="102">
        <v>0</v>
      </c>
      <c r="M23" s="52">
        <f t="shared" si="7"/>
        <v>0</v>
      </c>
      <c r="N23" s="52">
        <f t="shared" si="6"/>
        <v>0</v>
      </c>
      <c r="O23" s="87">
        <f>ROUND(K23*-H23,0)</f>
        <v>0</v>
      </c>
      <c r="P23" s="55">
        <f t="shared" si="5"/>
        <v>0</v>
      </c>
      <c r="Q23" s="25"/>
      <c r="R23" s="5">
        <f>C23+P23</f>
        <v>0</v>
      </c>
    </row>
    <row r="24" spans="1:18">
      <c r="A24" s="84">
        <v>12</v>
      </c>
      <c r="B24" s="84" t="s">
        <v>92</v>
      </c>
      <c r="C24" s="88">
        <f t="shared" si="2"/>
        <v>393216</v>
      </c>
      <c r="D24" s="58" t="s">
        <v>105</v>
      </c>
      <c r="E24" s="88">
        <v>0</v>
      </c>
      <c r="F24" s="59">
        <v>0</v>
      </c>
      <c r="G24" s="59">
        <f t="shared" si="3"/>
        <v>0</v>
      </c>
      <c r="H24" s="60">
        <f t="shared" si="4"/>
        <v>0</v>
      </c>
      <c r="I24" s="84"/>
      <c r="J24" s="61" t="s">
        <v>105</v>
      </c>
      <c r="K24" s="62" t="s">
        <v>105</v>
      </c>
      <c r="L24" s="103">
        <v>0</v>
      </c>
      <c r="M24" s="59">
        <f t="shared" si="7"/>
        <v>0</v>
      </c>
      <c r="N24" s="63">
        <f t="shared" si="6"/>
        <v>0</v>
      </c>
      <c r="O24" s="88">
        <v>0</v>
      </c>
      <c r="P24" s="64">
        <f t="shared" si="5"/>
        <v>0</v>
      </c>
      <c r="Q24" s="25"/>
      <c r="R24" s="13" t="s">
        <v>105</v>
      </c>
    </row>
    <row r="25" spans="1:18">
      <c r="A25" s="84"/>
      <c r="B25" s="84"/>
      <c r="C25" s="87">
        <f>SUM(C18:C24)</f>
        <v>3190348</v>
      </c>
      <c r="D25" s="84"/>
      <c r="E25" s="87">
        <f>SUM(E19:E24)</f>
        <v>-2521676</v>
      </c>
      <c r="F25" s="87">
        <f>SUM(F19:F24)</f>
        <v>275456</v>
      </c>
      <c r="G25" s="87">
        <f>SUM(G19:G24)</f>
        <v>-137729</v>
      </c>
      <c r="H25" s="55">
        <f>SUM(H19:H24)</f>
        <v>137727</v>
      </c>
      <c r="I25" s="84"/>
      <c r="J25" s="84"/>
      <c r="K25" s="84"/>
      <c r="L25" s="55">
        <f>SUM(L19:L24)</f>
        <v>-2719870</v>
      </c>
      <c r="M25" s="87">
        <f>SUM(M19:M24)</f>
        <v>0</v>
      </c>
      <c r="N25" s="87">
        <f>SUM(N19:N24)</f>
        <v>0</v>
      </c>
      <c r="O25" s="87">
        <f>SUM(O19:O24)</f>
        <v>-8133</v>
      </c>
      <c r="P25" s="55">
        <f>SUM(P19:P24)</f>
        <v>-2728003</v>
      </c>
      <c r="Q25" s="25"/>
      <c r="R25" s="5">
        <f>SUM(R19:R24)</f>
        <v>69129</v>
      </c>
    </row>
    <row r="26" spans="1:18">
      <c r="A26" s="84"/>
      <c r="B26" s="84"/>
      <c r="C26" s="87"/>
      <c r="D26" s="84"/>
      <c r="E26" s="87"/>
      <c r="F26" s="87"/>
      <c r="G26" s="87"/>
      <c r="H26" s="55"/>
      <c r="I26" s="84"/>
      <c r="J26" s="55"/>
      <c r="K26" s="87"/>
      <c r="L26" s="87"/>
      <c r="M26" s="87"/>
      <c r="N26" s="55"/>
      <c r="O26" s="84"/>
      <c r="P26" s="84"/>
      <c r="Q26" s="25"/>
      <c r="R26" s="25"/>
    </row>
    <row r="27" spans="1:18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25"/>
      <c r="R27" s="25"/>
    </row>
    <row r="28" spans="1:18">
      <c r="A28" s="84"/>
      <c r="B28" s="84"/>
      <c r="C28" s="84"/>
      <c r="D28" s="84"/>
      <c r="E28" s="87"/>
      <c r="F28" s="50" t="s">
        <v>106</v>
      </c>
      <c r="G28" s="84"/>
      <c r="H28" s="67"/>
      <c r="I28" s="84"/>
      <c r="J28" s="84"/>
      <c r="K28" s="84"/>
      <c r="L28" s="84"/>
      <c r="M28" s="84"/>
      <c r="N28" s="84"/>
      <c r="O28" s="84"/>
      <c r="P28" s="84"/>
      <c r="Q28" s="25"/>
      <c r="R28" s="25"/>
    </row>
    <row r="29" spans="1:18">
      <c r="A29" s="84"/>
      <c r="B29" s="84"/>
      <c r="C29" s="84"/>
      <c r="D29" s="124" t="s">
        <v>107</v>
      </c>
      <c r="E29" s="124"/>
      <c r="F29" s="50" t="s">
        <v>108</v>
      </c>
      <c r="G29" s="50" t="s">
        <v>109</v>
      </c>
      <c r="H29" s="95" t="s">
        <v>110</v>
      </c>
      <c r="I29" s="84"/>
      <c r="J29" s="84"/>
      <c r="K29" s="84"/>
      <c r="L29" s="84"/>
      <c r="M29" s="84"/>
      <c r="N29" s="84"/>
      <c r="O29" s="84"/>
      <c r="P29" s="84"/>
      <c r="Q29" s="25"/>
      <c r="R29" s="25"/>
    </row>
    <row r="30" spans="1:18">
      <c r="A30" s="84"/>
      <c r="B30" s="84"/>
      <c r="C30" s="84"/>
      <c r="D30" s="122" t="s">
        <v>76</v>
      </c>
      <c r="E30" s="122" t="s">
        <v>97</v>
      </c>
      <c r="F30" s="122" t="s">
        <v>5</v>
      </c>
      <c r="G30" s="122" t="s">
        <v>65</v>
      </c>
      <c r="H30" s="122" t="s">
        <v>111</v>
      </c>
      <c r="I30" s="84"/>
      <c r="J30" s="84"/>
      <c r="K30" s="84"/>
      <c r="L30" s="84"/>
      <c r="M30" s="84"/>
      <c r="N30" s="84"/>
      <c r="O30" s="84"/>
      <c r="P30" s="84"/>
      <c r="Q30" s="25"/>
      <c r="R30" s="25"/>
    </row>
    <row r="31" spans="1:18">
      <c r="A31" s="84">
        <v>13</v>
      </c>
      <c r="B31" s="84" t="s">
        <v>87</v>
      </c>
      <c r="C31" s="84"/>
      <c r="D31" s="52">
        <f t="shared" ref="D31:D36" si="8">J6</f>
        <v>1859079</v>
      </c>
      <c r="E31" s="52">
        <f t="shared" ref="E31:E36" si="9">R19</f>
        <v>18114</v>
      </c>
      <c r="F31" s="52">
        <f>E31-D31</f>
        <v>-1840965</v>
      </c>
      <c r="G31" s="68">
        <v>0.37959999999999999</v>
      </c>
      <c r="H31" s="52">
        <f>ROUND(F31*0.3796,0)</f>
        <v>-698830</v>
      </c>
      <c r="I31" s="84"/>
      <c r="J31" s="84"/>
      <c r="K31" s="84"/>
      <c r="L31" s="84"/>
      <c r="M31" s="84"/>
      <c r="N31" s="84"/>
      <c r="O31" s="84"/>
      <c r="P31" s="84"/>
      <c r="Q31" s="25"/>
      <c r="R31" s="25"/>
    </row>
    <row r="32" spans="1:18">
      <c r="A32" s="84">
        <v>14</v>
      </c>
      <c r="B32" s="84" t="s">
        <v>88</v>
      </c>
      <c r="C32" s="84"/>
      <c r="D32" s="57">
        <f t="shared" si="8"/>
        <v>186478</v>
      </c>
      <c r="E32" s="52">
        <f t="shared" si="9"/>
        <v>51015</v>
      </c>
      <c r="F32" s="52">
        <f>E32-D32</f>
        <v>-135463</v>
      </c>
      <c r="G32" s="67">
        <f>G31</f>
        <v>0.37959999999999999</v>
      </c>
      <c r="H32" s="52">
        <f t="shared" ref="H32:H36" si="10">ROUND(F32*0.3796,0)</f>
        <v>-51422</v>
      </c>
      <c r="I32" s="84"/>
      <c r="J32" s="84"/>
      <c r="K32" s="84"/>
      <c r="L32" s="84"/>
      <c r="M32" s="84"/>
      <c r="N32" s="84"/>
      <c r="O32" s="84"/>
      <c r="P32" s="84"/>
      <c r="Q32" s="25"/>
      <c r="R32" s="25"/>
    </row>
    <row r="33" spans="1:16">
      <c r="A33" s="84">
        <v>15</v>
      </c>
      <c r="B33" s="84" t="s">
        <v>89</v>
      </c>
      <c r="C33" s="84"/>
      <c r="D33" s="57">
        <f t="shared" si="8"/>
        <v>205589</v>
      </c>
      <c r="E33" s="52">
        <f t="shared" si="9"/>
        <v>0</v>
      </c>
      <c r="F33" s="52">
        <f>E33-D33</f>
        <v>-205589</v>
      </c>
      <c r="G33" s="67">
        <f>G31</f>
        <v>0.37959999999999999</v>
      </c>
      <c r="H33" s="52">
        <f t="shared" si="10"/>
        <v>-78042</v>
      </c>
      <c r="I33" s="84"/>
      <c r="J33" s="84"/>
      <c r="K33" s="84"/>
      <c r="L33" s="84"/>
      <c r="M33" s="84"/>
      <c r="N33" s="84"/>
      <c r="O33" s="84"/>
      <c r="P33" s="84"/>
    </row>
    <row r="34" spans="1:16">
      <c r="A34" s="84">
        <v>16</v>
      </c>
      <c r="B34" s="84" t="s">
        <v>90</v>
      </c>
      <c r="C34" s="84"/>
      <c r="D34" s="57">
        <f t="shared" si="8"/>
        <v>0</v>
      </c>
      <c r="E34" s="52">
        <f t="shared" si="9"/>
        <v>0</v>
      </c>
      <c r="F34" s="52">
        <f>E34-D34</f>
        <v>0</v>
      </c>
      <c r="G34" s="67">
        <f>G31</f>
        <v>0.37959999999999999</v>
      </c>
      <c r="H34" s="52">
        <f t="shared" si="10"/>
        <v>0</v>
      </c>
      <c r="I34" s="84"/>
      <c r="J34" s="84"/>
      <c r="K34" s="84"/>
      <c r="L34" s="84"/>
      <c r="M34" s="84"/>
      <c r="N34" s="84"/>
      <c r="O34" s="84"/>
      <c r="P34" s="84"/>
    </row>
    <row r="35" spans="1:16">
      <c r="A35" s="84">
        <v>17</v>
      </c>
      <c r="B35" s="84" t="s">
        <v>91</v>
      </c>
      <c r="C35" s="84"/>
      <c r="D35" s="57">
        <f t="shared" si="8"/>
        <v>0</v>
      </c>
      <c r="E35" s="52">
        <f t="shared" si="9"/>
        <v>0</v>
      </c>
      <c r="F35" s="52">
        <f>E35-D35</f>
        <v>0</v>
      </c>
      <c r="G35" s="67">
        <f>G31</f>
        <v>0.37959999999999999</v>
      </c>
      <c r="H35" s="52">
        <f t="shared" si="10"/>
        <v>0</v>
      </c>
      <c r="I35" s="84"/>
      <c r="J35" s="84"/>
      <c r="K35" s="84"/>
      <c r="L35" s="84"/>
      <c r="M35" s="84"/>
      <c r="N35" s="84"/>
      <c r="O35" s="84"/>
      <c r="P35" s="84"/>
    </row>
    <row r="36" spans="1:16">
      <c r="A36" s="84">
        <v>18</v>
      </c>
      <c r="B36" s="84" t="s">
        <v>92</v>
      </c>
      <c r="C36" s="84"/>
      <c r="D36" s="59">
        <f t="shared" si="8"/>
        <v>384617</v>
      </c>
      <c r="E36" s="65" t="str">
        <f t="shared" si="9"/>
        <v>NA</v>
      </c>
      <c r="F36" s="59">
        <f>-D36</f>
        <v>-384617</v>
      </c>
      <c r="G36" s="69">
        <f>G31</f>
        <v>0.37959999999999999</v>
      </c>
      <c r="H36" s="59">
        <f t="shared" si="10"/>
        <v>-146001</v>
      </c>
      <c r="I36" s="84"/>
      <c r="J36" s="84"/>
      <c r="K36" s="84"/>
      <c r="L36" s="84"/>
      <c r="M36" s="84"/>
      <c r="N36" s="84"/>
      <c r="O36" s="84"/>
      <c r="P36" s="84"/>
    </row>
    <row r="37" spans="1:16">
      <c r="A37" s="84"/>
      <c r="B37" s="84"/>
      <c r="C37" s="84"/>
      <c r="D37" s="52">
        <f>SUM(D31:D36)</f>
        <v>2635763</v>
      </c>
      <c r="E37" s="52">
        <f>SUM(E31:E36)</f>
        <v>69129</v>
      </c>
      <c r="F37" s="52">
        <f>SUM(F31:F36)</f>
        <v>-2566634</v>
      </c>
      <c r="G37" s="84"/>
      <c r="H37" s="52">
        <f>SUM(H31:H36)</f>
        <v>-974295</v>
      </c>
      <c r="I37" s="84"/>
      <c r="J37" s="84"/>
      <c r="K37" s="84"/>
      <c r="L37" s="84"/>
      <c r="M37" s="84"/>
      <c r="N37" s="84"/>
      <c r="O37" s="84"/>
      <c r="P37" s="84"/>
    </row>
    <row r="39" spans="1:16">
      <c r="A39" s="15" t="s">
        <v>73</v>
      </c>
      <c r="B39" s="25" t="s">
        <v>112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  <row r="40" spans="1:16">
      <c r="A40" s="1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</row>
  </sheetData>
  <mergeCells count="3">
    <mergeCell ref="F2:H2"/>
    <mergeCell ref="L16:P16"/>
    <mergeCell ref="D29:E29"/>
  </mergeCells>
  <pageMargins left="0.25" right="0.25" top="0.75" bottom="0.75" header="0.3" footer="0.3"/>
  <pageSetup scale="66" orientation="landscape" r:id="rId1"/>
  <headerFooter>
    <oddHeader>&amp;RResponse to PSC 3-3
Page &amp;P of &amp;N
Witnesses: John Brown and
William Steven Seelye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933265210834EA74734FDD2FA6C5F" ma:contentTypeVersion="12" ma:contentTypeDescription="Create a new document." ma:contentTypeScope="" ma:versionID="78041e5ec64f8e676c7aa7c9560c2d1f">
  <xsd:schema xmlns:xsd="http://www.w3.org/2001/XMLSchema" xmlns:xs="http://www.w3.org/2001/XMLSchema" xmlns:p="http://schemas.microsoft.com/office/2006/metadata/properties" xmlns:ns2="2b9e1b56-1bc3-4bb6-83f9-6df8fea7da23" xmlns:ns3="0a97646d-5e46-4532-99d2-95b688ae3204" targetNamespace="http://schemas.microsoft.com/office/2006/metadata/properties" ma:root="true" ma:fieldsID="9be589ad3e65044d44483e4dfd03f56e" ns2:_="" ns3:_="">
    <xsd:import namespace="2b9e1b56-1bc3-4bb6-83f9-6df8fea7da23"/>
    <xsd:import namespace="0a97646d-5e46-4532-99d2-95b688ae3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e1b56-1bc3-4bb6-83f9-6df8fea7d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7646d-5e46-4532-99d2-95b688ae3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D6B73B-2744-4CAD-BBC7-8197D6E8A12A}"/>
</file>

<file path=customXml/itemProps2.xml><?xml version="1.0" encoding="utf-8"?>
<ds:datastoreItem xmlns:ds="http://schemas.openxmlformats.org/officeDocument/2006/customXml" ds:itemID="{0C4256B6-726C-4854-9115-0B316E140926}"/>
</file>

<file path=customXml/itemProps3.xml><?xml version="1.0" encoding="utf-8"?>
<ds:datastoreItem xmlns:ds="http://schemas.openxmlformats.org/officeDocument/2006/customXml" ds:itemID="{29F466E8-D1FE-4AB5-A7FD-60EA964752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Delta Natural Gas Company Inc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Wesolosky</dc:creator>
  <cp:keywords/>
  <dc:description/>
  <cp:lastModifiedBy>Steve Seelye</cp:lastModifiedBy>
  <cp:revision/>
  <dcterms:created xsi:type="dcterms:W3CDTF">2010-04-18T23:26:28Z</dcterms:created>
  <dcterms:modified xsi:type="dcterms:W3CDTF">2021-09-03T19:24:52Z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0x010100475933265210834EA74734FDD2FA6C5F</vt:lpwstr>
  </property>
</Properties>
</file>