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Kentucky\2021 Rate Case\"/>
    </mc:Choice>
  </mc:AlternateContent>
  <xr:revisionPtr revIDLastSave="0" documentId="8_{850F63EF-7080-43F2-955C-329CA76A6193}" xr6:coauthVersionLast="45" xr6:coauthVersionMax="45" xr10:uidLastSave="{00000000-0000-0000-0000-000000000000}"/>
  <bookViews>
    <workbookView xWindow="-120" yWindow="-120" windowWidth="29040" windowHeight="17790" firstSheet="1" activeTab="1" xr2:uid="{00000000-000D-0000-FFFF-FFFF00000000}"/>
  </bookViews>
  <sheets>
    <sheet name="Outside Chgs v. Internal Chg" sheetId="5" r:id="rId1"/>
    <sheet name="Outside Service Chgs-Per Hour" sheetId="4" r:id="rId2"/>
    <sheet name="Internal Chgs-Per Hour" sheetId="6" r:id="rId3"/>
    <sheet name="Net Service Charges-Per Hour" sheetId="7" r:id="rId4"/>
    <sheet name="Pivot-Total Hours" sheetId="8" r:id="rId5"/>
    <sheet name="Service and ACO per Customer" sheetId="3" r:id="rId6"/>
    <sheet name="ACO Support" sheetId="9" r:id="rId7"/>
    <sheet name="Inflation Calc" sheetId="2" r:id="rId8"/>
  </sheets>
  <definedNames>
    <definedName name="_xlnm.Print_Area" localSheetId="2">'Internal Chgs-Per Hour'!$A$1:$E$61</definedName>
    <definedName name="_xlnm.Print_Area" localSheetId="3">'Net Service Charges-Per Hour'!$A$1:$F$31</definedName>
    <definedName name="_xlnm.Print_Area" localSheetId="4">'Pivot-Total Hours'!$A$1:$D$28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3" l="1"/>
  <c r="C12" i="3"/>
  <c r="M34" i="9"/>
  <c r="L34" i="9"/>
  <c r="K34" i="9"/>
  <c r="J34" i="9"/>
  <c r="I34" i="9"/>
  <c r="H34" i="9"/>
  <c r="G34" i="9"/>
  <c r="F34" i="9"/>
  <c r="E34" i="9"/>
  <c r="D34" i="9"/>
  <c r="C34" i="9"/>
  <c r="B34" i="9"/>
  <c r="M22" i="9"/>
  <c r="L22" i="9"/>
  <c r="K22" i="9"/>
  <c r="J22" i="9"/>
  <c r="I22" i="9"/>
  <c r="H22" i="9"/>
  <c r="G22" i="9"/>
  <c r="F22" i="9"/>
  <c r="E22" i="9"/>
  <c r="D22" i="9"/>
  <c r="C22" i="9"/>
  <c r="B22" i="9"/>
  <c r="J17" i="9"/>
  <c r="I17" i="9"/>
  <c r="H17" i="9"/>
  <c r="G17" i="9"/>
  <c r="F17" i="9"/>
  <c r="AA16" i="9"/>
  <c r="Y16" i="9"/>
  <c r="X16" i="9"/>
  <c r="W16" i="9"/>
  <c r="V16" i="9"/>
  <c r="U16" i="9"/>
  <c r="M16" i="9"/>
  <c r="J16" i="9"/>
  <c r="I16" i="9"/>
  <c r="H16" i="9"/>
  <c r="G16" i="9"/>
  <c r="F16" i="9"/>
  <c r="AI15" i="9"/>
  <c r="AR15" i="9" s="1"/>
  <c r="AC15" i="9"/>
  <c r="N15" i="9"/>
  <c r="AB14" i="9"/>
  <c r="AB16" i="9" s="1"/>
  <c r="AA14" i="9"/>
  <c r="Z14" i="9"/>
  <c r="Z16" i="9" s="1"/>
  <c r="T14" i="9"/>
  <c r="T16" i="9" s="1"/>
  <c r="S14" i="9"/>
  <c r="S16" i="9" s="1"/>
  <c r="R14" i="9"/>
  <c r="R16" i="9" s="1"/>
  <c r="Q14" i="9"/>
  <c r="Q16" i="9" s="1"/>
  <c r="M14" i="9"/>
  <c r="L14" i="9"/>
  <c r="L16" i="9" s="1"/>
  <c r="K14" i="9"/>
  <c r="K16" i="9" s="1"/>
  <c r="E14" i="9"/>
  <c r="E17" i="9" s="1"/>
  <c r="D14" i="9"/>
  <c r="D16" i="9" s="1"/>
  <c r="C14" i="9"/>
  <c r="C16" i="9" s="1"/>
  <c r="B14" i="9"/>
  <c r="B17" i="9" s="1"/>
  <c r="AQ13" i="9"/>
  <c r="AP13" i="9"/>
  <c r="AO13" i="9"/>
  <c r="AN13" i="9"/>
  <c r="AM13" i="9"/>
  <c r="AL13" i="9"/>
  <c r="AK13" i="9"/>
  <c r="AJ13" i="9"/>
  <c r="AI13" i="9"/>
  <c r="AH13" i="9"/>
  <c r="AG13" i="9"/>
  <c r="AF13" i="9"/>
  <c r="AC13" i="9"/>
  <c r="N13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C12" i="9"/>
  <c r="N12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C11" i="9"/>
  <c r="N11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C10" i="9"/>
  <c r="N10" i="9"/>
  <c r="AQ9" i="9"/>
  <c r="AP9" i="9"/>
  <c r="AO9" i="9"/>
  <c r="AN9" i="9"/>
  <c r="AM9" i="9"/>
  <c r="AL9" i="9"/>
  <c r="AK9" i="9"/>
  <c r="AJ9" i="9"/>
  <c r="AI9" i="9"/>
  <c r="AH9" i="9"/>
  <c r="AG9" i="9"/>
  <c r="AF9" i="9"/>
  <c r="AC9" i="9"/>
  <c r="N9" i="9"/>
  <c r="AQ8" i="9"/>
  <c r="AP8" i="9"/>
  <c r="AO8" i="9"/>
  <c r="AN8" i="9"/>
  <c r="AM8" i="9"/>
  <c r="AL8" i="9"/>
  <c r="AK8" i="9"/>
  <c r="AJ8" i="9"/>
  <c r="AI8" i="9"/>
  <c r="AH8" i="9"/>
  <c r="AG8" i="9"/>
  <c r="AF8" i="9"/>
  <c r="AC8" i="9"/>
  <c r="C9" i="3" s="1"/>
  <c r="N8" i="9"/>
  <c r="AQ7" i="9"/>
  <c r="AP7" i="9"/>
  <c r="AO7" i="9"/>
  <c r="AN7" i="9"/>
  <c r="AM7" i="9"/>
  <c r="AL7" i="9"/>
  <c r="AK7" i="9"/>
  <c r="AJ7" i="9"/>
  <c r="AI7" i="9"/>
  <c r="AH7" i="9"/>
  <c r="AG7" i="9"/>
  <c r="AF7" i="9"/>
  <c r="AC7" i="9"/>
  <c r="N7" i="9"/>
  <c r="AQ6" i="9"/>
  <c r="AP6" i="9"/>
  <c r="AO6" i="9"/>
  <c r="AN6" i="9"/>
  <c r="AM6" i="9"/>
  <c r="AL6" i="9"/>
  <c r="AK6" i="9"/>
  <c r="AJ6" i="9"/>
  <c r="AI6" i="9"/>
  <c r="AH6" i="9"/>
  <c r="AG6" i="9"/>
  <c r="AF6" i="9"/>
  <c r="AC6" i="9"/>
  <c r="N6" i="9"/>
  <c r="AQ5" i="9"/>
  <c r="AP5" i="9"/>
  <c r="AO5" i="9"/>
  <c r="AN5" i="9"/>
  <c r="AM5" i="9"/>
  <c r="AL5" i="9"/>
  <c r="AK5" i="9"/>
  <c r="AK14" i="9" s="1"/>
  <c r="AK16" i="9" s="1"/>
  <c r="AJ5" i="9"/>
  <c r="AJ14" i="9" s="1"/>
  <c r="AJ16" i="9" s="1"/>
  <c r="AI5" i="9"/>
  <c r="AH5" i="9"/>
  <c r="AG5" i="9"/>
  <c r="AF5" i="9"/>
  <c r="AC5" i="9"/>
  <c r="N5" i="9"/>
  <c r="AO14" i="9" l="1"/>
  <c r="AO16" i="9" s="1"/>
  <c r="AP14" i="9"/>
  <c r="AP16" i="9" s="1"/>
  <c r="AR7" i="9"/>
  <c r="AR11" i="9"/>
  <c r="C17" i="9"/>
  <c r="AR6" i="9"/>
  <c r="AR8" i="9"/>
  <c r="AR10" i="9"/>
  <c r="AR12" i="9"/>
  <c r="AF14" i="9"/>
  <c r="AF16" i="9" s="1"/>
  <c r="AN14" i="9"/>
  <c r="AN16" i="9" s="1"/>
  <c r="N14" i="9"/>
  <c r="F8" i="3" s="1"/>
  <c r="AR9" i="9"/>
  <c r="AR13" i="9"/>
  <c r="AG14" i="9"/>
  <c r="AG16" i="9" s="1"/>
  <c r="AH14" i="9"/>
  <c r="AH16" i="9" s="1"/>
  <c r="AI14" i="9"/>
  <c r="AI16" i="9" s="1"/>
  <c r="AQ14" i="9"/>
  <c r="AQ16" i="9" s="1"/>
  <c r="C8" i="3"/>
  <c r="AL14" i="9"/>
  <c r="AL16" i="9" s="1"/>
  <c r="B16" i="9"/>
  <c r="AM14" i="9"/>
  <c r="AM16" i="9" s="1"/>
  <c r="E16" i="9"/>
  <c r="O9" i="9"/>
  <c r="N16" i="9"/>
  <c r="D17" i="9"/>
  <c r="AR5" i="9"/>
  <c r="AC14" i="9"/>
  <c r="F9" i="3" s="1"/>
  <c r="O11" i="9" l="1"/>
  <c r="O10" i="9"/>
  <c r="AD9" i="9"/>
  <c r="AD13" i="9"/>
  <c r="O8" i="9"/>
  <c r="AD10" i="9"/>
  <c r="O12" i="9"/>
  <c r="O7" i="9"/>
  <c r="O14" i="9" s="1"/>
  <c r="O5" i="9"/>
  <c r="AD5" i="9"/>
  <c r="O13" i="9"/>
  <c r="O6" i="9"/>
  <c r="AD12" i="9"/>
  <c r="AD8" i="9"/>
  <c r="AD14" i="9" s="1"/>
  <c r="AC16" i="9"/>
  <c r="AD7" i="9"/>
  <c r="AD6" i="9"/>
  <c r="AR14" i="9"/>
  <c r="AD11" i="9"/>
  <c r="AR16" i="9" l="1"/>
  <c r="AS11" i="9"/>
  <c r="AS7" i="9"/>
  <c r="AS8" i="9"/>
  <c r="AS13" i="9"/>
  <c r="AS12" i="9"/>
  <c r="AS6" i="9"/>
  <c r="AS10" i="9"/>
  <c r="AS9" i="9"/>
  <c r="AS5" i="9"/>
  <c r="AS14" i="9" l="1"/>
  <c r="D8" i="6" l="1"/>
  <c r="B12" i="6"/>
  <c r="C12" i="6"/>
  <c r="C21" i="6" l="1"/>
  <c r="D17" i="4" l="1"/>
  <c r="C17" i="4"/>
  <c r="B15" i="2" l="1"/>
  <c r="B16" i="2" s="1"/>
  <c r="E21" i="7"/>
  <c r="B12" i="8" s="1"/>
  <c r="D21" i="7"/>
  <c r="B11" i="8" s="1"/>
  <c r="C21" i="7"/>
  <c r="B10" i="8" s="1"/>
  <c r="B21" i="7"/>
  <c r="B9" i="8" s="1"/>
  <c r="E17" i="7"/>
  <c r="E15" i="7"/>
  <c r="E13" i="7"/>
  <c r="D17" i="7"/>
  <c r="D15" i="7"/>
  <c r="D13" i="7"/>
  <c r="C17" i="7"/>
  <c r="C15" i="7"/>
  <c r="C13" i="7"/>
  <c r="B17" i="7"/>
  <c r="B15" i="7"/>
  <c r="B13" i="7"/>
  <c r="E9" i="7"/>
  <c r="D9" i="7"/>
  <c r="C9" i="7"/>
  <c r="B9" i="7"/>
  <c r="B67" i="4" l="1"/>
  <c r="B46" i="4"/>
  <c r="B13" i="8"/>
  <c r="F21" i="7"/>
  <c r="E19" i="7"/>
  <c r="E23" i="7" s="1"/>
  <c r="F17" i="7"/>
  <c r="D19" i="7"/>
  <c r="D23" i="7" s="1"/>
  <c r="F15" i="7"/>
  <c r="F13" i="7"/>
  <c r="B19" i="7"/>
  <c r="B23" i="7" s="1"/>
  <c r="F9" i="7"/>
  <c r="C19" i="7"/>
  <c r="C23" i="7" s="1"/>
  <c r="D46" i="4" l="1"/>
  <c r="D48" i="4" s="1"/>
  <c r="D53" i="4" s="1"/>
  <c r="E46" i="4"/>
  <c r="E48" i="4" s="1"/>
  <c r="E53" i="4" s="1"/>
  <c r="C46" i="4"/>
  <c r="C48" i="4" s="1"/>
  <c r="C53" i="4" s="1"/>
  <c r="B48" i="4"/>
  <c r="B53" i="4" s="1"/>
  <c r="G53" i="4" s="1"/>
  <c r="C9" i="8" s="1"/>
  <c r="D9" i="8" s="1"/>
  <c r="D67" i="4"/>
  <c r="C67" i="4"/>
  <c r="B71" i="4"/>
  <c r="B70" i="4"/>
  <c r="B72" i="4"/>
  <c r="B73" i="4"/>
  <c r="F19" i="7"/>
  <c r="F23" i="7" s="1"/>
  <c r="C49" i="6"/>
  <c r="B49" i="6"/>
  <c r="C48" i="6"/>
  <c r="B48" i="6"/>
  <c r="C47" i="6"/>
  <c r="B47" i="6"/>
  <c r="C46" i="6"/>
  <c r="B46" i="6"/>
  <c r="C36" i="6"/>
  <c r="C31" i="6"/>
  <c r="C26" i="6"/>
  <c r="D15" i="8"/>
  <c r="D11" i="6"/>
  <c r="D10" i="6"/>
  <c r="D9" i="6"/>
  <c r="B76" i="4" l="1"/>
  <c r="B6" i="5"/>
  <c r="C71" i="4"/>
  <c r="C70" i="4"/>
  <c r="C73" i="4"/>
  <c r="C72" i="4"/>
  <c r="D73" i="4"/>
  <c r="D70" i="4"/>
  <c r="D71" i="4"/>
  <c r="D72" i="4"/>
  <c r="D47" i="6"/>
  <c r="C7" i="5" s="1"/>
  <c r="D49" i="6"/>
  <c r="C9" i="5" s="1"/>
  <c r="B50" i="6"/>
  <c r="C37" i="6"/>
  <c r="D46" i="6"/>
  <c r="C6" i="5" s="1"/>
  <c r="D6" i="5" s="1"/>
  <c r="E6" i="5" s="1"/>
  <c r="D48" i="6"/>
  <c r="C8" i="5" s="1"/>
  <c r="C50" i="6"/>
  <c r="C10" i="3"/>
  <c r="D9" i="3" s="1"/>
  <c r="F10" i="3"/>
  <c r="G9" i="3" s="1"/>
  <c r="D76" i="4" l="1"/>
  <c r="C76" i="4"/>
  <c r="D8" i="3"/>
  <c r="D10" i="3" s="1"/>
  <c r="G8" i="3"/>
  <c r="G10" i="3" s="1"/>
  <c r="C14" i="3"/>
  <c r="C10" i="5" s="1"/>
  <c r="F14" i="3"/>
  <c r="B21" i="2"/>
  <c r="B22" i="2" s="1"/>
  <c r="B18" i="4" s="1"/>
  <c r="B9" i="2"/>
  <c r="B10" i="2" s="1"/>
  <c r="C19" i="3" s="1"/>
  <c r="E76" i="4" l="1"/>
  <c r="C12" i="8" s="1"/>
  <c r="D12" i="8" s="1"/>
  <c r="B9" i="5"/>
  <c r="D9" i="5" s="1"/>
  <c r="E9" i="5" s="1"/>
  <c r="F19" i="3"/>
  <c r="F21" i="3" s="1"/>
  <c r="C21" i="3"/>
  <c r="B36" i="4"/>
  <c r="B85" i="4"/>
  <c r="B87" i="4" s="1"/>
  <c r="B10" i="5" s="1"/>
  <c r="D10" i="5" s="1"/>
  <c r="E10" i="5" s="1"/>
  <c r="B14" i="4"/>
  <c r="B13" i="4"/>
  <c r="B16" i="4"/>
  <c r="B15" i="4"/>
  <c r="C29" i="4" l="1"/>
  <c r="C35" i="4" s="1"/>
  <c r="B29" i="4"/>
  <c r="B35" i="4" s="1"/>
  <c r="D35" i="4" s="1"/>
  <c r="B17" i="4"/>
  <c r="E17" i="4" s="1"/>
  <c r="C10" i="8" l="1"/>
  <c r="D10" i="8" s="1"/>
  <c r="B7" i="5"/>
  <c r="D7" i="5" s="1"/>
  <c r="E7" i="5" s="1"/>
  <c r="B8" i="5"/>
  <c r="D8" i="5" s="1"/>
  <c r="E8" i="5" s="1"/>
  <c r="C11" i="8"/>
  <c r="D11" i="8" s="1"/>
  <c r="D13" i="8" l="1"/>
  <c r="D17" i="8" s="1"/>
</calcChain>
</file>

<file path=xl/sharedStrings.xml><?xml version="1.0" encoding="utf-8"?>
<sst xmlns="http://schemas.openxmlformats.org/spreadsheetml/2006/main" count="288" uniqueCount="173">
  <si>
    <t>ACO Master Allocation File</t>
  </si>
  <si>
    <t>State</t>
  </si>
  <si>
    <t>15-1510-PA</t>
  </si>
  <si>
    <t>15-900-PA-LWW</t>
  </si>
  <si>
    <t>23-Ohio</t>
  </si>
  <si>
    <t>24-Illinois</t>
  </si>
  <si>
    <t>25-New Jersey</t>
  </si>
  <si>
    <t>31-Texas</t>
  </si>
  <si>
    <t>32-Indiana</t>
  </si>
  <si>
    <t>34-Viginia</t>
  </si>
  <si>
    <t>35-North Carolina</t>
  </si>
  <si>
    <t>Total</t>
  </si>
  <si>
    <t>Posted to G/L 471093</t>
  </si>
  <si>
    <t>Difference</t>
  </si>
  <si>
    <t>Total Allocated &amp; Billed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</si>
  <si>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</si>
  <si>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</si>
  <si>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</si>
  <si>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</si>
  <si>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</si>
  <si>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</si>
  <si>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</si>
  <si>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</si>
  <si>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</si>
  <si>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</si>
  <si>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</si>
  <si>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</si>
  <si>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calc %</t>
  </si>
  <si>
    <t xml:space="preserve"> </t>
  </si>
  <si>
    <t>Customer Counts</t>
  </si>
  <si>
    <t>Aqua America, Inc.</t>
  </si>
  <si>
    <t>Inflation Calculation</t>
  </si>
  <si>
    <t>CPI Index</t>
  </si>
  <si>
    <t>Annual CPI</t>
  </si>
  <si>
    <t>CPI Differential</t>
  </si>
  <si>
    <t>CPI Index Increase</t>
  </si>
  <si>
    <t xml:space="preserve">Average Customer Service Cost </t>
  </si>
  <si>
    <t>Per Customer</t>
  </si>
  <si>
    <t>Service Company Call Center</t>
  </si>
  <si>
    <t>IL Allocation</t>
  </si>
  <si>
    <t>Total Aqua</t>
  </si>
  <si>
    <t>Allocation</t>
  </si>
  <si>
    <t>ACO Direct</t>
  </si>
  <si>
    <t>Total ACO</t>
  </si>
  <si>
    <t xml:space="preserve">Wghtd Customer </t>
  </si>
  <si>
    <t>ACO per Wghtd Customer</t>
  </si>
  <si>
    <t>2016 American Water Works Assoc</t>
  </si>
  <si>
    <t>Benchmarking Survey</t>
  </si>
  <si>
    <t>Customer Service Cost per Account</t>
  </si>
  <si>
    <t>Average Per Hour Rate Outside Services</t>
  </si>
  <si>
    <t>Accounting, Engineering, Legal, and Management Consulting Services</t>
  </si>
  <si>
    <t>1.</t>
  </si>
  <si>
    <t>Engineering</t>
  </si>
  <si>
    <t>Source:  2011 PSMJ A/E Fees &amp; Pricing Benchmark Report, 26th Edition (adjusted for inflation)</t>
  </si>
  <si>
    <t>Median</t>
  </si>
  <si>
    <t>Billing Rates</t>
  </si>
  <si>
    <t>Firm #1</t>
  </si>
  <si>
    <t>Firm #2</t>
  </si>
  <si>
    <t>Average</t>
  </si>
  <si>
    <t>Principal</t>
  </si>
  <si>
    <t>Project Manager</t>
  </si>
  <si>
    <t>Senior Engineer</t>
  </si>
  <si>
    <t>Project Engineer</t>
  </si>
  <si>
    <t>2.</t>
  </si>
  <si>
    <t>Legal</t>
  </si>
  <si>
    <t>Source: PA Law, 2015 Edition (2014 data) published by ALM Legal Intelligencer adjusted for inflation</t>
  </si>
  <si>
    <t>Average Billing Rate for IL Law Firms</t>
  </si>
  <si>
    <t>Billing Rate</t>
  </si>
  <si>
    <t>Associate</t>
  </si>
  <si>
    <t>Partner</t>
  </si>
  <si>
    <t>PA Law Survey</t>
  </si>
  <si>
    <t>Firm #3</t>
  </si>
  <si>
    <t>Firm #4</t>
  </si>
  <si>
    <t>Firm #5</t>
  </si>
  <si>
    <t>3.</t>
  </si>
  <si>
    <t>Accountant</t>
  </si>
  <si>
    <t>Average Hourly Billing Rate</t>
  </si>
  <si>
    <t>Senior</t>
  </si>
  <si>
    <t>Manager</t>
  </si>
  <si>
    <t>Director</t>
  </si>
  <si>
    <t>Standard Rates</t>
  </si>
  <si>
    <t>Inflation Adjustment</t>
  </si>
  <si>
    <t>Typical Percent of Time</t>
  </si>
  <si>
    <t>Spent on a Consulting Project</t>
  </si>
  <si>
    <t>Weighted</t>
  </si>
  <si>
    <t>4.</t>
  </si>
  <si>
    <t>Management Consultant</t>
  </si>
  <si>
    <t>5.</t>
  </si>
  <si>
    <t xml:space="preserve">Rate obtained from the "Benchmarking: Performance Indicators for Water and Wastewater Utilities: </t>
  </si>
  <si>
    <t>Cost per Account</t>
  </si>
  <si>
    <t>2016 Edition" conducted by the American Water Works Assoc which uses the 2015 data set</t>
  </si>
  <si>
    <t>Aqua Illinois, Inc.</t>
  </si>
  <si>
    <t>Comparison of average hourly rates to market rates in Illinois</t>
  </si>
  <si>
    <t>Type of Employee</t>
  </si>
  <si>
    <t>Market</t>
  </si>
  <si>
    <t>IL</t>
  </si>
  <si>
    <t>%</t>
  </si>
  <si>
    <t>Accounting</t>
  </si>
  <si>
    <t>Management Professionals</t>
  </si>
  <si>
    <t>Average Per Hour Rate Affiliate Services</t>
  </si>
  <si>
    <t>Service Allocations</t>
  </si>
  <si>
    <t>Type of Emplyee</t>
  </si>
  <si>
    <t>Sum of HOURS</t>
  </si>
  <si>
    <t>Sum of DIST_AMT</t>
  </si>
  <si>
    <t>Per hour</t>
  </si>
  <si>
    <t>Grand Total</t>
  </si>
  <si>
    <t>Sundry Allocations</t>
  </si>
  <si>
    <t>Dept Category</t>
  </si>
  <si>
    <t>Account Category</t>
  </si>
  <si>
    <t>Sum of Trans Amt</t>
  </si>
  <si>
    <t>Comp Hardware/Software Maint</t>
  </si>
  <si>
    <t>Contract Services</t>
  </si>
  <si>
    <t>Travel Expense</t>
  </si>
  <si>
    <t>Accounting Total</t>
  </si>
  <si>
    <t>Engineering Total</t>
  </si>
  <si>
    <t>Legal Total</t>
  </si>
  <si>
    <t>Management Professionals Total</t>
  </si>
  <si>
    <t>Total Service and Sundry Charges</t>
  </si>
  <si>
    <t>Rate per hour ASI charges Aqua IL</t>
  </si>
  <si>
    <t>Hours</t>
  </si>
  <si>
    <t>Amount</t>
  </si>
  <si>
    <t>Average Per Hour Rate Benefit of Service Co.</t>
  </si>
  <si>
    <t>Over Outside Professionals-Less Exclusion Costs</t>
  </si>
  <si>
    <t>Accounting Services</t>
  </si>
  <si>
    <t>Engineering Services</t>
  </si>
  <si>
    <t>Legal Services</t>
  </si>
  <si>
    <t>Total Services Charges</t>
  </si>
  <si>
    <t>Less Excludable:</t>
  </si>
  <si>
    <t xml:space="preserve">  Contract Services</t>
  </si>
  <si>
    <t xml:space="preserve">  Travel Expenses</t>
  </si>
  <si>
    <t xml:space="preserve">  Computer Hardware/Software</t>
  </si>
  <si>
    <t>Net Service Charges</t>
  </si>
  <si>
    <t>Total Hours</t>
  </si>
  <si>
    <t>Average Hourly Rate</t>
  </si>
  <si>
    <t>Contract Services, Travel Expenses, and Computer Hardware/Software charges not included in Service Charge Hourly Rate:</t>
  </si>
  <si>
    <t>Contract Services - charges that have already been assigned to outside professionals</t>
  </si>
  <si>
    <t>Travel Expenses - charges would be billed separately and in addition to an outside contractor's hourly wage</t>
  </si>
  <si>
    <t>Computer Hardware/Software - charges would be billed separately and in addition to an outside contractor's hourly wage</t>
  </si>
  <si>
    <t>Average Costs of Outside Professionals vs.</t>
  </si>
  <si>
    <t>Service Co. Cost by Total Hours</t>
  </si>
  <si>
    <t>Values</t>
  </si>
  <si>
    <t>Average Outside</t>
  </si>
  <si>
    <t>Outside</t>
  </si>
  <si>
    <t>Rate</t>
  </si>
  <si>
    <t>Cost for Service</t>
  </si>
  <si>
    <t>Total Service Cost</t>
  </si>
  <si>
    <t>- Hours worked actually understates the cost advantages of the Service Co.  An</t>
  </si>
  <si>
    <t>outside contractor would bill for every hour worked compared to a exempt Service Co.</t>
  </si>
  <si>
    <t>employee who charges a maximum of 8 hours per day.</t>
  </si>
  <si>
    <t>Management</t>
  </si>
  <si>
    <t>Project Management</t>
  </si>
  <si>
    <t>Business Consulting</t>
  </si>
  <si>
    <t>Technical Consulting</t>
  </si>
  <si>
    <t>Consultant</t>
  </si>
  <si>
    <t>Sr. Consultant</t>
  </si>
  <si>
    <t>Role</t>
  </si>
  <si>
    <t xml:space="preserve">Rates obtained from the "2015 Professional Services Global Pricing Report" conducted by Service Performance Insight, LLC.  </t>
  </si>
  <si>
    <t>Adjusted for inflation.</t>
  </si>
  <si>
    <t>Utilized the North American Bill Rate Summary (Table 40) &amp; adjusted for inflation (data collected in 2014)</t>
  </si>
  <si>
    <t xml:space="preserve">Inflation Adjustment </t>
  </si>
  <si>
    <t>2018 Rates</t>
  </si>
  <si>
    <t>Inflation Adjustment (data set is from 2015)</t>
  </si>
  <si>
    <t>Adjusted for Inflation</t>
  </si>
  <si>
    <t>Standard rate from Journal of Accountancy Summary of  "AICPA 2014 PCPS/TSCPA National MAP Survey"</t>
  </si>
  <si>
    <t>Allocated Expenses</t>
  </si>
  <si>
    <t>State Specific Expenses</t>
  </si>
  <si>
    <t>Total ACO Expenses</t>
  </si>
  <si>
    <t>Change in Allocation Percentage Effective 1/1/2019</t>
  </si>
  <si>
    <t>Expenses Direct Charged to States</t>
  </si>
  <si>
    <t>and rates obtained from AP invoices for firms used in IL in 2019</t>
  </si>
  <si>
    <t>and billing rates of firms used in IL in 2019</t>
  </si>
  <si>
    <t>2019 Rates</t>
  </si>
  <si>
    <t>2019 Cost per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</si>
</sst>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000"/>
    <numFmt numFmtId="167" formatCode="#,##0.00000_);[Red]\(#,##0.00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Seconda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0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0" borderId="0" xfId="1" applyFont="1"/>
    <xf numFmtId="0" fontId="3" fillId="0" borderId="0" xfId="1" applyFont="1" applyAlignment="1">
      <alignment horizontal="right"/>
    </xf>
    <xf numFmtId="39" fontId="2" fillId="0" borderId="0" xfId="1" applyNumberFormat="1" applyFill="1"/>
    <xf numFmtId="40" fontId="2" fillId="0" borderId="0" xfId="1" applyNumberFormat="1"/>
    <xf numFmtId="40" fontId="4" fillId="0" borderId="0" xfId="1" applyNumberFormat="1" applyFont="1" applyAlignment="1">
      <alignment horizontal="center"/>
    </xf>
    <xf numFmtId="10" fontId="0" fillId="0" borderId="0" xfId="2" applyNumberFormat="1" applyFont="1"/>
    <xf numFmtId="40" fontId="3" fillId="0" borderId="1" xfId="1" applyNumberFormat="1" applyFont="1" applyBorder="1"/>
    <xf numFmtId="10" fontId="3" fillId="0" borderId="1" xfId="2" applyNumberFormat="1" applyFont="1" applyBorder="1"/>
    <xf numFmtId="40" fontId="2" fillId="2" borderId="0" xfId="1" applyNumberFormat="1" applyFill="1"/>
    <xf numFmtId="40" fontId="5" fillId="0" borderId="0" xfId="1" applyNumberFormat="1" applyFont="1" applyAlignment="1">
      <alignment horizontal="center" wrapText="1"/>
    </xf>
    <xf numFmtId="39" fontId="2" fillId="0" borderId="0" xfId="1" applyNumberFormat="1"/>
    <xf numFmtId="0" fontId="2" fillId="0" borderId="0" xfId="1"/>
    <xf numFmtId="40" fontId="4" fillId="3" borderId="0" xfId="1" applyNumberFormat="1" applyFont="1" applyFill="1" applyAlignment="1">
      <alignment horizontal="center"/>
    </xf>
    <xf numFmtId="38" fontId="2" fillId="0" borderId="0" xfId="1" applyNumberFormat="1"/>
    <xf numFmtId="0" fontId="7" fillId="0" borderId="0" xfId="12"/>
    <xf numFmtId="0" fontId="7" fillId="0" borderId="0" xfId="12" applyBorder="1"/>
    <xf numFmtId="0" fontId="3" fillId="0" borderId="0" xfId="12" applyFont="1"/>
    <xf numFmtId="0" fontId="7" fillId="0" borderId="5" xfId="12" applyBorder="1"/>
    <xf numFmtId="0" fontId="7" fillId="0" borderId="6" xfId="12" applyBorder="1"/>
    <xf numFmtId="0" fontId="7" fillId="0" borderId="13" xfId="12" applyBorder="1"/>
    <xf numFmtId="0" fontId="7" fillId="0" borderId="5" xfId="12" applyBorder="1" applyAlignment="1">
      <alignment horizontal="left"/>
    </xf>
    <xf numFmtId="0" fontId="7" fillId="0" borderId="0" xfId="12"/>
    <xf numFmtId="43" fontId="7" fillId="0" borderId="0" xfId="3" applyFont="1"/>
    <xf numFmtId="0" fontId="3" fillId="0" borderId="0" xfId="12" applyFont="1"/>
    <xf numFmtId="0" fontId="4" fillId="0" borderId="0" xfId="12" applyFont="1"/>
    <xf numFmtId="164" fontId="7" fillId="0" borderId="0" xfId="12" applyNumberFormat="1"/>
    <xf numFmtId="9" fontId="7" fillId="0" borderId="0" xfId="2" applyFont="1"/>
    <xf numFmtId="9" fontId="2" fillId="0" borderId="0" xfId="2" applyFont="1"/>
    <xf numFmtId="0" fontId="7" fillId="0" borderId="0" xfId="12"/>
    <xf numFmtId="0" fontId="3" fillId="0" borderId="0" xfId="12" applyFont="1"/>
    <xf numFmtId="165" fontId="7" fillId="0" borderId="0" xfId="13" applyNumberFormat="1" applyFont="1" applyBorder="1"/>
    <xf numFmtId="0" fontId="3" fillId="0" borderId="11" xfId="12" applyFont="1" applyBorder="1"/>
    <xf numFmtId="0" fontId="3" fillId="0" borderId="12" xfId="12" applyFont="1" applyBorder="1"/>
    <xf numFmtId="0" fontId="3" fillId="0" borderId="15" xfId="12" applyFont="1" applyBorder="1" applyAlignment="1">
      <alignment horizontal="center"/>
    </xf>
    <xf numFmtId="165" fontId="7" fillId="0" borderId="0" xfId="12" applyNumberFormat="1" applyBorder="1"/>
    <xf numFmtId="0" fontId="2" fillId="0" borderId="0" xfId="12" applyFont="1"/>
    <xf numFmtId="0" fontId="3" fillId="0" borderId="0" xfId="12" quotePrefix="1" applyFont="1" applyAlignment="1">
      <alignment horizontal="left"/>
    </xf>
    <xf numFmtId="0" fontId="3" fillId="0" borderId="0" xfId="12" applyFont="1" applyBorder="1"/>
    <xf numFmtId="0" fontId="3" fillId="0" borderId="17" xfId="12" applyFont="1" applyBorder="1"/>
    <xf numFmtId="0" fontId="6" fillId="0" borderId="0" xfId="12" applyFont="1"/>
    <xf numFmtId="0" fontId="7" fillId="0" borderId="0" xfId="12" applyFill="1"/>
    <xf numFmtId="9" fontId="7" fillId="0" borderId="2" xfId="2" applyFont="1" applyFill="1" applyBorder="1"/>
    <xf numFmtId="9" fontId="7" fillId="0" borderId="0" xfId="2" applyFont="1" applyFill="1"/>
    <xf numFmtId="0" fontId="7" fillId="0" borderId="0" xfId="12"/>
    <xf numFmtId="0" fontId="8" fillId="0" borderId="0" xfId="12" applyFont="1"/>
    <xf numFmtId="0" fontId="9" fillId="0" borderId="2" xfId="12" applyFont="1" applyBorder="1" applyAlignment="1">
      <alignment horizontal="center"/>
    </xf>
    <xf numFmtId="0" fontId="9" fillId="0" borderId="5" xfId="12" applyFont="1" applyBorder="1"/>
    <xf numFmtId="0" fontId="9" fillId="0" borderId="13" xfId="12" applyFont="1" applyBorder="1"/>
    <xf numFmtId="9" fontId="8" fillId="0" borderId="14" xfId="2" applyFont="1" applyBorder="1"/>
    <xf numFmtId="9" fontId="8" fillId="0" borderId="7" xfId="2" applyFont="1" applyBorder="1"/>
    <xf numFmtId="0" fontId="9" fillId="0" borderId="6" xfId="12" applyFont="1" applyFill="1" applyBorder="1"/>
    <xf numFmtId="9" fontId="8" fillId="0" borderId="8" xfId="2" applyFont="1" applyBorder="1"/>
    <xf numFmtId="165" fontId="9" fillId="0" borderId="4" xfId="13" applyNumberFormat="1" applyFont="1" applyBorder="1"/>
    <xf numFmtId="165" fontId="9" fillId="0" borderId="0" xfId="13" applyNumberFormat="1" applyFont="1" applyBorder="1"/>
    <xf numFmtId="165" fontId="9" fillId="0" borderId="2" xfId="13" applyNumberFormat="1" applyFont="1" applyBorder="1"/>
    <xf numFmtId="0" fontId="7" fillId="0" borderId="0" xfId="12" applyBorder="1" applyAlignment="1">
      <alignment horizontal="left"/>
    </xf>
    <xf numFmtId="0" fontId="10" fillId="0" borderId="0" xfId="12" applyFont="1" applyBorder="1"/>
    <xf numFmtId="0" fontId="3" fillId="0" borderId="5" xfId="12" applyFont="1" applyFill="1" applyBorder="1" applyAlignment="1">
      <alignment horizontal="center"/>
    </xf>
    <xf numFmtId="43" fontId="7" fillId="0" borderId="0" xfId="12" applyNumberFormat="1" applyBorder="1"/>
    <xf numFmtId="164" fontId="7" fillId="0" borderId="0" xfId="12" applyNumberFormat="1" applyBorder="1"/>
    <xf numFmtId="0" fontId="7" fillId="0" borderId="0" xfId="12" applyFill="1" applyBorder="1"/>
    <xf numFmtId="0" fontId="10" fillId="0" borderId="0" xfId="12" applyFont="1"/>
    <xf numFmtId="41" fontId="7" fillId="0" borderId="0" xfId="12" applyNumberFormat="1"/>
    <xf numFmtId="0" fontId="7" fillId="5" borderId="15" xfId="12" applyFill="1" applyBorder="1"/>
    <xf numFmtId="0" fontId="7" fillId="0" borderId="0" xfId="12" applyNumberFormat="1"/>
    <xf numFmtId="0" fontId="3" fillId="6" borderId="6" xfId="12" applyFont="1" applyFill="1" applyBorder="1"/>
    <xf numFmtId="37" fontId="7" fillId="0" borderId="0" xfId="12" applyNumberFormat="1" applyBorder="1"/>
    <xf numFmtId="0" fontId="7" fillId="0" borderId="2" xfId="12" applyBorder="1"/>
    <xf numFmtId="0" fontId="3" fillId="0" borderId="2" xfId="12" applyFont="1" applyBorder="1" applyAlignment="1">
      <alignment horizontal="center"/>
    </xf>
    <xf numFmtId="0" fontId="7" fillId="0" borderId="12" xfId="12" applyBorder="1"/>
    <xf numFmtId="0" fontId="7" fillId="0" borderId="11" xfId="12" applyBorder="1"/>
    <xf numFmtId="0" fontId="3" fillId="5" borderId="15" xfId="12" applyFont="1" applyFill="1" applyBorder="1"/>
    <xf numFmtId="164" fontId="3" fillId="5" borderId="17" xfId="12" applyNumberFormat="1" applyFont="1" applyFill="1" applyBorder="1"/>
    <xf numFmtId="43" fontId="3" fillId="5" borderId="17" xfId="3" applyFont="1" applyFill="1" applyBorder="1"/>
    <xf numFmtId="43" fontId="7" fillId="0" borderId="0" xfId="12" applyNumberFormat="1"/>
    <xf numFmtId="43" fontId="0" fillId="0" borderId="0" xfId="3" applyFont="1"/>
    <xf numFmtId="0" fontId="2" fillId="0" borderId="5" xfId="12" applyFont="1" applyBorder="1"/>
    <xf numFmtId="0" fontId="2" fillId="0" borderId="0" xfId="109" quotePrefix="1" applyFont="1"/>
    <xf numFmtId="0" fontId="3" fillId="0" borderId="0" xfId="109" applyFont="1"/>
    <xf numFmtId="0" fontId="3" fillId="0" borderId="12" xfId="12" applyFont="1" applyFill="1" applyBorder="1"/>
    <xf numFmtId="0" fontId="3" fillId="0" borderId="12" xfId="109" applyFont="1" applyBorder="1" applyAlignment="1">
      <alignment horizontal="center"/>
    </xf>
    <xf numFmtId="0" fontId="3" fillId="0" borderId="17" xfId="109" applyFont="1" applyBorder="1" applyAlignment="1">
      <alignment horizontal="center"/>
    </xf>
    <xf numFmtId="0" fontId="2" fillId="0" borderId="0" xfId="109"/>
    <xf numFmtId="0" fontId="3" fillId="0" borderId="18" xfId="109" applyFont="1" applyBorder="1"/>
    <xf numFmtId="0" fontId="3" fillId="0" borderId="0" xfId="109" applyFont="1" applyAlignment="1">
      <alignment horizontal="center" wrapText="1"/>
    </xf>
    <xf numFmtId="0" fontId="3" fillId="0" borderId="0" xfId="109" applyFont="1" applyAlignment="1">
      <alignment horizontal="center"/>
    </xf>
    <xf numFmtId="0" fontId="2" fillId="0" borderId="0" xfId="109" applyAlignment="1">
      <alignment horizontal="center"/>
    </xf>
    <xf numFmtId="165" fontId="0" fillId="0" borderId="11" xfId="13" applyNumberFormat="1" applyFont="1" applyBorder="1"/>
    <xf numFmtId="165" fontId="0" fillId="0" borderId="17" xfId="13" applyNumberFormat="1" applyFont="1" applyBorder="1"/>
    <xf numFmtId="0" fontId="3" fillId="0" borderId="11" xfId="12" applyFont="1" applyFill="1" applyBorder="1"/>
    <xf numFmtId="41" fontId="2" fillId="0" borderId="2" xfId="3" applyNumberFormat="1" applyFont="1" applyFill="1" applyBorder="1"/>
    <xf numFmtId="0" fontId="3" fillId="0" borderId="0" xfId="12" quotePrefix="1" applyFont="1" applyFill="1"/>
    <xf numFmtId="0" fontId="0" fillId="0" borderId="0" xfId="0" applyFill="1"/>
    <xf numFmtId="0" fontId="3" fillId="0" borderId="0" xfId="12" applyFont="1" applyFill="1"/>
    <xf numFmtId="0" fontId="2" fillId="0" borderId="0" xfId="12" applyFont="1" applyFill="1"/>
    <xf numFmtId="0" fontId="3" fillId="0" borderId="8" xfId="12" applyFont="1" applyFill="1" applyBorder="1"/>
    <xf numFmtId="0" fontId="3" fillId="0" borderId="0" xfId="109" applyFont="1" applyBorder="1"/>
    <xf numFmtId="0" fontId="2" fillId="0" borderId="0" xfId="109" applyFont="1"/>
    <xf numFmtId="165" fontId="2" fillId="5" borderId="15" xfId="12" applyNumberFormat="1" applyFont="1" applyFill="1" applyBorder="1"/>
    <xf numFmtId="0" fontId="0" fillId="0" borderId="0" xfId="0"/>
    <xf numFmtId="43" fontId="2" fillId="0" borderId="0" xfId="3" applyFont="1"/>
    <xf numFmtId="165" fontId="7" fillId="0" borderId="0" xfId="13" applyNumberFormat="1" applyFont="1" applyFill="1" applyBorder="1"/>
    <xf numFmtId="0" fontId="3" fillId="0" borderId="17" xfId="12" applyFont="1" applyFill="1" applyBorder="1"/>
    <xf numFmtId="165" fontId="7" fillId="0" borderId="8" xfId="13" applyNumberFormat="1" applyFont="1" applyFill="1" applyBorder="1"/>
    <xf numFmtId="44" fontId="7" fillId="0" borderId="13" xfId="13" applyFont="1" applyFill="1" applyBorder="1"/>
    <xf numFmtId="44" fontId="7" fillId="0" borderId="4" xfId="13" applyFont="1" applyFill="1" applyBorder="1"/>
    <xf numFmtId="0" fontId="7" fillId="0" borderId="11" xfId="12" applyFill="1" applyBorder="1"/>
    <xf numFmtId="0" fontId="7" fillId="0" borderId="5" xfId="12" applyFill="1" applyBorder="1"/>
    <xf numFmtId="0" fontId="3" fillId="0" borderId="13" xfId="12" applyFont="1" applyFill="1" applyBorder="1"/>
    <xf numFmtId="0" fontId="3" fillId="0" borderId="5" xfId="12" applyFont="1" applyFill="1" applyBorder="1"/>
    <xf numFmtId="0" fontId="3" fillId="0" borderId="6" xfId="12" applyFont="1" applyFill="1" applyBorder="1"/>
    <xf numFmtId="9" fontId="7" fillId="0" borderId="5" xfId="2" applyFont="1" applyFill="1" applyBorder="1"/>
    <xf numFmtId="9" fontId="7" fillId="0" borderId="0" xfId="2" applyFont="1" applyFill="1" applyBorder="1"/>
    <xf numFmtId="0" fontId="7" fillId="0" borderId="0" xfId="12" applyFill="1" applyAlignment="1">
      <alignment horizontal="center"/>
    </xf>
    <xf numFmtId="0" fontId="7" fillId="0" borderId="6" xfId="12" applyFill="1" applyBorder="1"/>
    <xf numFmtId="0" fontId="7" fillId="0" borderId="2" xfId="12" applyFill="1" applyBorder="1"/>
    <xf numFmtId="0" fontId="3" fillId="0" borderId="15" xfId="12" applyFont="1" applyFill="1" applyBorder="1"/>
    <xf numFmtId="9" fontId="7" fillId="0" borderId="7" xfId="2" applyFont="1" applyFill="1" applyBorder="1"/>
    <xf numFmtId="0" fontId="6" fillId="0" borderId="0" xfId="12" applyFont="1" applyFill="1"/>
    <xf numFmtId="0" fontId="7" fillId="0" borderId="8" xfId="12" applyFill="1" applyBorder="1"/>
    <xf numFmtId="0" fontId="7" fillId="0" borderId="7" xfId="12" applyFill="1" applyBorder="1"/>
    <xf numFmtId="0" fontId="3" fillId="0" borderId="9" xfId="12" applyFont="1" applyFill="1" applyBorder="1"/>
    <xf numFmtId="165" fontId="7" fillId="0" borderId="10" xfId="12" applyNumberFormat="1" applyFill="1" applyBorder="1"/>
    <xf numFmtId="0" fontId="3" fillId="0" borderId="0" xfId="12" applyFont="1" applyFill="1" applyBorder="1" applyAlignment="1">
      <alignment horizontal="center"/>
    </xf>
    <xf numFmtId="165" fontId="7" fillId="0" borderId="0" xfId="12" applyNumberFormat="1" applyFill="1" applyBorder="1"/>
    <xf numFmtId="10" fontId="7" fillId="0" borderId="7" xfId="2" applyNumberFormat="1" applyFont="1" applyFill="1" applyBorder="1"/>
    <xf numFmtId="10" fontId="7" fillId="0" borderId="5" xfId="2" applyNumberFormat="1" applyFont="1" applyFill="1" applyBorder="1"/>
    <xf numFmtId="10" fontId="7" fillId="0" borderId="0" xfId="2" applyNumberFormat="1" applyFont="1" applyFill="1" applyBorder="1"/>
    <xf numFmtId="0" fontId="3" fillId="0" borderId="9" xfId="109" applyFont="1" applyFill="1" applyBorder="1" applyAlignment="1">
      <alignment horizontal="center"/>
    </xf>
    <xf numFmtId="0" fontId="3" fillId="0" borderId="10" xfId="109" applyFont="1" applyFill="1" applyBorder="1" applyAlignment="1">
      <alignment horizontal="center"/>
    </xf>
    <xf numFmtId="0" fontId="2" fillId="0" borderId="0" xfId="109" applyFill="1"/>
    <xf numFmtId="0" fontId="3" fillId="0" borderId="16" xfId="109" applyFont="1" applyFill="1" applyBorder="1" applyAlignment="1">
      <alignment horizontal="center"/>
    </xf>
    <xf numFmtId="0" fontId="2" fillId="0" borderId="0" xfId="109" applyFont="1" applyFill="1"/>
    <xf numFmtId="0" fontId="3" fillId="0" borderId="12" xfId="12" applyFont="1" applyFill="1" applyBorder="1" applyAlignment="1">
      <alignment horizontal="center"/>
    </xf>
    <xf numFmtId="0" fontId="3" fillId="0" borderId="11" xfId="12" applyFont="1" applyFill="1" applyBorder="1" applyAlignment="1">
      <alignment horizontal="center"/>
    </xf>
    <xf numFmtId="0" fontId="3" fillId="0" borderId="17" xfId="12" applyFont="1" applyFill="1" applyBorder="1" applyAlignment="1">
      <alignment horizontal="center"/>
    </xf>
    <xf numFmtId="165" fontId="7" fillId="0" borderId="11" xfId="13" applyNumberFormat="1" applyFont="1" applyFill="1" applyBorder="1"/>
    <xf numFmtId="165" fontId="3" fillId="0" borderId="15" xfId="12" applyNumberFormat="1" applyFont="1" applyFill="1" applyBorder="1"/>
    <xf numFmtId="10" fontId="7" fillId="0" borderId="0" xfId="12" applyNumberFormat="1" applyFill="1"/>
    <xf numFmtId="0" fontId="2" fillId="0" borderId="0" xfId="12" applyFont="1" applyFill="1" applyAlignment="1">
      <alignment horizontal="left" indent="4"/>
    </xf>
    <xf numFmtId="42" fontId="2" fillId="0" borderId="11" xfId="12" applyNumberFormat="1" applyFont="1" applyFill="1" applyBorder="1"/>
    <xf numFmtId="0" fontId="3" fillId="0" borderId="15" xfId="12" applyFont="1" applyFill="1" applyBorder="1" applyAlignment="1">
      <alignment horizontal="center"/>
    </xf>
    <xf numFmtId="42" fontId="7" fillId="0" borderId="11" xfId="12" applyNumberFormat="1" applyFill="1" applyBorder="1"/>
    <xf numFmtId="2" fontId="7" fillId="0" borderId="0" xfId="12" applyNumberFormat="1" applyFill="1" applyBorder="1"/>
    <xf numFmtId="44" fontId="7" fillId="0" borderId="0" xfId="12" applyNumberFormat="1" applyFill="1"/>
    <xf numFmtId="42" fontId="7" fillId="0" borderId="0" xfId="12" applyNumberFormat="1" applyFill="1" applyBorder="1"/>
    <xf numFmtId="42" fontId="3" fillId="0" borderId="15" xfId="12" applyNumberFormat="1" applyFont="1" applyFill="1" applyBorder="1"/>
    <xf numFmtId="0" fontId="3" fillId="0" borderId="9" xfId="12" applyFont="1" applyFill="1" applyBorder="1" applyAlignment="1">
      <alignment horizontal="center"/>
    </xf>
    <xf numFmtId="165" fontId="7" fillId="0" borderId="12" xfId="13" applyNumberFormat="1" applyFont="1" applyFill="1" applyBorder="1"/>
    <xf numFmtId="0" fontId="7" fillId="0" borderId="13" xfId="12" applyFill="1" applyBorder="1"/>
    <xf numFmtId="43" fontId="7" fillId="0" borderId="7" xfId="12" applyNumberFormat="1" applyFill="1" applyBorder="1"/>
    <xf numFmtId="0" fontId="6" fillId="0" borderId="0" xfId="12" applyFont="1" applyFill="1" applyBorder="1"/>
    <xf numFmtId="41" fontId="2" fillId="0" borderId="0" xfId="12" applyNumberFormat="1" applyFont="1" applyFill="1"/>
    <xf numFmtId="43" fontId="7" fillId="0" borderId="14" xfId="12" applyNumberFormat="1" applyFill="1" applyBorder="1"/>
    <xf numFmtId="0" fontId="10" fillId="0" borderId="0" xfId="12" applyFont="1" applyFill="1" applyBorder="1"/>
    <xf numFmtId="43" fontId="0" fillId="0" borderId="0" xfId="3" applyFont="1" applyFill="1"/>
    <xf numFmtId="43" fontId="3" fillId="0" borderId="10" xfId="3" applyFont="1" applyFill="1" applyBorder="1"/>
    <xf numFmtId="0" fontId="3" fillId="0" borderId="9" xfId="12" applyFont="1" applyFill="1" applyBorder="1" applyAlignment="1">
      <alignment horizontal="center"/>
    </xf>
    <xf numFmtId="0" fontId="3" fillId="0" borderId="16" xfId="12" applyFont="1" applyFill="1" applyBorder="1" applyAlignment="1">
      <alignment horizontal="center"/>
    </xf>
    <xf numFmtId="0" fontId="3" fillId="0" borderId="10" xfId="12" applyFont="1" applyFill="1" applyBorder="1" applyAlignment="1">
      <alignment horizontal="center"/>
    </xf>
    <xf numFmtId="165" fontId="2" fillId="0" borderId="12" xfId="13" applyNumberFormat="1" applyFont="1" applyFill="1" applyBorder="1"/>
    <xf numFmtId="10" fontId="2" fillId="0" borderId="0" xfId="12" applyNumberFormat="1" applyFont="1" applyFill="1"/>
    <xf numFmtId="165" fontId="2" fillId="0" borderId="13" xfId="13" applyNumberFormat="1" applyFont="1" applyFill="1" applyBorder="1"/>
    <xf numFmtId="165" fontId="2" fillId="0" borderId="4" xfId="13" applyNumberFormat="1" applyFont="1" applyFill="1" applyBorder="1"/>
    <xf numFmtId="165" fontId="2" fillId="0" borderId="14" xfId="13" applyNumberFormat="1" applyFont="1" applyFill="1" applyBorder="1"/>
    <xf numFmtId="10" fontId="7" fillId="0" borderId="5" xfId="12" applyNumberFormat="1" applyFill="1" applyBorder="1"/>
    <xf numFmtId="10" fontId="7" fillId="0" borderId="0" xfId="12" applyNumberFormat="1" applyFill="1" applyBorder="1"/>
    <xf numFmtId="10" fontId="7" fillId="0" borderId="7" xfId="12" applyNumberFormat="1" applyFill="1" applyBorder="1"/>
    <xf numFmtId="165" fontId="7" fillId="0" borderId="5" xfId="13" applyNumberFormat="1" applyFont="1" applyFill="1" applyBorder="1"/>
    <xf numFmtId="165" fontId="7" fillId="0" borderId="7" xfId="13" applyNumberFormat="1" applyFont="1" applyFill="1" applyBorder="1"/>
    <xf numFmtId="165" fontId="7" fillId="0" borderId="9" xfId="13" applyNumberFormat="1" applyFont="1" applyFill="1" applyBorder="1"/>
    <xf numFmtId="165" fontId="7" fillId="0" borderId="16" xfId="13" applyNumberFormat="1" applyFont="1" applyFill="1" applyBorder="1"/>
    <xf numFmtId="165" fontId="7" fillId="0" borderId="10" xfId="13" applyNumberFormat="1" applyFont="1" applyFill="1" applyBorder="1"/>
    <xf numFmtId="165" fontId="7" fillId="0" borderId="13" xfId="13" applyNumberFormat="1" applyFont="1" applyFill="1" applyBorder="1"/>
    <xf numFmtId="165" fontId="7" fillId="0" borderId="4" xfId="13" applyNumberFormat="1" applyFont="1" applyFill="1" applyBorder="1"/>
    <xf numFmtId="165" fontId="7" fillId="0" borderId="14" xfId="13" applyNumberFormat="1" applyFont="1" applyFill="1" applyBorder="1"/>
    <xf numFmtId="165" fontId="7" fillId="0" borderId="6" xfId="13" applyNumberFormat="1" applyFont="1" applyFill="1" applyBorder="1"/>
    <xf numFmtId="165" fontId="7" fillId="0" borderId="2" xfId="13" applyNumberFormat="1" applyFont="1" applyFill="1" applyBorder="1"/>
    <xf numFmtId="165" fontId="7" fillId="0" borderId="15" xfId="12" applyNumberFormat="1" applyFill="1" applyBorder="1"/>
    <xf numFmtId="0" fontId="10" fillId="0" borderId="0" xfId="1" applyFont="1" applyAlignment="1">
      <alignment horizontal="right"/>
    </xf>
    <xf numFmtId="44" fontId="7" fillId="0" borderId="11" xfId="13" applyNumberFormat="1" applyFont="1" applyFill="1" applyBorder="1"/>
    <xf numFmtId="10" fontId="7" fillId="0" borderId="11" xfId="12" applyNumberFormat="1" applyFill="1" applyBorder="1"/>
    <xf numFmtId="44" fontId="7" fillId="0" borderId="15" xfId="13" applyNumberFormat="1" applyFont="1" applyFill="1" applyBorder="1"/>
    <xf numFmtId="42" fontId="7" fillId="0" borderId="0" xfId="13" applyNumberFormat="1" applyFont="1" applyFill="1"/>
    <xf numFmtId="41" fontId="7" fillId="0" borderId="0" xfId="12" applyNumberFormat="1" applyFill="1"/>
    <xf numFmtId="41" fontId="7" fillId="0" borderId="0" xfId="13" applyNumberFormat="1" applyFont="1" applyFill="1"/>
    <xf numFmtId="42" fontId="7" fillId="0" borderId="4" xfId="13" applyNumberFormat="1" applyFont="1" applyFill="1" applyBorder="1"/>
    <xf numFmtId="43" fontId="7" fillId="0" borderId="0" xfId="3" applyFont="1" applyFill="1"/>
    <xf numFmtId="164" fontId="7" fillId="0" borderId="0" xfId="3" applyNumberFormat="1" applyFont="1" applyFill="1"/>
    <xf numFmtId="164" fontId="7" fillId="0" borderId="0" xfId="12" applyNumberFormat="1" applyFill="1"/>
    <xf numFmtId="43" fontId="7" fillId="0" borderId="4" xfId="3" applyFont="1" applyFill="1" applyBorder="1"/>
    <xf numFmtId="44" fontId="7" fillId="0" borderId="3" xfId="13" applyFont="1" applyFill="1" applyBorder="1"/>
    <xf numFmtId="44" fontId="7" fillId="0" borderId="0" xfId="128" applyFont="1" applyFill="1"/>
    <xf numFmtId="10" fontId="7" fillId="0" borderId="0" xfId="128" applyNumberFormat="1" applyFont="1" applyFill="1"/>
    <xf numFmtId="10" fontId="7" fillId="0" borderId="0" xfId="129" applyNumberFormat="1" applyFont="1" applyFill="1"/>
    <xf numFmtId="44" fontId="0" fillId="0" borderId="0" xfId="128" applyNumberFormat="1" applyFont="1" applyFill="1"/>
    <xf numFmtId="164" fontId="7" fillId="0" borderId="12" xfId="12" applyNumberFormat="1" applyFill="1" applyBorder="1"/>
    <xf numFmtId="164" fontId="7" fillId="0" borderId="11" xfId="12" applyNumberFormat="1" applyFill="1" applyBorder="1"/>
    <xf numFmtId="164" fontId="7" fillId="0" borderId="17" xfId="12" applyNumberFormat="1" applyFill="1" applyBorder="1"/>
    <xf numFmtId="164" fontId="3" fillId="0" borderId="16" xfId="12" applyNumberFormat="1" applyFont="1" applyFill="1" applyBorder="1"/>
    <xf numFmtId="165" fontId="0" fillId="0" borderId="0" xfId="3" applyNumberFormat="1" applyFont="1" applyFill="1"/>
    <xf numFmtId="165" fontId="0" fillId="0" borderId="11" xfId="13" applyNumberFormat="1" applyFont="1" applyFill="1" applyBorder="1"/>
    <xf numFmtId="165" fontId="0" fillId="0" borderId="17" xfId="13" applyNumberFormat="1" applyFont="1" applyFill="1" applyBorder="1"/>
    <xf numFmtId="165" fontId="9" fillId="0" borderId="4" xfId="13" applyNumberFormat="1" applyFont="1" applyFill="1" applyBorder="1"/>
    <xf numFmtId="165" fontId="9" fillId="0" borderId="0" xfId="13" applyNumberFormat="1" applyFont="1" applyFill="1" applyBorder="1"/>
    <xf numFmtId="165" fontId="9" fillId="0" borderId="2" xfId="13" applyNumberFormat="1" applyFont="1" applyFill="1" applyBorder="1"/>
    <xf numFmtId="0" fontId="2" fillId="0" borderId="0" xfId="12" applyFont="1" applyFill="1" applyBorder="1"/>
    <xf numFmtId="165" fontId="3" fillId="0" borderId="16" xfId="128" applyNumberFormat="1" applyFont="1" applyFill="1" applyBorder="1"/>
    <xf numFmtId="40" fontId="2" fillId="4" borderId="0" xfId="1" applyNumberFormat="1" applyFill="1"/>
    <xf numFmtId="0" fontId="2" fillId="0" borderId="0" xfId="1" applyFill="1"/>
    <xf numFmtId="40" fontId="2" fillId="0" borderId="0" xfId="1" applyNumberFormat="1" applyFill="1"/>
    <xf numFmtId="10" fontId="0" fillId="0" borderId="0" xfId="2" applyNumberFormat="1" applyFont="1" applyFill="1"/>
    <xf numFmtId="3" fontId="2" fillId="0" borderId="0" xfId="1" applyNumberFormat="1"/>
    <xf numFmtId="3" fontId="2" fillId="0" borderId="2" xfId="1" applyNumberFormat="1" applyBorder="1"/>
    <xf numFmtId="14" fontId="2" fillId="0" borderId="0" xfId="1" applyNumberFormat="1"/>
    <xf numFmtId="44" fontId="2" fillId="0" borderId="0" xfId="128" applyFont="1"/>
    <xf numFmtId="44" fontId="3" fillId="0" borderId="1" xfId="128" applyFont="1" applyBorder="1"/>
    <xf numFmtId="166" fontId="2" fillId="0" borderId="0" xfId="129" applyNumberFormat="1" applyFont="1"/>
    <xf numFmtId="40" fontId="3" fillId="0" borderId="0" xfId="1" quotePrefix="1" applyNumberFormat="1" applyFont="1" applyAlignment="1">
      <alignment horizontal="center"/>
    </xf>
    <xf numFmtId="40" fontId="3" fillId="0" borderId="0" xfId="1" applyNumberFormat="1" applyFont="1" applyAlignment="1">
      <alignment horizontal="center"/>
    </xf>
    <xf numFmtId="40" fontId="2" fillId="0" borderId="0" xfId="1" quotePrefix="1" applyNumberFormat="1" applyAlignment="1">
      <alignment horizontal="center"/>
    </xf>
    <xf numFmtId="167" fontId="2" fillId="0" borderId="0" xfId="1" applyNumberFormat="1"/>
    <xf numFmtId="4" fontId="2" fillId="0" borderId="0" xfId="1" applyNumberFormat="1"/>
    <xf numFmtId="44" fontId="3" fillId="0" borderId="0" xfId="128" applyFont="1"/>
    <xf numFmtId="10" fontId="3" fillId="0" borderId="0" xfId="2" applyNumberFormat="1" applyFont="1"/>
    <xf numFmtId="39" fontId="2" fillId="0" borderId="2" xfId="1" applyNumberFormat="1" applyFill="1" applyBorder="1"/>
    <xf numFmtId="3" fontId="2" fillId="0" borderId="0" xfId="1" applyNumberFormat="1" applyFill="1"/>
    <xf numFmtId="0" fontId="3" fillId="0" borderId="0" xfId="12" applyFont="1" applyFill="1" applyAlignment="1">
      <alignment horizontal="center"/>
    </xf>
    <xf numFmtId="44" fontId="0" fillId="0" borderId="0" xfId="128" applyFont="1" applyFill="1"/>
    <xf numFmtId="44" fontId="0" fillId="0" borderId="0" xfId="0" applyNumberFormat="1" applyFill="1"/>
    <xf numFmtId="10" fontId="0" fillId="0" borderId="0" xfId="129" applyNumberFormat="1" applyFont="1" applyFill="1"/>
    <xf numFmtId="0" fontId="2" fillId="0" borderId="10" xfId="12" applyFont="1" applyFill="1" applyBorder="1" applyAlignment="1">
      <alignment horizontal="center"/>
    </xf>
    <xf numFmtId="10" fontId="3" fillId="0" borderId="8" xfId="2" applyNumberFormat="1" applyFont="1" applyFill="1" applyBorder="1"/>
    <xf numFmtId="10" fontId="3" fillId="0" borderId="0" xfId="2" applyNumberFormat="1" applyFont="1" applyFill="1" applyBorder="1"/>
    <xf numFmtId="0" fontId="3" fillId="0" borderId="0" xfId="109" applyFont="1" applyFill="1"/>
    <xf numFmtId="41" fontId="2" fillId="0" borderId="0" xfId="3" applyNumberFormat="1" applyFont="1" applyFill="1"/>
    <xf numFmtId="41" fontId="2" fillId="0" borderId="0" xfId="109" applyNumberFormat="1" applyFill="1"/>
    <xf numFmtId="41" fontId="2" fillId="0" borderId="2" xfId="109" applyNumberFormat="1" applyFill="1" applyBorder="1"/>
    <xf numFmtId="43" fontId="2" fillId="0" borderId="0" xfId="3" applyFont="1" applyFill="1"/>
    <xf numFmtId="43" fontId="2" fillId="0" borderId="3" xfId="3" applyFont="1" applyFill="1" applyBorder="1"/>
    <xf numFmtId="164" fontId="2" fillId="0" borderId="4" xfId="109" applyNumberFormat="1" applyFill="1" applyBorder="1"/>
    <xf numFmtId="164" fontId="2" fillId="0" borderId="0" xfId="109" applyNumberFormat="1" applyFill="1" applyBorder="1"/>
    <xf numFmtId="164" fontId="2" fillId="0" borderId="17" xfId="109" applyNumberFormat="1" applyFill="1" applyBorder="1"/>
    <xf numFmtId="164" fontId="0" fillId="0" borderId="0" xfId="3" applyNumberFormat="1" applyFont="1" applyFill="1"/>
    <xf numFmtId="165" fontId="2" fillId="0" borderId="17" xfId="109" applyNumberFormat="1" applyFill="1" applyBorder="1"/>
    <xf numFmtId="43" fontId="3" fillId="0" borderId="0" xfId="3" applyFont="1" applyFill="1"/>
    <xf numFmtId="165" fontId="0" fillId="0" borderId="4" xfId="3" applyNumberFormat="1" applyFont="1" applyFill="1" applyBorder="1"/>
    <xf numFmtId="165" fontId="0" fillId="0" borderId="3" xfId="3" applyNumberFormat="1" applyFont="1" applyFill="1" applyBorder="1"/>
    <xf numFmtId="1" fontId="0" fillId="0" borderId="0" xfId="0" applyNumberFormat="1" applyFill="1"/>
    <xf numFmtId="165" fontId="0" fillId="0" borderId="0" xfId="0" applyNumberFormat="1" applyFill="1"/>
    <xf numFmtId="0" fontId="7" fillId="0" borderId="15" xfId="12" applyFill="1" applyBorder="1"/>
    <xf numFmtId="165" fontId="2" fillId="0" borderId="15" xfId="12" applyNumberFormat="1" applyFont="1" applyFill="1" applyBorder="1"/>
    <xf numFmtId="165" fontId="2" fillId="0" borderId="15" xfId="12" applyNumberFormat="1" applyFont="1" applyFill="1" applyBorder="1" applyAlignment="1">
      <alignment wrapText="1"/>
    </xf>
    <xf numFmtId="165" fontId="11" fillId="0" borderId="15" xfId="0" applyNumberFormat="1" applyFont="1" applyFill="1" applyBorder="1"/>
    <xf numFmtId="43" fontId="3" fillId="0" borderId="12" xfId="12" applyNumberFormat="1" applyFont="1" applyFill="1" applyBorder="1"/>
    <xf numFmtId="43" fontId="3" fillId="0" borderId="11" xfId="12" applyNumberFormat="1" applyFont="1" applyFill="1" applyBorder="1"/>
    <xf numFmtId="43" fontId="3" fillId="0" borderId="17" xfId="12" applyNumberFormat="1" applyFont="1" applyFill="1" applyBorder="1"/>
    <xf numFmtId="0" fontId="3" fillId="0" borderId="9" xfId="12" applyFont="1" applyFill="1" applyBorder="1" applyAlignment="1">
      <alignment horizontal="center"/>
    </xf>
    <xf numFmtId="0" fontId="3" fillId="0" borderId="16" xfId="12" applyFont="1" applyFill="1" applyBorder="1" applyAlignment="1">
      <alignment horizontal="center"/>
    </xf>
    <xf numFmtId="0" fontId="3" fillId="0" borderId="10" xfId="12" applyFont="1" applyFill="1" applyBorder="1" applyAlignment="1">
      <alignment horizontal="center"/>
    </xf>
    <xf numFmtId="0" fontId="7" fillId="0" borderId="10" xfId="12" applyFill="1" applyBorder="1" applyAlignment="1">
      <alignment horizontal="center"/>
    </xf>
    <xf numFmtId="40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center"/>
    </xf>
  </cellXfs>
  <cellStyles count="130">
    <cellStyle name="Comma 2" xfId="3" xr:uid="{00000000-0005-0000-0000-000000000000}"/>
    <cellStyle name="Comma 2 2" xfId="10" xr:uid="{00000000-0005-0000-0000-000001000000}"/>
    <cellStyle name="Comma 3" xfId="5" xr:uid="{00000000-0005-0000-0000-000002000000}"/>
    <cellStyle name="Comma 3 2" xfId="20" xr:uid="{00000000-0005-0000-0000-000003000000}"/>
    <cellStyle name="Comma 4" xfId="9" xr:uid="{00000000-0005-0000-0000-000004000000}"/>
    <cellStyle name="Comma 4 2" xfId="22" xr:uid="{00000000-0005-0000-0000-000005000000}"/>
    <cellStyle name="Comma 4 2 2" xfId="23" xr:uid="{00000000-0005-0000-0000-000006000000}"/>
    <cellStyle name="Comma 4 2 2 2" xfId="24" xr:uid="{00000000-0005-0000-0000-000007000000}"/>
    <cellStyle name="Comma 4 2 2 2 2" xfId="25" xr:uid="{00000000-0005-0000-0000-000008000000}"/>
    <cellStyle name="Comma 4 2 2 2 2 2" xfId="26" xr:uid="{00000000-0005-0000-0000-000009000000}"/>
    <cellStyle name="Comma 4 2 2 2 3" xfId="27" xr:uid="{00000000-0005-0000-0000-00000A000000}"/>
    <cellStyle name="Comma 4 2 2 2 4" xfId="121" xr:uid="{00000000-0005-0000-0000-00000B000000}"/>
    <cellStyle name="Comma 4 2 2 3" xfId="28" xr:uid="{00000000-0005-0000-0000-00000C000000}"/>
    <cellStyle name="Comma 4 2 2 3 2" xfId="29" xr:uid="{00000000-0005-0000-0000-00000D000000}"/>
    <cellStyle name="Comma 4 2 2 4" xfId="30" xr:uid="{00000000-0005-0000-0000-00000E000000}"/>
    <cellStyle name="Comma 4 2 2 5" xfId="117" xr:uid="{00000000-0005-0000-0000-00000F000000}"/>
    <cellStyle name="Comma 4 2 3" xfId="31" xr:uid="{00000000-0005-0000-0000-000010000000}"/>
    <cellStyle name="Comma 4 2 3 2" xfId="32" xr:uid="{00000000-0005-0000-0000-000011000000}"/>
    <cellStyle name="Comma 4 2 3 2 2" xfId="33" xr:uid="{00000000-0005-0000-0000-000012000000}"/>
    <cellStyle name="Comma 4 2 3 3" xfId="34" xr:uid="{00000000-0005-0000-0000-000013000000}"/>
    <cellStyle name="Comma 4 2 3 4" xfId="120" xr:uid="{00000000-0005-0000-0000-000014000000}"/>
    <cellStyle name="Comma 4 2 4" xfId="35" xr:uid="{00000000-0005-0000-0000-000015000000}"/>
    <cellStyle name="Comma 4 2 4 2" xfId="36" xr:uid="{00000000-0005-0000-0000-000016000000}"/>
    <cellStyle name="Comma 4 2 5" xfId="37" xr:uid="{00000000-0005-0000-0000-000017000000}"/>
    <cellStyle name="Comma 4 2 6" xfId="113" xr:uid="{00000000-0005-0000-0000-000018000000}"/>
    <cellStyle name="Comma 4 3" xfId="38" xr:uid="{00000000-0005-0000-0000-000019000000}"/>
    <cellStyle name="Comma 4 3 2" xfId="39" xr:uid="{00000000-0005-0000-0000-00001A000000}"/>
    <cellStyle name="Comma 4 3 2 2" xfId="40" xr:uid="{00000000-0005-0000-0000-00001B000000}"/>
    <cellStyle name="Comma 4 3 2 2 2" xfId="41" xr:uid="{00000000-0005-0000-0000-00001C000000}"/>
    <cellStyle name="Comma 4 3 2 3" xfId="42" xr:uid="{00000000-0005-0000-0000-00001D000000}"/>
    <cellStyle name="Comma 4 3 2 4" xfId="122" xr:uid="{00000000-0005-0000-0000-00001E000000}"/>
    <cellStyle name="Comma 4 3 3" xfId="43" xr:uid="{00000000-0005-0000-0000-00001F000000}"/>
    <cellStyle name="Comma 4 3 3 2" xfId="44" xr:uid="{00000000-0005-0000-0000-000020000000}"/>
    <cellStyle name="Comma 4 3 4" xfId="45" xr:uid="{00000000-0005-0000-0000-000021000000}"/>
    <cellStyle name="Comma 4 3 5" xfId="115" xr:uid="{00000000-0005-0000-0000-000022000000}"/>
    <cellStyle name="Comma 4 4" xfId="46" xr:uid="{00000000-0005-0000-0000-000023000000}"/>
    <cellStyle name="Comma 4 4 2" xfId="47" xr:uid="{00000000-0005-0000-0000-000024000000}"/>
    <cellStyle name="Comma 4 4 2 2" xfId="48" xr:uid="{00000000-0005-0000-0000-000025000000}"/>
    <cellStyle name="Comma 4 4 3" xfId="49" xr:uid="{00000000-0005-0000-0000-000026000000}"/>
    <cellStyle name="Comma 4 4 4" xfId="119" xr:uid="{00000000-0005-0000-0000-000027000000}"/>
    <cellStyle name="Comma 4 5" xfId="50" xr:uid="{00000000-0005-0000-0000-000028000000}"/>
    <cellStyle name="Comma 4 5 2" xfId="51" xr:uid="{00000000-0005-0000-0000-000029000000}"/>
    <cellStyle name="Comma 4 6" xfId="52" xr:uid="{00000000-0005-0000-0000-00002A000000}"/>
    <cellStyle name="Comma 4 7" xfId="21" xr:uid="{00000000-0005-0000-0000-00002B000000}"/>
    <cellStyle name="Currency" xfId="128" builtinId="4"/>
    <cellStyle name="Currency 2" xfId="13" xr:uid="{00000000-0005-0000-0000-00002C000000}"/>
    <cellStyle name="Currency 2 2" xfId="53" xr:uid="{00000000-0005-0000-0000-00002D000000}"/>
    <cellStyle name="Currency 3" xfId="127" xr:uid="{00000000-0005-0000-0000-00002E000000}"/>
    <cellStyle name="Normal" xfId="0" builtinId="0"/>
    <cellStyle name="Normal 10" xfId="54" xr:uid="{00000000-0005-0000-0000-000030000000}"/>
    <cellStyle name="Normal 11" xfId="55" xr:uid="{00000000-0005-0000-0000-000031000000}"/>
    <cellStyle name="Normal 11 2" xfId="56" xr:uid="{00000000-0005-0000-0000-000032000000}"/>
    <cellStyle name="Normal 12" xfId="109" xr:uid="{00000000-0005-0000-0000-000033000000}"/>
    <cellStyle name="Normal 2" xfId="1" xr:uid="{00000000-0005-0000-0000-000034000000}"/>
    <cellStyle name="Normal 2 2" xfId="16" xr:uid="{00000000-0005-0000-0000-000035000000}"/>
    <cellStyle name="Normal 2 2 2" xfId="58" xr:uid="{00000000-0005-0000-0000-000036000000}"/>
    <cellStyle name="Normal 2 2 3" xfId="59" xr:uid="{00000000-0005-0000-0000-000037000000}"/>
    <cellStyle name="Normal 2 2 4" xfId="57" xr:uid="{00000000-0005-0000-0000-000038000000}"/>
    <cellStyle name="Normal 2 3" xfId="17" xr:uid="{00000000-0005-0000-0000-000039000000}"/>
    <cellStyle name="Normal 2 3 2" xfId="60" xr:uid="{00000000-0005-0000-0000-00003A000000}"/>
    <cellStyle name="Normal 2 4" xfId="14" xr:uid="{00000000-0005-0000-0000-00003B000000}"/>
    <cellStyle name="Normal 2 5" xfId="19" xr:uid="{00000000-0005-0000-0000-00003C000000}"/>
    <cellStyle name="Normal 3" xfId="6" xr:uid="{00000000-0005-0000-0000-00003D000000}"/>
    <cellStyle name="Normal 3 2" xfId="61" xr:uid="{00000000-0005-0000-0000-00003E000000}"/>
    <cellStyle name="Normal 3 2 2" xfId="62" xr:uid="{00000000-0005-0000-0000-00003F000000}"/>
    <cellStyle name="Normal 3 2 2 2" xfId="63" xr:uid="{00000000-0005-0000-0000-000040000000}"/>
    <cellStyle name="Normal 3 2 2 2 2" xfId="64" xr:uid="{00000000-0005-0000-0000-000041000000}"/>
    <cellStyle name="Normal 3 2 2 2 2 2" xfId="65" xr:uid="{00000000-0005-0000-0000-000042000000}"/>
    <cellStyle name="Normal 3 2 2 2 3" xfId="66" xr:uid="{00000000-0005-0000-0000-000043000000}"/>
    <cellStyle name="Normal 3 2 2 2 4" xfId="124" xr:uid="{00000000-0005-0000-0000-000044000000}"/>
    <cellStyle name="Normal 3 2 2 3" xfId="67" xr:uid="{00000000-0005-0000-0000-000045000000}"/>
    <cellStyle name="Normal 3 2 2 3 2" xfId="68" xr:uid="{00000000-0005-0000-0000-000046000000}"/>
    <cellStyle name="Normal 3 2 2 4" xfId="69" xr:uid="{00000000-0005-0000-0000-000047000000}"/>
    <cellStyle name="Normal 3 2 2 5" xfId="116" xr:uid="{00000000-0005-0000-0000-000048000000}"/>
    <cellStyle name="Normal 3 2 3" xfId="70" xr:uid="{00000000-0005-0000-0000-000049000000}"/>
    <cellStyle name="Normal 3 2 3 2" xfId="71" xr:uid="{00000000-0005-0000-0000-00004A000000}"/>
    <cellStyle name="Normal 3 2 3 2 2" xfId="72" xr:uid="{00000000-0005-0000-0000-00004B000000}"/>
    <cellStyle name="Normal 3 2 3 3" xfId="73" xr:uid="{00000000-0005-0000-0000-00004C000000}"/>
    <cellStyle name="Normal 3 2 3 4" xfId="123" xr:uid="{00000000-0005-0000-0000-00004D000000}"/>
    <cellStyle name="Normal 3 2 4" xfId="74" xr:uid="{00000000-0005-0000-0000-00004E000000}"/>
    <cellStyle name="Normal 3 2 4 2" xfId="75" xr:uid="{00000000-0005-0000-0000-00004F000000}"/>
    <cellStyle name="Normal 3 2 5" xfId="76" xr:uid="{00000000-0005-0000-0000-000050000000}"/>
    <cellStyle name="Normal 3 2 6" xfId="112" xr:uid="{00000000-0005-0000-0000-000051000000}"/>
    <cellStyle name="Normal 3 3" xfId="77" xr:uid="{00000000-0005-0000-0000-000052000000}"/>
    <cellStyle name="Normal 3 3 2" xfId="78" xr:uid="{00000000-0005-0000-0000-000053000000}"/>
    <cellStyle name="Normal 3 3 2 2" xfId="79" xr:uid="{00000000-0005-0000-0000-000054000000}"/>
    <cellStyle name="Normal 3 3 2 2 2" xfId="80" xr:uid="{00000000-0005-0000-0000-000055000000}"/>
    <cellStyle name="Normal 3 3 2 3" xfId="81" xr:uid="{00000000-0005-0000-0000-000056000000}"/>
    <cellStyle name="Normal 3 3 2 4" xfId="125" xr:uid="{00000000-0005-0000-0000-000057000000}"/>
    <cellStyle name="Normal 3 3 3" xfId="82" xr:uid="{00000000-0005-0000-0000-000058000000}"/>
    <cellStyle name="Normal 3 3 3 2" xfId="83" xr:uid="{00000000-0005-0000-0000-000059000000}"/>
    <cellStyle name="Normal 3 3 4" xfId="84" xr:uid="{00000000-0005-0000-0000-00005A000000}"/>
    <cellStyle name="Normal 3 3 5" xfId="114" xr:uid="{00000000-0005-0000-0000-00005B000000}"/>
    <cellStyle name="Normal 3 4" xfId="85" xr:uid="{00000000-0005-0000-0000-00005C000000}"/>
    <cellStyle name="Normal 3 4 2" xfId="86" xr:uid="{00000000-0005-0000-0000-00005D000000}"/>
    <cellStyle name="Normal 3 4 2 2" xfId="87" xr:uid="{00000000-0005-0000-0000-00005E000000}"/>
    <cellStyle name="Normal 3 4 3" xfId="88" xr:uid="{00000000-0005-0000-0000-00005F000000}"/>
    <cellStyle name="Normal 3 4 4" xfId="118" xr:uid="{00000000-0005-0000-0000-000060000000}"/>
    <cellStyle name="Normal 3 5" xfId="89" xr:uid="{00000000-0005-0000-0000-000061000000}"/>
    <cellStyle name="Normal 3 5 2" xfId="90" xr:uid="{00000000-0005-0000-0000-000062000000}"/>
    <cellStyle name="Normal 3 6" xfId="91" xr:uid="{00000000-0005-0000-0000-000063000000}"/>
    <cellStyle name="Normal 3 7" xfId="111" xr:uid="{00000000-0005-0000-0000-000064000000}"/>
    <cellStyle name="Normal 4" xfId="4" xr:uid="{00000000-0005-0000-0000-000065000000}"/>
    <cellStyle name="Normal 4 2" xfId="92" xr:uid="{00000000-0005-0000-0000-000066000000}"/>
    <cellStyle name="Normal 5" xfId="7" xr:uid="{00000000-0005-0000-0000-000067000000}"/>
    <cellStyle name="Normal 5 2" xfId="18" xr:uid="{00000000-0005-0000-0000-000068000000}"/>
    <cellStyle name="Normal 5 3" xfId="93" xr:uid="{00000000-0005-0000-0000-000069000000}"/>
    <cellStyle name="Normal 6" xfId="12" xr:uid="{00000000-0005-0000-0000-00006A000000}"/>
    <cellStyle name="Normal 6 2" xfId="95" xr:uid="{00000000-0005-0000-0000-00006B000000}"/>
    <cellStyle name="Normal 6 2 2" xfId="96" xr:uid="{00000000-0005-0000-0000-00006C000000}"/>
    <cellStyle name="Normal 6 2 2 2" xfId="97" xr:uid="{00000000-0005-0000-0000-00006D000000}"/>
    <cellStyle name="Normal 6 2 3" xfId="98" xr:uid="{00000000-0005-0000-0000-00006E000000}"/>
    <cellStyle name="Normal 6 2 4" xfId="126" xr:uid="{00000000-0005-0000-0000-00006F000000}"/>
    <cellStyle name="Normal 6 3" xfId="99" xr:uid="{00000000-0005-0000-0000-000070000000}"/>
    <cellStyle name="Normal 6 3 2" xfId="100" xr:uid="{00000000-0005-0000-0000-000071000000}"/>
    <cellStyle name="Normal 6 4" xfId="101" xr:uid="{00000000-0005-0000-0000-000072000000}"/>
    <cellStyle name="Normal 6 5" xfId="94" xr:uid="{00000000-0005-0000-0000-000073000000}"/>
    <cellStyle name="Normal 7" xfId="102" xr:uid="{00000000-0005-0000-0000-000074000000}"/>
    <cellStyle name="Normal 8" xfId="103" xr:uid="{00000000-0005-0000-0000-000075000000}"/>
    <cellStyle name="Normal 9" xfId="104" xr:uid="{00000000-0005-0000-0000-000076000000}"/>
    <cellStyle name="Percent" xfId="129" builtinId="5"/>
    <cellStyle name="Percent 2" xfId="2" xr:uid="{00000000-0005-0000-0000-000077000000}"/>
    <cellStyle name="Percent 2 2" xfId="11" xr:uid="{00000000-0005-0000-0000-000078000000}"/>
    <cellStyle name="Percent 2 2 2" xfId="106" xr:uid="{00000000-0005-0000-0000-000079000000}"/>
    <cellStyle name="Percent 2 3" xfId="15" xr:uid="{00000000-0005-0000-0000-00007A000000}"/>
    <cellStyle name="Percent 2 3 2" xfId="110" xr:uid="{00000000-0005-0000-0000-00007B000000}"/>
    <cellStyle name="Percent 2 4" xfId="105" xr:uid="{00000000-0005-0000-0000-00007C000000}"/>
    <cellStyle name="Percent 3" xfId="8" xr:uid="{00000000-0005-0000-0000-00007D000000}"/>
    <cellStyle name="Percent 3 2" xfId="107" xr:uid="{00000000-0005-0000-0000-00007E000000}"/>
    <cellStyle name="Percent 4" xfId="108" xr:uid="{00000000-0005-0000-0000-00007F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0"/>
  <sheetViews>
    <sheetView workbookViewId="0">
      <selection activeCell="A40" sqref="A40"/>
    </sheetView>
  </sheetViews>
  <sheetFormatPr defaultRowHeight="15" x14ac:dyDescent="0.25"/>
  <cols>
    <col min="1" max="1" width="45.85546875" customWidth="1"/>
    <col min="4" max="4" width="10.140625" bestFit="1" customWidth="1"/>
  </cols>
  <sheetData>
    <row r="1" spans="1:7" x14ac:dyDescent="0.25">
      <c r="A1" s="48" t="s">
        <v>91</v>
      </c>
      <c r="B1" s="47"/>
      <c r="C1" s="47"/>
      <c r="D1" s="98"/>
      <c r="E1" s="98"/>
      <c r="F1" s="96"/>
      <c r="G1" s="96"/>
    </row>
    <row r="2" spans="1:7" x14ac:dyDescent="0.25">
      <c r="A2" s="48" t="s">
        <v>92</v>
      </c>
      <c r="B2" s="47"/>
      <c r="C2" s="47"/>
      <c r="D2" s="47"/>
      <c r="E2" s="47"/>
    </row>
    <row r="3" spans="1:7" x14ac:dyDescent="0.25">
      <c r="A3" s="48"/>
      <c r="B3" s="47"/>
      <c r="C3" s="47"/>
      <c r="D3" s="47"/>
      <c r="E3" s="47"/>
    </row>
    <row r="5" spans="1:7" x14ac:dyDescent="0.25">
      <c r="A5" s="49" t="s">
        <v>93</v>
      </c>
      <c r="B5" s="49" t="s">
        <v>94</v>
      </c>
      <c r="C5" s="49" t="s">
        <v>95</v>
      </c>
      <c r="D5" s="49" t="s">
        <v>13</v>
      </c>
      <c r="E5" s="49" t="s">
        <v>96</v>
      </c>
    </row>
    <row r="6" spans="1:7" x14ac:dyDescent="0.25">
      <c r="A6" s="51" t="s">
        <v>97</v>
      </c>
      <c r="B6" s="207">
        <f>'Outside Service Chgs-Per Hour'!G53</f>
        <v>138.79754633381174</v>
      </c>
      <c r="C6" s="56">
        <f>'Internal Chgs-Per Hour'!D46</f>
        <v>97.807863759872291</v>
      </c>
      <c r="D6" s="56">
        <f>C6-B6</f>
        <v>-40.989682573939447</v>
      </c>
      <c r="E6" s="52">
        <f>D6/B6</f>
        <v>-0.29531993653085326</v>
      </c>
    </row>
    <row r="7" spans="1:7" x14ac:dyDescent="0.25">
      <c r="A7" s="50" t="s">
        <v>52</v>
      </c>
      <c r="B7" s="208">
        <f>'Outside Service Chgs-Per Hour'!E17</f>
        <v>184.82585956764683</v>
      </c>
      <c r="C7" s="57">
        <f>'Internal Chgs-Per Hour'!D47</f>
        <v>105.73737242819044</v>
      </c>
      <c r="D7" s="57">
        <f>C7-B7</f>
        <v>-79.08848713945639</v>
      </c>
      <c r="E7" s="53">
        <f>D7/B7</f>
        <v>-0.42790812565116065</v>
      </c>
    </row>
    <row r="8" spans="1:7" x14ac:dyDescent="0.25">
      <c r="A8" s="50" t="s">
        <v>64</v>
      </c>
      <c r="B8" s="208">
        <f>'Outside Service Chgs-Per Hour'!D35</f>
        <v>368.71655253223759</v>
      </c>
      <c r="C8" s="57">
        <f>'Internal Chgs-Per Hour'!D48</f>
        <v>141.91460000213888</v>
      </c>
      <c r="D8" s="57">
        <f>C8-B8</f>
        <v>-226.8019525300987</v>
      </c>
      <c r="E8" s="53">
        <f>D8/B8</f>
        <v>-0.61511193618102888</v>
      </c>
    </row>
    <row r="9" spans="1:7" x14ac:dyDescent="0.25">
      <c r="A9" s="50" t="s">
        <v>98</v>
      </c>
      <c r="B9" s="208">
        <f>'Outside Service Chgs-Per Hour'!E76</f>
        <v>196.23415540943392</v>
      </c>
      <c r="C9" s="57">
        <f>'Internal Chgs-Per Hour'!D49</f>
        <v>140.08012158188382</v>
      </c>
      <c r="D9" s="57">
        <f>C9-B9</f>
        <v>-56.154033827550109</v>
      </c>
      <c r="E9" s="53">
        <f>D9/B9</f>
        <v>-0.28615830771349254</v>
      </c>
    </row>
    <row r="10" spans="1:7" x14ac:dyDescent="0.25">
      <c r="A10" s="54" t="s">
        <v>48</v>
      </c>
      <c r="B10" s="209">
        <f>'Outside Service Chgs-Per Hour'!B87</f>
        <v>26.445726117746542</v>
      </c>
      <c r="C10" s="58">
        <f>'Service and ACO per Customer'!C14</f>
        <v>12.446811554256588</v>
      </c>
      <c r="D10" s="58">
        <f>C10-B10</f>
        <v>-13.998914563489954</v>
      </c>
      <c r="E10" s="55">
        <f>D10/B10</f>
        <v>-0.5293450632121578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88"/>
  <sheetViews>
    <sheetView tabSelected="1" workbookViewId="0">
      <selection activeCell="A29" sqref="A29"/>
    </sheetView>
  </sheetViews>
  <sheetFormatPr defaultRowHeight="15" x14ac:dyDescent="0.25"/>
  <cols>
    <col min="1" max="1" width="43.5703125" customWidth="1"/>
    <col min="2" max="2" width="11.85546875" bestFit="1" customWidth="1"/>
    <col min="3" max="3" width="13.7109375" bestFit="1" customWidth="1"/>
    <col min="4" max="4" width="11" customWidth="1"/>
    <col min="5" max="5" width="11.42578125" bestFit="1" customWidth="1"/>
  </cols>
  <sheetData>
    <row r="1" spans="1:8" x14ac:dyDescent="0.25">
      <c r="A1" s="33" t="s">
        <v>30</v>
      </c>
      <c r="B1" s="32"/>
      <c r="C1" s="98"/>
      <c r="D1" s="32"/>
      <c r="E1" s="98"/>
      <c r="F1" s="44"/>
      <c r="G1" s="32"/>
      <c r="H1" s="32"/>
    </row>
    <row r="2" spans="1:8" x14ac:dyDescent="0.25">
      <c r="A2" s="33" t="s">
        <v>49</v>
      </c>
      <c r="B2" s="32"/>
      <c r="C2" s="32"/>
      <c r="D2" s="32"/>
      <c r="E2" s="32"/>
      <c r="F2" s="32"/>
      <c r="G2" s="32"/>
      <c r="H2" s="32"/>
    </row>
    <row r="3" spans="1:8" x14ac:dyDescent="0.25">
      <c r="A3" s="33" t="s">
        <v>50</v>
      </c>
      <c r="B3" s="32"/>
      <c r="C3" s="32"/>
      <c r="D3" s="32"/>
      <c r="E3" s="32"/>
      <c r="F3" s="32"/>
      <c r="G3" s="32"/>
      <c r="H3" s="32"/>
    </row>
    <row r="4" spans="1:8" x14ac:dyDescent="0.25">
      <c r="A4" s="33"/>
      <c r="B4" s="32"/>
      <c r="C4" s="32"/>
      <c r="D4" s="32"/>
      <c r="E4" s="32"/>
      <c r="F4" s="32"/>
      <c r="G4" s="32"/>
      <c r="H4" s="32"/>
    </row>
    <row r="5" spans="1:8" s="96" customFormat="1" x14ac:dyDescent="0.25">
      <c r="A5" s="95" t="s">
        <v>51</v>
      </c>
      <c r="B5" s="44"/>
      <c r="C5" s="44"/>
      <c r="D5" s="44"/>
      <c r="E5" s="44"/>
      <c r="F5" s="44"/>
      <c r="G5" s="44"/>
      <c r="H5" s="44"/>
    </row>
    <row r="6" spans="1:8" s="96" customFormat="1" x14ac:dyDescent="0.25">
      <c r="A6" s="97" t="s">
        <v>52</v>
      </c>
      <c r="B6" s="44"/>
      <c r="C6" s="44"/>
      <c r="D6" s="44"/>
      <c r="E6" s="98"/>
      <c r="F6" s="44"/>
      <c r="G6" s="44"/>
      <c r="H6" s="44"/>
    </row>
    <row r="7" spans="1:8" s="96" customFormat="1" x14ac:dyDescent="0.25">
      <c r="A7" s="98" t="s">
        <v>53</v>
      </c>
      <c r="B7" s="44"/>
      <c r="C7" s="44"/>
      <c r="D7" s="44"/>
      <c r="E7" s="44"/>
      <c r="F7" s="44"/>
      <c r="G7" s="44"/>
      <c r="H7" s="44"/>
    </row>
    <row r="8" spans="1:8" s="96" customFormat="1" x14ac:dyDescent="0.25">
      <c r="A8" s="143" t="s">
        <v>170</v>
      </c>
      <c r="B8" s="44"/>
      <c r="C8" s="44"/>
      <c r="D8" s="44"/>
      <c r="E8" s="44"/>
      <c r="F8" s="44"/>
      <c r="G8" s="44"/>
      <c r="H8" s="44"/>
    </row>
    <row r="9" spans="1:8" s="96" customFormat="1" x14ac:dyDescent="0.25">
      <c r="A9" s="44"/>
      <c r="B9" s="44"/>
      <c r="C9" s="122"/>
      <c r="D9" s="44"/>
      <c r="E9" s="44"/>
      <c r="F9" s="44"/>
      <c r="G9" s="44"/>
      <c r="H9" s="44"/>
    </row>
    <row r="10" spans="1:8" s="96" customFormat="1" x14ac:dyDescent="0.25">
      <c r="A10" s="112"/>
      <c r="B10" s="137"/>
      <c r="C10" s="137"/>
      <c r="D10" s="137"/>
      <c r="E10" s="137"/>
      <c r="F10" s="64"/>
      <c r="G10" s="44"/>
      <c r="H10" s="44"/>
    </row>
    <row r="11" spans="1:8" s="96" customFormat="1" x14ac:dyDescent="0.25">
      <c r="A11" s="113"/>
      <c r="B11" s="138" t="s">
        <v>54</v>
      </c>
      <c r="C11" s="138"/>
      <c r="D11" s="138"/>
      <c r="E11" s="138"/>
      <c r="F11" s="64"/>
      <c r="G11" s="44"/>
      <c r="H11" s="44"/>
    </row>
    <row r="12" spans="1:8" s="96" customFormat="1" x14ac:dyDescent="0.25">
      <c r="A12" s="113"/>
      <c r="B12" s="139" t="s">
        <v>55</v>
      </c>
      <c r="C12" s="139" t="s">
        <v>56</v>
      </c>
      <c r="D12" s="139" t="s">
        <v>57</v>
      </c>
      <c r="E12" s="139" t="s">
        <v>58</v>
      </c>
      <c r="F12" s="64"/>
      <c r="G12" s="44"/>
      <c r="H12" s="44"/>
    </row>
    <row r="13" spans="1:8" s="96" customFormat="1" x14ac:dyDescent="0.25">
      <c r="A13" s="112" t="s">
        <v>59</v>
      </c>
      <c r="B13" s="164">
        <f>183.3756*(1+B18)</f>
        <v>204.04346480378604</v>
      </c>
      <c r="C13" s="152">
        <v>269</v>
      </c>
      <c r="D13" s="152">
        <v>242</v>
      </c>
      <c r="E13" s="152"/>
      <c r="F13" s="147"/>
      <c r="G13" s="148"/>
      <c r="H13" s="44"/>
    </row>
    <row r="14" spans="1:8" s="96" customFormat="1" x14ac:dyDescent="0.25">
      <c r="A14" s="113" t="s">
        <v>60</v>
      </c>
      <c r="B14" s="140">
        <f>133.926*(1+B18)</f>
        <v>149.02050800276507</v>
      </c>
      <c r="C14" s="140">
        <v>234</v>
      </c>
      <c r="D14" s="140">
        <v>224</v>
      </c>
      <c r="E14" s="140"/>
      <c r="F14" s="147"/>
      <c r="G14" s="148"/>
      <c r="H14" s="44"/>
    </row>
    <row r="15" spans="1:8" s="96" customFormat="1" x14ac:dyDescent="0.25">
      <c r="A15" s="113" t="s">
        <v>61</v>
      </c>
      <c r="B15" s="140">
        <f>128.775*(1+B18)</f>
        <v>143.28895000265874</v>
      </c>
      <c r="C15" s="140">
        <v>177</v>
      </c>
      <c r="D15" s="140">
        <v>160</v>
      </c>
      <c r="E15" s="140"/>
      <c r="F15" s="147"/>
      <c r="G15" s="148"/>
      <c r="H15" s="44"/>
    </row>
    <row r="16" spans="1:8" s="96" customFormat="1" x14ac:dyDescent="0.25">
      <c r="A16" s="113" t="s">
        <v>62</v>
      </c>
      <c r="B16" s="140">
        <f>123.624*(1+B18)</f>
        <v>137.55739200255238</v>
      </c>
      <c r="C16" s="140">
        <v>130</v>
      </c>
      <c r="D16" s="140">
        <v>148</v>
      </c>
      <c r="E16" s="140"/>
      <c r="F16" s="147"/>
      <c r="G16" s="148"/>
      <c r="H16" s="105"/>
    </row>
    <row r="17" spans="1:9" s="96" customFormat="1" x14ac:dyDescent="0.25">
      <c r="A17" s="125" t="s">
        <v>58</v>
      </c>
      <c r="B17" s="141">
        <f>AVERAGE(B13:B16)</f>
        <v>158.47757870294055</v>
      </c>
      <c r="C17" s="141">
        <f>AVERAGE(C13:C16)</f>
        <v>202.5</v>
      </c>
      <c r="D17" s="141">
        <f>AVERAGE(D13:D16)</f>
        <v>193.5</v>
      </c>
      <c r="E17" s="141">
        <f>AVERAGE(B17:D17)</f>
        <v>184.82585956764683</v>
      </c>
      <c r="F17" s="64"/>
      <c r="G17" s="44"/>
      <c r="H17" s="44"/>
      <c r="I17" s="44"/>
    </row>
    <row r="18" spans="1:9" s="96" customFormat="1" x14ac:dyDescent="0.25">
      <c r="A18" s="98" t="s">
        <v>159</v>
      </c>
      <c r="B18" s="142">
        <f>'Inflation Calc'!B22</f>
        <v>0.11270782374419512</v>
      </c>
      <c r="C18" s="44"/>
      <c r="D18" s="44"/>
      <c r="E18" s="44"/>
      <c r="F18" s="44"/>
      <c r="G18" s="44"/>
      <c r="H18" s="44"/>
      <c r="I18" s="44"/>
    </row>
    <row r="19" spans="1:9" s="96" customFormat="1" x14ac:dyDescent="0.25">
      <c r="A19" s="98"/>
      <c r="B19" s="142"/>
      <c r="C19" s="44"/>
      <c r="D19" s="44"/>
      <c r="E19" s="44"/>
      <c r="F19" s="44"/>
      <c r="G19" s="44"/>
      <c r="H19" s="44"/>
      <c r="I19" s="44"/>
    </row>
    <row r="20" spans="1:9" s="96" customFormat="1" x14ac:dyDescent="0.25">
      <c r="A20" s="95" t="s">
        <v>63</v>
      </c>
      <c r="B20" s="44"/>
      <c r="C20" s="44"/>
      <c r="D20" s="44"/>
      <c r="E20" s="44"/>
      <c r="F20" s="44"/>
      <c r="G20" s="44"/>
      <c r="H20" s="44"/>
      <c r="I20" s="44"/>
    </row>
    <row r="21" spans="1:9" s="96" customFormat="1" x14ac:dyDescent="0.25">
      <c r="A21" s="97" t="s">
        <v>64</v>
      </c>
      <c r="B21" s="44"/>
      <c r="C21" s="44"/>
      <c r="D21" s="44"/>
      <c r="E21" s="44"/>
      <c r="F21" s="44"/>
      <c r="G21" s="44"/>
      <c r="H21" s="44"/>
      <c r="I21" s="44"/>
    </row>
    <row r="22" spans="1:9" s="96" customFormat="1" x14ac:dyDescent="0.25">
      <c r="A22" s="98" t="s">
        <v>65</v>
      </c>
      <c r="B22" s="44"/>
      <c r="C22" s="44"/>
      <c r="D22" s="44"/>
      <c r="E22" s="44"/>
      <c r="F22" s="44"/>
      <c r="G22" s="44"/>
      <c r="H22" s="44"/>
      <c r="I22" s="44"/>
    </row>
    <row r="23" spans="1:9" s="96" customFormat="1" x14ac:dyDescent="0.25">
      <c r="A23" s="143" t="s">
        <v>169</v>
      </c>
      <c r="B23" s="44"/>
      <c r="C23" s="44"/>
      <c r="D23" s="44"/>
      <c r="E23" s="44"/>
      <c r="F23" s="44"/>
      <c r="G23" s="44"/>
      <c r="H23" s="44"/>
      <c r="I23" s="44"/>
    </row>
    <row r="24" spans="1:9" s="96" customFormat="1" x14ac:dyDescent="0.25">
      <c r="A24" s="143"/>
      <c r="B24" s="44"/>
      <c r="C24" s="44"/>
      <c r="D24" s="44"/>
      <c r="E24" s="44"/>
      <c r="F24" s="44"/>
      <c r="G24" s="44"/>
      <c r="H24" s="44"/>
      <c r="I24" s="44"/>
    </row>
    <row r="25" spans="1:9" s="96" customFormat="1" x14ac:dyDescent="0.25">
      <c r="A25" s="97" t="s">
        <v>66</v>
      </c>
      <c r="B25" s="44"/>
      <c r="C25" s="44"/>
      <c r="D25" s="98"/>
      <c r="E25" s="44"/>
      <c r="F25" s="44"/>
      <c r="G25" s="44"/>
      <c r="H25" s="44"/>
      <c r="I25" s="44"/>
    </row>
    <row r="26" spans="1:9" s="96" customFormat="1" x14ac:dyDescent="0.25">
      <c r="A26" s="97"/>
      <c r="B26" s="44"/>
      <c r="C26" s="122"/>
      <c r="D26" s="44"/>
      <c r="E26" s="44"/>
      <c r="F26" s="44"/>
      <c r="G26" s="44"/>
      <c r="H26" s="44"/>
      <c r="I26" s="44"/>
    </row>
    <row r="27" spans="1:9" s="96" customFormat="1" x14ac:dyDescent="0.25">
      <c r="A27" s="44"/>
      <c r="B27" s="261" t="s">
        <v>67</v>
      </c>
      <c r="C27" s="264"/>
      <c r="D27" s="97"/>
      <c r="E27" s="97"/>
      <c r="F27" s="97"/>
      <c r="G27" s="97"/>
      <c r="H27" s="97"/>
      <c r="I27" s="97"/>
    </row>
    <row r="28" spans="1:9" s="96" customFormat="1" x14ac:dyDescent="0.25">
      <c r="A28" s="97"/>
      <c r="B28" s="145" t="s">
        <v>68</v>
      </c>
      <c r="C28" s="163" t="s">
        <v>69</v>
      </c>
      <c r="D28" s="145" t="s">
        <v>58</v>
      </c>
      <c r="E28" s="44"/>
      <c r="F28" s="44"/>
      <c r="G28" s="44"/>
      <c r="H28" s="44"/>
      <c r="I28" s="44"/>
    </row>
    <row r="29" spans="1:9" s="96" customFormat="1" x14ac:dyDescent="0.25">
      <c r="A29" s="97" t="s">
        <v>70</v>
      </c>
      <c r="B29" s="144">
        <f>256.8615*(1+B36)</f>
        <v>272.69726532290457</v>
      </c>
      <c r="C29" s="144">
        <f>430.62075*(1+B36)</f>
        <v>457.16894480604589</v>
      </c>
      <c r="D29" s="146"/>
      <c r="E29" s="44"/>
      <c r="F29" s="44"/>
      <c r="G29" s="149"/>
      <c r="H29" s="44"/>
      <c r="I29" s="44"/>
    </row>
    <row r="30" spans="1:9" s="96" customFormat="1" x14ac:dyDescent="0.25">
      <c r="A30" s="97" t="s">
        <v>56</v>
      </c>
      <c r="B30" s="144">
        <v>270</v>
      </c>
      <c r="C30" s="146">
        <v>475</v>
      </c>
      <c r="D30" s="146"/>
      <c r="E30" s="44"/>
      <c r="F30" s="44"/>
      <c r="G30" s="44"/>
      <c r="H30" s="44"/>
      <c r="I30" s="44"/>
    </row>
    <row r="31" spans="1:9" s="96" customFormat="1" x14ac:dyDescent="0.25">
      <c r="A31" s="97" t="s">
        <v>57</v>
      </c>
      <c r="B31" s="144"/>
      <c r="C31" s="146"/>
      <c r="D31" s="146"/>
      <c r="E31" s="44"/>
      <c r="F31" s="44"/>
      <c r="G31" s="44"/>
      <c r="H31" s="44"/>
      <c r="I31" s="44"/>
    </row>
    <row r="32" spans="1:9" s="96" customFormat="1" x14ac:dyDescent="0.25">
      <c r="A32" s="97" t="s">
        <v>71</v>
      </c>
      <c r="B32" s="144"/>
      <c r="C32" s="146"/>
      <c r="D32" s="146"/>
      <c r="E32" s="44"/>
      <c r="F32" s="44"/>
      <c r="G32" s="44"/>
      <c r="H32" s="44"/>
      <c r="I32" s="44"/>
    </row>
    <row r="33" spans="1:9" s="96" customFormat="1" x14ac:dyDescent="0.25">
      <c r="A33" s="97" t="s">
        <v>72</v>
      </c>
      <c r="B33" s="144"/>
      <c r="C33" s="110"/>
      <c r="D33" s="146"/>
      <c r="E33" s="44"/>
      <c r="F33" s="44"/>
      <c r="G33" s="44"/>
      <c r="H33" s="44"/>
      <c r="I33" s="44"/>
    </row>
    <row r="34" spans="1:9" s="96" customFormat="1" x14ac:dyDescent="0.25">
      <c r="A34" s="97" t="s">
        <v>73</v>
      </c>
      <c r="B34" s="144"/>
      <c r="C34" s="146"/>
      <c r="D34" s="146"/>
      <c r="E34" s="44"/>
      <c r="F34" s="44"/>
      <c r="G34" s="44"/>
      <c r="H34" s="44"/>
      <c r="I34" s="44"/>
    </row>
    <row r="35" spans="1:9" s="96" customFormat="1" x14ac:dyDescent="0.25">
      <c r="A35" s="97"/>
      <c r="B35" s="150">
        <f>AVERAGE(B29:B34)</f>
        <v>271.34863266145226</v>
      </c>
      <c r="C35" s="150">
        <f>AVERAGE(C29:C34)</f>
        <v>466.08447240302291</v>
      </c>
      <c r="D35" s="150">
        <f>AVERAGE(B35:C35)</f>
        <v>368.71655253223759</v>
      </c>
      <c r="E35" s="44"/>
      <c r="F35" s="44"/>
      <c r="G35" s="44"/>
      <c r="H35" s="44"/>
      <c r="I35" s="44"/>
    </row>
    <row r="36" spans="1:9" s="96" customFormat="1" x14ac:dyDescent="0.25">
      <c r="A36" s="98" t="s">
        <v>159</v>
      </c>
      <c r="B36" s="165">
        <f>'Inflation Calc'!B10</f>
        <v>6.1650988267624961E-2</v>
      </c>
      <c r="C36" s="97"/>
      <c r="D36" s="97"/>
      <c r="E36" s="97"/>
      <c r="F36" s="97"/>
      <c r="G36" s="97"/>
      <c r="H36" s="97"/>
      <c r="I36" s="97"/>
    </row>
    <row r="37" spans="1:9" s="96" customFormat="1" x14ac:dyDescent="0.25">
      <c r="A37" s="95"/>
      <c r="B37" s="44"/>
      <c r="C37" s="44"/>
      <c r="D37" s="44"/>
      <c r="E37" s="44"/>
      <c r="F37" s="44"/>
      <c r="G37" s="44"/>
      <c r="H37" s="44"/>
      <c r="I37" s="128"/>
    </row>
    <row r="38" spans="1:9" s="96" customFormat="1" x14ac:dyDescent="0.25">
      <c r="A38" s="95" t="s">
        <v>74</v>
      </c>
      <c r="B38" s="44"/>
      <c r="C38" s="44"/>
      <c r="D38" s="44"/>
      <c r="E38" s="44"/>
      <c r="F38" s="44"/>
      <c r="G38" s="44"/>
      <c r="H38" s="44"/>
      <c r="I38" s="128"/>
    </row>
    <row r="39" spans="1:9" s="96" customFormat="1" x14ac:dyDescent="0.25">
      <c r="A39" s="97" t="s">
        <v>75</v>
      </c>
      <c r="B39" s="44"/>
      <c r="C39" s="44"/>
      <c r="D39" s="44"/>
      <c r="E39" s="44"/>
      <c r="F39" s="44"/>
      <c r="G39" s="44"/>
      <c r="H39" s="44"/>
      <c r="I39" s="44"/>
    </row>
    <row r="40" spans="1:9" s="96" customFormat="1" x14ac:dyDescent="0.25">
      <c r="A40" s="136" t="s">
        <v>163</v>
      </c>
      <c r="B40" s="44"/>
      <c r="C40" s="44"/>
      <c r="D40" s="44"/>
      <c r="E40" s="44"/>
      <c r="F40" s="44"/>
      <c r="G40" s="44"/>
      <c r="H40" s="44"/>
      <c r="I40" s="97"/>
    </row>
    <row r="41" spans="1:9" s="96" customFormat="1" x14ac:dyDescent="0.25">
      <c r="A41" s="136" t="s">
        <v>157</v>
      </c>
      <c r="B41" s="44"/>
      <c r="C41" s="44"/>
      <c r="D41" s="44"/>
      <c r="E41" s="44"/>
      <c r="F41" s="44"/>
      <c r="G41" s="44"/>
      <c r="H41" s="44"/>
      <c r="I41" s="97"/>
    </row>
    <row r="42" spans="1:9" s="96" customFormat="1" x14ac:dyDescent="0.25">
      <c r="A42" s="97"/>
      <c r="B42" s="44"/>
      <c r="C42" s="122"/>
      <c r="D42" s="44"/>
      <c r="E42" s="44"/>
      <c r="F42" s="44"/>
      <c r="G42" s="44"/>
      <c r="H42" s="44"/>
      <c r="I42" s="44"/>
    </row>
    <row r="43" spans="1:9" s="96" customFormat="1" x14ac:dyDescent="0.25">
      <c r="A43" s="44"/>
      <c r="B43" s="261" t="s">
        <v>76</v>
      </c>
      <c r="C43" s="262"/>
      <c r="D43" s="262"/>
      <c r="E43" s="263"/>
      <c r="F43" s="127"/>
      <c r="G43" s="44"/>
      <c r="H43" s="44"/>
      <c r="I43" s="44"/>
    </row>
    <row r="44" spans="1:9" s="96" customFormat="1" x14ac:dyDescent="0.25">
      <c r="A44" s="97"/>
      <c r="B44" s="132" t="s">
        <v>68</v>
      </c>
      <c r="C44" s="135" t="s">
        <v>77</v>
      </c>
      <c r="D44" s="135" t="s">
        <v>78</v>
      </c>
      <c r="E44" s="133" t="s">
        <v>79</v>
      </c>
      <c r="F44" s="127"/>
      <c r="G44" s="44"/>
      <c r="H44" s="44"/>
      <c r="I44" s="44"/>
    </row>
    <row r="45" spans="1:9" s="96" customFormat="1" x14ac:dyDescent="0.25">
      <c r="A45" s="112" t="s">
        <v>80</v>
      </c>
      <c r="B45" s="166">
        <v>95.189850000000007</v>
      </c>
      <c r="C45" s="167">
        <v>115.83950000000002</v>
      </c>
      <c r="D45" s="167">
        <v>141.02200000000002</v>
      </c>
      <c r="E45" s="168">
        <v>191.38700000000003</v>
      </c>
      <c r="F45" s="105"/>
      <c r="G45" s="105"/>
      <c r="H45" s="105"/>
      <c r="I45" s="105"/>
    </row>
    <row r="46" spans="1:9" s="96" customFormat="1" x14ac:dyDescent="0.25">
      <c r="A46" s="113" t="s">
        <v>81</v>
      </c>
      <c r="B46" s="169">
        <f>'Inflation Calc'!B16</f>
        <v>6.9395942285743431E-2</v>
      </c>
      <c r="C46" s="170">
        <f>B46</f>
        <v>6.9395942285743431E-2</v>
      </c>
      <c r="D46" s="170">
        <f>B46</f>
        <v>6.9395942285743431E-2</v>
      </c>
      <c r="E46" s="171">
        <f>B46</f>
        <v>6.9395942285743431E-2</v>
      </c>
      <c r="F46" s="131"/>
      <c r="G46" s="44"/>
      <c r="H46" s="44"/>
      <c r="I46" s="44"/>
    </row>
    <row r="47" spans="1:9" s="96" customFormat="1" x14ac:dyDescent="0.25">
      <c r="A47" s="113"/>
      <c r="B47" s="130"/>
      <c r="C47" s="131"/>
      <c r="D47" s="131"/>
      <c r="E47" s="129"/>
      <c r="F47" s="131"/>
      <c r="G47" s="44"/>
      <c r="H47" s="44"/>
      <c r="I47" s="44"/>
    </row>
    <row r="48" spans="1:9" s="96" customFormat="1" x14ac:dyDescent="0.25">
      <c r="A48" s="113" t="s">
        <v>160</v>
      </c>
      <c r="B48" s="172">
        <f>B45*(1+B46)</f>
        <v>101.7956393367886</v>
      </c>
      <c r="C48" s="105">
        <f t="shared" ref="C48:E48" si="0">C45*(1+C46)</f>
        <v>123.8782912564094</v>
      </c>
      <c r="D48" s="105">
        <f t="shared" si="0"/>
        <v>150.80835457302015</v>
      </c>
      <c r="E48" s="173">
        <f t="shared" si="0"/>
        <v>204.66848120624164</v>
      </c>
      <c r="F48" s="105"/>
      <c r="G48" s="44"/>
      <c r="H48" s="44"/>
      <c r="I48" s="44"/>
    </row>
    <row r="49" spans="1:9" s="96" customFormat="1" x14ac:dyDescent="0.25">
      <c r="A49" s="113"/>
      <c r="B49" s="111"/>
      <c r="C49" s="64"/>
      <c r="D49" s="64"/>
      <c r="E49" s="124"/>
      <c r="F49" s="64"/>
      <c r="G49" s="44"/>
      <c r="H49" s="44"/>
      <c r="I49" s="44"/>
    </row>
    <row r="50" spans="1:9" s="96" customFormat="1" x14ac:dyDescent="0.25">
      <c r="A50" s="113" t="s">
        <v>82</v>
      </c>
      <c r="B50" s="111"/>
      <c r="C50" s="64"/>
      <c r="D50" s="64"/>
      <c r="E50" s="124"/>
      <c r="F50" s="64"/>
      <c r="G50" s="44"/>
      <c r="H50" s="44"/>
    </row>
    <row r="51" spans="1:9" s="96" customFormat="1" x14ac:dyDescent="0.25">
      <c r="A51" s="113" t="s">
        <v>83</v>
      </c>
      <c r="B51" s="115">
        <v>0.3</v>
      </c>
      <c r="C51" s="116">
        <v>0.3</v>
      </c>
      <c r="D51" s="116">
        <v>0.2</v>
      </c>
      <c r="E51" s="121">
        <v>0.2</v>
      </c>
      <c r="F51" s="116"/>
      <c r="G51" s="117" t="s">
        <v>84</v>
      </c>
      <c r="H51" s="122"/>
    </row>
    <row r="52" spans="1:9" s="96" customFormat="1" x14ac:dyDescent="0.25">
      <c r="A52" s="113"/>
      <c r="B52" s="118"/>
      <c r="C52" s="119"/>
      <c r="D52" s="119"/>
      <c r="E52" s="123"/>
      <c r="F52" s="64"/>
      <c r="G52" s="117" t="s">
        <v>58</v>
      </c>
      <c r="H52" s="44"/>
    </row>
    <row r="53" spans="1:9" s="96" customFormat="1" x14ac:dyDescent="0.25">
      <c r="A53" s="125" t="s">
        <v>58</v>
      </c>
      <c r="B53" s="174">
        <f>+B48*B51</f>
        <v>30.538691801036578</v>
      </c>
      <c r="C53" s="175">
        <f t="shared" ref="C53:E53" si="1">+C48*C51</f>
        <v>37.163487376922816</v>
      </c>
      <c r="D53" s="175">
        <f t="shared" si="1"/>
        <v>30.161670914604031</v>
      </c>
      <c r="E53" s="176">
        <f t="shared" si="1"/>
        <v>40.933696241248327</v>
      </c>
      <c r="F53" s="107"/>
      <c r="G53" s="126">
        <f>B53+C53+D53+E53</f>
        <v>138.79754633381174</v>
      </c>
      <c r="H53" s="44"/>
    </row>
    <row r="54" spans="1:9" s="96" customFormat="1" x14ac:dyDescent="0.25"/>
    <row r="55" spans="1:9" s="96" customFormat="1" x14ac:dyDescent="0.25">
      <c r="A55" s="95" t="s">
        <v>85</v>
      </c>
      <c r="B55" s="44"/>
      <c r="C55" s="44"/>
      <c r="D55" s="44"/>
      <c r="E55" s="44"/>
      <c r="F55" s="44"/>
      <c r="G55" s="44"/>
      <c r="H55" s="44"/>
    </row>
    <row r="56" spans="1:9" s="96" customFormat="1" x14ac:dyDescent="0.25">
      <c r="A56" s="97" t="s">
        <v>86</v>
      </c>
      <c r="B56" s="44"/>
      <c r="C56" s="44"/>
      <c r="D56" s="44"/>
      <c r="E56" s="44"/>
      <c r="F56" s="44"/>
      <c r="G56" s="44"/>
      <c r="H56" s="44"/>
    </row>
    <row r="57" spans="1:9" s="96" customFormat="1" x14ac:dyDescent="0.25">
      <c r="A57" s="98" t="s">
        <v>156</v>
      </c>
      <c r="B57" s="44"/>
      <c r="C57" s="44"/>
      <c r="D57" s="44"/>
      <c r="E57" s="44"/>
      <c r="F57" s="44"/>
      <c r="G57" s="44"/>
      <c r="H57" s="44"/>
    </row>
    <row r="58" spans="1:9" s="96" customFormat="1" x14ac:dyDescent="0.25">
      <c r="A58" s="98" t="s">
        <v>158</v>
      </c>
      <c r="B58" s="44"/>
      <c r="C58" s="44"/>
      <c r="D58" s="44"/>
      <c r="E58" s="44"/>
      <c r="F58" s="44"/>
      <c r="G58" s="44"/>
      <c r="H58" s="44"/>
    </row>
    <row r="59" spans="1:9" s="96" customFormat="1" x14ac:dyDescent="0.25">
      <c r="A59" s="97"/>
      <c r="B59" s="44"/>
      <c r="C59" s="44"/>
      <c r="D59" s="44"/>
      <c r="E59" s="44"/>
      <c r="F59" s="44"/>
      <c r="G59" s="44"/>
      <c r="H59" s="44"/>
    </row>
    <row r="60" spans="1:9" s="96" customFormat="1" x14ac:dyDescent="0.25">
      <c r="A60" s="44"/>
      <c r="B60" s="261" t="s">
        <v>76</v>
      </c>
      <c r="C60" s="262"/>
      <c r="D60" s="263"/>
      <c r="E60" s="44"/>
    </row>
    <row r="61" spans="1:9" s="96" customFormat="1" x14ac:dyDescent="0.25">
      <c r="A61" s="99" t="s">
        <v>155</v>
      </c>
      <c r="B61" s="161" t="s">
        <v>153</v>
      </c>
      <c r="C61" s="162" t="s">
        <v>154</v>
      </c>
      <c r="D61" s="163" t="s">
        <v>59</v>
      </c>
      <c r="E61" s="44"/>
    </row>
    <row r="62" spans="1:9" s="96" customFormat="1" x14ac:dyDescent="0.25">
      <c r="A62" s="83" t="s">
        <v>149</v>
      </c>
      <c r="B62" s="177">
        <v>188</v>
      </c>
      <c r="C62" s="178">
        <v>217</v>
      </c>
      <c r="D62" s="179">
        <v>251</v>
      </c>
      <c r="E62" s="44"/>
    </row>
    <row r="63" spans="1:9" s="96" customFormat="1" x14ac:dyDescent="0.25">
      <c r="A63" s="93" t="s">
        <v>150</v>
      </c>
      <c r="B63" s="172">
        <v>166</v>
      </c>
      <c r="C63" s="105">
        <v>181</v>
      </c>
      <c r="D63" s="173">
        <v>177</v>
      </c>
      <c r="E63" s="44"/>
    </row>
    <row r="64" spans="1:9" s="96" customFormat="1" x14ac:dyDescent="0.25">
      <c r="A64" s="93" t="s">
        <v>151</v>
      </c>
      <c r="B64" s="172">
        <v>151</v>
      </c>
      <c r="C64" s="105">
        <v>173</v>
      </c>
      <c r="D64" s="173">
        <v>196</v>
      </c>
      <c r="E64" s="44"/>
    </row>
    <row r="65" spans="1:8" s="96" customFormat="1" x14ac:dyDescent="0.25">
      <c r="A65" s="106" t="s">
        <v>152</v>
      </c>
      <c r="B65" s="180">
        <v>144</v>
      </c>
      <c r="C65" s="181">
        <v>170</v>
      </c>
      <c r="D65" s="107">
        <v>188</v>
      </c>
      <c r="E65" s="64"/>
    </row>
    <row r="66" spans="1:8" s="96" customFormat="1" x14ac:dyDescent="0.25">
      <c r="A66" s="83"/>
      <c r="B66" s="108"/>
      <c r="C66" s="109"/>
      <c r="D66" s="109"/>
      <c r="E66" s="44"/>
    </row>
    <row r="67" spans="1:8" s="96" customFormat="1" x14ac:dyDescent="0.25">
      <c r="A67" s="93" t="s">
        <v>81</v>
      </c>
      <c r="B67" s="169">
        <f>'Inflation Calc'!B16</f>
        <v>6.9395942285743431E-2</v>
      </c>
      <c r="C67" s="170">
        <f>B67</f>
        <v>6.9395942285743431E-2</v>
      </c>
      <c r="D67" s="170">
        <f>B67</f>
        <v>6.9395942285743431E-2</v>
      </c>
      <c r="E67" s="44"/>
    </row>
    <row r="68" spans="1:8" s="96" customFormat="1" x14ac:dyDescent="0.25">
      <c r="A68" s="110"/>
      <c r="B68" s="111"/>
      <c r="C68" s="64"/>
      <c r="D68" s="64"/>
      <c r="E68" s="44"/>
    </row>
    <row r="69" spans="1:8" s="96" customFormat="1" x14ac:dyDescent="0.25">
      <c r="A69" s="93" t="s">
        <v>171</v>
      </c>
      <c r="B69" s="111"/>
      <c r="C69" s="64"/>
      <c r="D69" s="64"/>
      <c r="E69" s="44"/>
    </row>
    <row r="70" spans="1:8" s="96" customFormat="1" x14ac:dyDescent="0.25">
      <c r="A70" s="112" t="s">
        <v>149</v>
      </c>
      <c r="B70" s="177">
        <f t="shared" ref="B70:D73" si="2">B62*(1+B$67)</f>
        <v>201.04643714971979</v>
      </c>
      <c r="C70" s="178">
        <f t="shared" si="2"/>
        <v>232.05891947600634</v>
      </c>
      <c r="D70" s="179">
        <f t="shared" si="2"/>
        <v>268.41838151372161</v>
      </c>
      <c r="E70" s="44"/>
    </row>
    <row r="71" spans="1:8" s="96" customFormat="1" x14ac:dyDescent="0.25">
      <c r="A71" s="113" t="s">
        <v>150</v>
      </c>
      <c r="B71" s="172">
        <f t="shared" si="2"/>
        <v>177.51972641943343</v>
      </c>
      <c r="C71" s="105">
        <f t="shared" si="2"/>
        <v>193.56066555371959</v>
      </c>
      <c r="D71" s="173">
        <f t="shared" si="2"/>
        <v>189.28308178457661</v>
      </c>
      <c r="E71" s="44"/>
    </row>
    <row r="72" spans="1:8" s="96" customFormat="1" x14ac:dyDescent="0.25">
      <c r="A72" s="113" t="s">
        <v>151</v>
      </c>
      <c r="B72" s="172">
        <f t="shared" si="2"/>
        <v>161.47878728514726</v>
      </c>
      <c r="C72" s="105">
        <f t="shared" si="2"/>
        <v>185.00549801543363</v>
      </c>
      <c r="D72" s="173">
        <f t="shared" si="2"/>
        <v>209.60160468800572</v>
      </c>
      <c r="E72" s="44"/>
    </row>
    <row r="73" spans="1:8" s="96" customFormat="1" x14ac:dyDescent="0.25">
      <c r="A73" s="114" t="s">
        <v>152</v>
      </c>
      <c r="B73" s="180">
        <f t="shared" si="2"/>
        <v>153.99301568914706</v>
      </c>
      <c r="C73" s="181">
        <f t="shared" si="2"/>
        <v>181.7973101885764</v>
      </c>
      <c r="D73" s="107">
        <f t="shared" si="2"/>
        <v>201.04643714971979</v>
      </c>
      <c r="E73" s="44"/>
    </row>
    <row r="74" spans="1:8" s="96" customFormat="1" x14ac:dyDescent="0.25">
      <c r="A74" s="93"/>
      <c r="B74" s="111"/>
      <c r="C74" s="64"/>
      <c r="D74" s="64"/>
      <c r="E74" s="44"/>
    </row>
    <row r="75" spans="1:8" s="96" customFormat="1" x14ac:dyDescent="0.25">
      <c r="A75" s="93"/>
      <c r="B75" s="118"/>
      <c r="C75" s="119"/>
      <c r="D75" s="119"/>
      <c r="E75" s="117" t="s">
        <v>58</v>
      </c>
    </row>
    <row r="76" spans="1:8" s="96" customFormat="1" x14ac:dyDescent="0.25">
      <c r="A76" s="120" t="s">
        <v>58</v>
      </c>
      <c r="B76" s="180">
        <f>AVERAGE(B70:B73)</f>
        <v>173.50949163586188</v>
      </c>
      <c r="C76" s="180">
        <f>AVERAGE(C70:C73)</f>
        <v>198.105598308434</v>
      </c>
      <c r="D76" s="180">
        <f>AVERAGE(D70:D73)</f>
        <v>217.08737628400593</v>
      </c>
      <c r="E76" s="182">
        <f>AVERAGE(B76:D76)</f>
        <v>196.23415540943392</v>
      </c>
    </row>
    <row r="77" spans="1:8" x14ac:dyDescent="0.25">
      <c r="A77" s="41"/>
      <c r="B77" s="105"/>
      <c r="C77" s="105"/>
      <c r="D77" s="105"/>
      <c r="E77" s="105"/>
      <c r="F77" s="34"/>
      <c r="G77" s="34"/>
      <c r="H77" s="38"/>
    </row>
    <row r="78" spans="1:8" x14ac:dyDescent="0.25">
      <c r="A78" s="40" t="s">
        <v>87</v>
      </c>
      <c r="B78" s="32"/>
      <c r="C78" s="32"/>
      <c r="D78" s="32"/>
      <c r="E78" s="32"/>
      <c r="F78" s="32"/>
      <c r="G78" s="32"/>
      <c r="H78" s="32"/>
    </row>
    <row r="79" spans="1:8" x14ac:dyDescent="0.25">
      <c r="A79" s="33" t="s">
        <v>48</v>
      </c>
      <c r="B79" s="32"/>
      <c r="C79" s="32"/>
      <c r="D79" s="32"/>
      <c r="E79" s="32"/>
      <c r="F79" s="32"/>
      <c r="G79" s="32"/>
      <c r="H79" s="32"/>
    </row>
    <row r="80" spans="1:8" x14ac:dyDescent="0.25">
      <c r="A80" s="39" t="s">
        <v>88</v>
      </c>
      <c r="B80" s="32"/>
      <c r="C80" s="32"/>
      <c r="D80" s="32"/>
      <c r="E80" s="32"/>
      <c r="F80" s="32"/>
      <c r="G80" s="32"/>
      <c r="H80" s="32"/>
    </row>
    <row r="81" spans="1:2" x14ac:dyDescent="0.25">
      <c r="A81" s="39" t="s">
        <v>90</v>
      </c>
      <c r="B81" s="32"/>
    </row>
    <row r="82" spans="1:2" x14ac:dyDescent="0.25">
      <c r="A82" s="39"/>
      <c r="B82" s="43"/>
    </row>
    <row r="83" spans="1:2" x14ac:dyDescent="0.25">
      <c r="A83" s="33"/>
      <c r="B83" s="37" t="s">
        <v>54</v>
      </c>
    </row>
    <row r="84" spans="1:2" x14ac:dyDescent="0.25">
      <c r="A84" s="36" t="s">
        <v>89</v>
      </c>
      <c r="B84" s="184">
        <v>24.91</v>
      </c>
    </row>
    <row r="85" spans="1:2" x14ac:dyDescent="0.25">
      <c r="A85" s="35" t="s">
        <v>81</v>
      </c>
      <c r="B85" s="185">
        <f>'Inflation Calc'!B10</f>
        <v>6.1650988267624961E-2</v>
      </c>
    </row>
    <row r="86" spans="1:2" x14ac:dyDescent="0.25">
      <c r="A86" s="35"/>
      <c r="B86" s="185"/>
    </row>
    <row r="87" spans="1:2" x14ac:dyDescent="0.25">
      <c r="A87" s="42" t="s">
        <v>172</v>
      </c>
      <c r="B87" s="186">
        <f>B84*(1+B85)</f>
        <v>26.445726117746542</v>
      </c>
    </row>
    <row r="88" spans="1:2" x14ac:dyDescent="0.25">
      <c r="A88" s="33"/>
      <c r="B88" s="32"/>
    </row>
  </sheetData>
  <mergeCells count="3">
    <mergeCell ref="B43:E43"/>
    <mergeCell ref="B27:C27"/>
    <mergeCell ref="B60:D6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J175"/>
  <sheetViews>
    <sheetView workbookViewId="0">
      <selection activeCell="F19" sqref="F19"/>
    </sheetView>
  </sheetViews>
  <sheetFormatPr defaultColWidth="8.85546875" defaultRowHeight="12.75" x14ac:dyDescent="0.2"/>
  <cols>
    <col min="1" max="1" width="28.85546875" style="47" customWidth="1"/>
    <col min="2" max="2" width="27.5703125" style="47" bestFit="1" customWidth="1"/>
    <col min="3" max="3" width="21.5703125" style="47" bestFit="1" customWidth="1"/>
    <col min="4" max="4" width="10" style="47" customWidth="1"/>
    <col min="5" max="7" width="16.7109375" style="47" customWidth="1"/>
    <col min="8" max="8" width="20.140625" style="47" bestFit="1" customWidth="1"/>
    <col min="9" max="9" width="19.42578125" style="47" bestFit="1" customWidth="1"/>
    <col min="10" max="10" width="25.28515625" style="47" bestFit="1" customWidth="1"/>
    <col min="11" max="12" width="13.5703125" style="47" bestFit="1" customWidth="1"/>
    <col min="13" max="13" width="25.28515625" style="47" bestFit="1" customWidth="1"/>
    <col min="14" max="15" width="25.28515625" style="47" customWidth="1"/>
    <col min="16" max="16" width="14.5703125" style="47" customWidth="1"/>
    <col min="17" max="19" width="19.140625" style="47" customWidth="1"/>
    <col min="20" max="20" width="14.5703125" style="47" customWidth="1"/>
    <col min="21" max="54" width="26" style="47" customWidth="1"/>
    <col min="55" max="55" width="12.7109375" style="47" bestFit="1" customWidth="1"/>
    <col min="56" max="57" width="36" style="47" bestFit="1" customWidth="1"/>
    <col min="58" max="58" width="11.28515625" style="47" bestFit="1" customWidth="1"/>
    <col min="59" max="16384" width="8.85546875" style="47"/>
  </cols>
  <sheetData>
    <row r="1" spans="1:10" x14ac:dyDescent="0.2">
      <c r="A1" s="41" t="s">
        <v>30</v>
      </c>
      <c r="B1" s="19"/>
      <c r="C1" s="210"/>
      <c r="D1" s="19"/>
      <c r="E1" s="19"/>
      <c r="F1" s="19"/>
      <c r="G1" s="19"/>
      <c r="H1" s="19"/>
      <c r="I1" s="19"/>
      <c r="J1" s="19"/>
    </row>
    <row r="2" spans="1:10" x14ac:dyDescent="0.2">
      <c r="A2" s="41" t="s">
        <v>99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41" t="s">
        <v>50</v>
      </c>
      <c r="B3" s="59"/>
      <c r="C3" s="19"/>
      <c r="D3" s="19"/>
      <c r="E3" s="19"/>
      <c r="F3" s="19"/>
      <c r="G3" s="19"/>
      <c r="H3" s="19"/>
      <c r="I3" s="19"/>
      <c r="J3" s="19"/>
    </row>
    <row r="4" spans="1:10" x14ac:dyDescent="0.2">
      <c r="A4" s="155"/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">
      <c r="A6" s="158" t="s">
        <v>100</v>
      </c>
      <c r="B6" s="64"/>
      <c r="C6" s="64"/>
      <c r="D6" s="64"/>
      <c r="E6" s="19"/>
      <c r="F6" s="19"/>
      <c r="G6" s="19"/>
      <c r="H6" s="19"/>
      <c r="I6" s="19"/>
      <c r="J6" s="19"/>
    </row>
    <row r="7" spans="1:10" x14ac:dyDescent="0.2">
      <c r="A7" s="151" t="s">
        <v>101</v>
      </c>
      <c r="B7" s="145" t="s">
        <v>102</v>
      </c>
      <c r="C7" s="145" t="s">
        <v>103</v>
      </c>
      <c r="D7" s="145" t="s">
        <v>104</v>
      </c>
      <c r="E7" s="61"/>
      <c r="F7" s="19"/>
      <c r="G7" s="19"/>
      <c r="H7" s="19"/>
      <c r="I7" s="19"/>
      <c r="J7" s="19"/>
    </row>
    <row r="8" spans="1:10" ht="15" x14ac:dyDescent="0.25">
      <c r="A8" s="153" t="s">
        <v>97</v>
      </c>
      <c r="B8" s="252">
        <v>80273.560000000027</v>
      </c>
      <c r="C8" s="253">
        <v>7612940.3699999368</v>
      </c>
      <c r="D8" s="157">
        <f>C8/B8</f>
        <v>94.837457937581618</v>
      </c>
      <c r="E8" s="19"/>
      <c r="F8" s="62"/>
      <c r="G8" s="62"/>
      <c r="H8" s="19"/>
      <c r="I8" s="19"/>
      <c r="J8" s="19"/>
    </row>
    <row r="9" spans="1:10" ht="15" x14ac:dyDescent="0.25">
      <c r="A9" s="111" t="s">
        <v>52</v>
      </c>
      <c r="B9" s="252">
        <v>25461.14999999998</v>
      </c>
      <c r="C9" s="253">
        <v>2686969.5200000186</v>
      </c>
      <c r="D9" s="154">
        <f t="shared" ref="D9:D10" si="0">C9/B9</f>
        <v>105.53213503710637</v>
      </c>
      <c r="E9" s="19"/>
      <c r="F9" s="62"/>
      <c r="G9" s="63"/>
      <c r="H9" s="19"/>
      <c r="I9" s="19"/>
      <c r="J9" s="19"/>
    </row>
    <row r="10" spans="1:10" ht="15" x14ac:dyDescent="0.25">
      <c r="A10" s="111" t="s">
        <v>64</v>
      </c>
      <c r="B10" s="252">
        <v>7479.0400000000009</v>
      </c>
      <c r="C10" s="253">
        <v>1050557.329999997</v>
      </c>
      <c r="D10" s="154">
        <f t="shared" si="0"/>
        <v>140.46686874251199</v>
      </c>
      <c r="E10" s="19"/>
      <c r="F10" s="62"/>
      <c r="G10" s="19"/>
      <c r="H10" s="19"/>
      <c r="I10" s="19"/>
      <c r="J10" s="19"/>
    </row>
    <row r="11" spans="1:10" ht="15" x14ac:dyDescent="0.25">
      <c r="A11" s="111" t="s">
        <v>98</v>
      </c>
      <c r="B11" s="252">
        <v>284226.54000000108</v>
      </c>
      <c r="C11" s="253">
        <v>34769592.059998319</v>
      </c>
      <c r="D11" s="154">
        <f>C11/B11</f>
        <v>122.33056089694574</v>
      </c>
      <c r="E11" s="19"/>
      <c r="F11" s="62"/>
      <c r="G11" s="19"/>
      <c r="H11" s="19"/>
      <c r="I11" s="19"/>
      <c r="J11" s="19"/>
    </row>
    <row r="12" spans="1:10" x14ac:dyDescent="0.2">
      <c r="A12" s="125" t="s">
        <v>105</v>
      </c>
      <c r="B12" s="203">
        <f>SUM(B8:B11)</f>
        <v>397440.29000000108</v>
      </c>
      <c r="C12" s="211">
        <f>SUM(C8:C11)</f>
        <v>46120059.279998273</v>
      </c>
      <c r="D12" s="160"/>
      <c r="E12" s="64"/>
      <c r="F12" s="19"/>
      <c r="G12" s="19"/>
      <c r="H12" s="19"/>
      <c r="I12" s="19"/>
      <c r="J12" s="19"/>
    </row>
    <row r="13" spans="1:10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x14ac:dyDescent="0.2">
      <c r="A15" s="65" t="s">
        <v>106</v>
      </c>
    </row>
    <row r="16" spans="1:10" x14ac:dyDescent="0.2">
      <c r="A16" s="37" t="s">
        <v>107</v>
      </c>
      <c r="B16" s="37" t="s">
        <v>108</v>
      </c>
      <c r="C16" s="37" t="s">
        <v>109</v>
      </c>
      <c r="D16" s="39"/>
    </row>
    <row r="17" spans="1:4" x14ac:dyDescent="0.2">
      <c r="A17" s="21" t="s">
        <v>97</v>
      </c>
      <c r="B17" s="254" t="s">
        <v>97</v>
      </c>
      <c r="C17" s="255">
        <v>238445.04999999961</v>
      </c>
      <c r="D17" s="66"/>
    </row>
    <row r="18" spans="1:4" x14ac:dyDescent="0.2">
      <c r="A18" s="21"/>
      <c r="B18" s="254" t="s">
        <v>110</v>
      </c>
      <c r="C18" s="255">
        <v>64497.069999999992</v>
      </c>
      <c r="D18" s="66"/>
    </row>
    <row r="19" spans="1:4" x14ac:dyDescent="0.2">
      <c r="A19" s="21"/>
      <c r="B19" s="254" t="s">
        <v>111</v>
      </c>
      <c r="C19" s="255">
        <v>901510.97</v>
      </c>
      <c r="D19" s="66"/>
    </row>
    <row r="20" spans="1:4" x14ac:dyDescent="0.2">
      <c r="A20" s="21"/>
      <c r="B20" s="254" t="s">
        <v>112</v>
      </c>
      <c r="C20" s="255">
        <v>31378.260000000006</v>
      </c>
      <c r="D20" s="66"/>
    </row>
    <row r="21" spans="1:4" x14ac:dyDescent="0.2">
      <c r="A21" s="67" t="s">
        <v>113</v>
      </c>
      <c r="B21" s="67"/>
      <c r="C21" s="102">
        <f>SUM(C17:C20)</f>
        <v>1235831.3499999996</v>
      </c>
      <c r="D21" s="68"/>
    </row>
    <row r="22" spans="1:4" x14ac:dyDescent="0.2">
      <c r="A22" s="80" t="s">
        <v>52</v>
      </c>
      <c r="B22" s="254" t="s">
        <v>52</v>
      </c>
      <c r="C22" s="256">
        <v>5225.58</v>
      </c>
      <c r="D22" s="66"/>
    </row>
    <row r="23" spans="1:4" x14ac:dyDescent="0.2">
      <c r="A23" s="21"/>
      <c r="B23" s="254" t="s">
        <v>110</v>
      </c>
      <c r="C23" s="257">
        <v>6742.9699999999993</v>
      </c>
      <c r="D23" s="66"/>
    </row>
    <row r="24" spans="1:4" x14ac:dyDescent="0.2">
      <c r="A24" s="21"/>
      <c r="B24" s="254" t="s">
        <v>111</v>
      </c>
      <c r="C24" s="257">
        <v>0</v>
      </c>
      <c r="D24" s="66"/>
    </row>
    <row r="25" spans="1:4" x14ac:dyDescent="0.2">
      <c r="A25" s="21"/>
      <c r="B25" s="254" t="s">
        <v>112</v>
      </c>
      <c r="C25" s="257">
        <v>18584.859999999997</v>
      </c>
      <c r="D25" s="66"/>
    </row>
    <row r="26" spans="1:4" x14ac:dyDescent="0.2">
      <c r="A26" s="67" t="s">
        <v>114</v>
      </c>
      <c r="B26" s="67"/>
      <c r="C26" s="102">
        <f>SUM(C22:C25)</f>
        <v>30553.409999999996</v>
      </c>
      <c r="D26" s="68"/>
    </row>
    <row r="27" spans="1:4" x14ac:dyDescent="0.2">
      <c r="A27" s="21" t="s">
        <v>64</v>
      </c>
      <c r="B27" s="254" t="s">
        <v>110</v>
      </c>
      <c r="C27" s="257">
        <v>2431.9500000000003</v>
      </c>
      <c r="D27" s="66"/>
    </row>
    <row r="28" spans="1:4" x14ac:dyDescent="0.2">
      <c r="A28" s="21"/>
      <c r="B28" s="254" t="s">
        <v>111</v>
      </c>
      <c r="C28" s="257">
        <v>631556.96</v>
      </c>
      <c r="D28" s="66"/>
    </row>
    <row r="29" spans="1:4" x14ac:dyDescent="0.2">
      <c r="A29" s="21"/>
      <c r="B29" s="254" t="s">
        <v>112</v>
      </c>
      <c r="C29" s="257">
        <v>10497.86</v>
      </c>
      <c r="D29" s="66"/>
    </row>
    <row r="30" spans="1:4" x14ac:dyDescent="0.2">
      <c r="A30" s="21"/>
      <c r="B30" s="254" t="s">
        <v>64</v>
      </c>
      <c r="C30" s="257">
        <v>10827.64</v>
      </c>
      <c r="D30" s="66"/>
    </row>
    <row r="31" spans="1:4" x14ac:dyDescent="0.2">
      <c r="A31" s="67" t="s">
        <v>115</v>
      </c>
      <c r="B31" s="67"/>
      <c r="C31" s="102">
        <f>SUM(C27:C30)</f>
        <v>655314.40999999992</v>
      </c>
      <c r="D31" s="68"/>
    </row>
    <row r="32" spans="1:4" x14ac:dyDescent="0.2">
      <c r="A32" s="21" t="s">
        <v>98</v>
      </c>
      <c r="B32" s="254" t="s">
        <v>110</v>
      </c>
      <c r="C32" s="257">
        <v>4208589.0599999987</v>
      </c>
      <c r="D32" s="66"/>
    </row>
    <row r="33" spans="1:6" x14ac:dyDescent="0.2">
      <c r="A33" s="21"/>
      <c r="B33" s="254" t="s">
        <v>111</v>
      </c>
      <c r="C33" s="257">
        <v>4267165.92</v>
      </c>
      <c r="D33" s="66"/>
    </row>
    <row r="34" spans="1:6" x14ac:dyDescent="0.2">
      <c r="A34" s="21"/>
      <c r="B34" s="254" t="s">
        <v>98</v>
      </c>
      <c r="C34" s="257">
        <v>5044896.2199999988</v>
      </c>
      <c r="D34" s="66"/>
    </row>
    <row r="35" spans="1:6" x14ac:dyDescent="0.2">
      <c r="A35" s="21"/>
      <c r="B35" s="254" t="s">
        <v>112</v>
      </c>
      <c r="C35" s="257">
        <v>726049.85000000079</v>
      </c>
      <c r="D35" s="66"/>
    </row>
    <row r="36" spans="1:6" x14ac:dyDescent="0.2">
      <c r="A36" s="67" t="s">
        <v>116</v>
      </c>
      <c r="B36" s="67"/>
      <c r="C36" s="102">
        <f>SUM(C32:C35)</f>
        <v>14246701.049999999</v>
      </c>
      <c r="D36" s="68"/>
    </row>
    <row r="37" spans="1:6" x14ac:dyDescent="0.2">
      <c r="A37" s="69" t="s">
        <v>105</v>
      </c>
      <c r="B37" s="120"/>
      <c r="C37" s="141">
        <f>C21+C26+C31+C36</f>
        <v>16168400.219999999</v>
      </c>
      <c r="D37" s="156"/>
      <c r="E37" s="44"/>
    </row>
    <row r="38" spans="1:6" x14ac:dyDescent="0.2">
      <c r="B38" s="44"/>
      <c r="C38" s="44"/>
    </row>
    <row r="39" spans="1:6" x14ac:dyDescent="0.2">
      <c r="A39" s="19"/>
      <c r="B39" s="19"/>
      <c r="C39" s="19"/>
      <c r="D39" s="70"/>
    </row>
    <row r="42" spans="1:6" x14ac:dyDescent="0.2">
      <c r="A42" s="60" t="s">
        <v>117</v>
      </c>
      <c r="B42" s="19"/>
      <c r="C42" s="19"/>
      <c r="D42" s="70"/>
    </row>
    <row r="43" spans="1:6" x14ac:dyDescent="0.2">
      <c r="A43" s="60" t="s">
        <v>118</v>
      </c>
      <c r="B43" s="19"/>
      <c r="C43" s="19"/>
      <c r="D43" s="70"/>
    </row>
    <row r="44" spans="1:6" x14ac:dyDescent="0.2">
      <c r="A44" s="19"/>
      <c r="B44" s="19"/>
      <c r="C44" s="19"/>
      <c r="D44" s="70"/>
    </row>
    <row r="45" spans="1:6" x14ac:dyDescent="0.2">
      <c r="A45" s="71"/>
      <c r="B45" s="72" t="s">
        <v>119</v>
      </c>
      <c r="C45" s="72" t="s">
        <v>120</v>
      </c>
      <c r="D45" s="72" t="s">
        <v>104</v>
      </c>
    </row>
    <row r="46" spans="1:6" x14ac:dyDescent="0.2">
      <c r="A46" s="73" t="s">
        <v>97</v>
      </c>
      <c r="B46" s="200">
        <f>B8</f>
        <v>80273.560000000027</v>
      </c>
      <c r="C46" s="200">
        <f>C8+C17</f>
        <v>7851385.4199999366</v>
      </c>
      <c r="D46" s="258">
        <f>C46/B46</f>
        <v>97.807863759872291</v>
      </c>
    </row>
    <row r="47" spans="1:6" x14ac:dyDescent="0.2">
      <c r="A47" s="74" t="s">
        <v>52</v>
      </c>
      <c r="B47" s="201">
        <f>B9</f>
        <v>25461.14999999998</v>
      </c>
      <c r="C47" s="201">
        <f>C9+C22</f>
        <v>2692195.1000000187</v>
      </c>
      <c r="D47" s="259">
        <f>C47/B47</f>
        <v>105.73737242819044</v>
      </c>
      <c r="E47" s="29"/>
      <c r="F47" s="29"/>
    </row>
    <row r="48" spans="1:6" x14ac:dyDescent="0.2">
      <c r="A48" s="74" t="s">
        <v>64</v>
      </c>
      <c r="B48" s="201">
        <f>B10</f>
        <v>7479.0400000000009</v>
      </c>
      <c r="C48" s="201">
        <f>C10+C30</f>
        <v>1061384.9699999969</v>
      </c>
      <c r="D48" s="259">
        <f>C48/B48</f>
        <v>141.91460000213888</v>
      </c>
    </row>
    <row r="49" spans="1:4" x14ac:dyDescent="0.2">
      <c r="A49" s="74" t="s">
        <v>98</v>
      </c>
      <c r="B49" s="202">
        <f>B11</f>
        <v>284226.54000000108</v>
      </c>
      <c r="C49" s="202">
        <f>C11+C34</f>
        <v>39814488.279998317</v>
      </c>
      <c r="D49" s="260">
        <f>C49/B49</f>
        <v>140.08012158188382</v>
      </c>
    </row>
    <row r="50" spans="1:4" x14ac:dyDescent="0.2">
      <c r="A50" s="75" t="s">
        <v>105</v>
      </c>
      <c r="B50" s="76">
        <f>SUM(B46:B49)</f>
        <v>397440.29000000108</v>
      </c>
      <c r="C50" s="76">
        <f>SUM(C46:C49)</f>
        <v>51419453.769998267</v>
      </c>
      <c r="D50" s="77"/>
    </row>
    <row r="51" spans="1:4" x14ac:dyDescent="0.2">
      <c r="B51" s="44"/>
    </row>
    <row r="62" spans="1:4" x14ac:dyDescent="0.2">
      <c r="A62" s="78"/>
      <c r="B62" s="78"/>
      <c r="C62" s="78"/>
    </row>
    <row r="175" spans="1:9" s="79" customFormat="1" ht="15" x14ac:dyDescent="0.25">
      <c r="A175" s="47"/>
      <c r="B175" s="47"/>
      <c r="C175" s="47"/>
      <c r="D175" s="47"/>
      <c r="E175" s="47"/>
      <c r="F175" s="47"/>
      <c r="G175" s="47"/>
      <c r="H175" s="47"/>
      <c r="I175" s="47"/>
    </row>
  </sheetData>
  <pageMargins left="0.7" right="0.7" top="0.75" bottom="0.75" header="0.3" footer="0.3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>
      <selection activeCell="F36" sqref="F36"/>
    </sheetView>
  </sheetViews>
  <sheetFormatPr defaultColWidth="8.85546875" defaultRowHeight="12.75" x14ac:dyDescent="0.2"/>
  <cols>
    <col min="1" max="1" width="32.28515625" style="82" customWidth="1"/>
    <col min="2" max="6" width="17.7109375" style="86" customWidth="1"/>
    <col min="7" max="16384" width="8.85546875" style="86"/>
  </cols>
  <sheetData>
    <row r="1" spans="1:8" ht="15" x14ac:dyDescent="0.25">
      <c r="A1" s="82" t="s">
        <v>30</v>
      </c>
      <c r="B1" s="82"/>
      <c r="C1" s="159"/>
      <c r="D1" s="134"/>
      <c r="E1" s="134"/>
      <c r="F1" s="134"/>
    </row>
    <row r="2" spans="1:8" x14ac:dyDescent="0.2">
      <c r="A2" s="82" t="s">
        <v>121</v>
      </c>
      <c r="B2" s="82"/>
    </row>
    <row r="3" spans="1:8" x14ac:dyDescent="0.2">
      <c r="A3" s="82" t="s">
        <v>122</v>
      </c>
      <c r="B3" s="82"/>
    </row>
    <row r="4" spans="1:8" x14ac:dyDescent="0.2">
      <c r="A4" s="87"/>
      <c r="B4" s="82"/>
    </row>
    <row r="7" spans="1:8" ht="25.5" x14ac:dyDescent="0.2">
      <c r="B7" s="88" t="s">
        <v>123</v>
      </c>
      <c r="C7" s="88" t="s">
        <v>124</v>
      </c>
      <c r="D7" s="89" t="s">
        <v>125</v>
      </c>
      <c r="E7" s="88" t="s">
        <v>98</v>
      </c>
      <c r="F7" s="88" t="s">
        <v>11</v>
      </c>
      <c r="G7" s="90"/>
      <c r="H7" s="90"/>
    </row>
    <row r="8" spans="1:8" x14ac:dyDescent="0.2">
      <c r="B8" s="104"/>
      <c r="C8" s="104"/>
      <c r="D8" s="104"/>
      <c r="E8" s="104"/>
    </row>
    <row r="9" spans="1:8" x14ac:dyDescent="0.2">
      <c r="A9" s="238" t="s">
        <v>126</v>
      </c>
      <c r="B9" s="239">
        <f>'Internal Chgs-Per Hour'!C8+'Internal Chgs-Per Hour'!C17</f>
        <v>7851385.4199999366</v>
      </c>
      <c r="C9" s="239">
        <f>'Internal Chgs-Per Hour'!C9+'Internal Chgs-Per Hour'!C22</f>
        <v>2692195.1000000187</v>
      </c>
      <c r="D9" s="239">
        <f>'Internal Chgs-Per Hour'!C10+'Internal Chgs-Per Hour'!C30</f>
        <v>1061384.9699999969</v>
      </c>
      <c r="E9" s="239">
        <f>'Internal Chgs-Per Hour'!C11+'Internal Chgs-Per Hour'!C34</f>
        <v>39814488.279998317</v>
      </c>
      <c r="F9" s="240">
        <f>SUM(B9:E9)</f>
        <v>51419453.769998267</v>
      </c>
    </row>
    <row r="10" spans="1:8" x14ac:dyDescent="0.2">
      <c r="A10" s="238"/>
      <c r="B10" s="239"/>
      <c r="C10" s="239"/>
      <c r="D10" s="239"/>
      <c r="E10" s="239"/>
      <c r="F10" s="240"/>
    </row>
    <row r="11" spans="1:8" x14ac:dyDescent="0.2">
      <c r="A11" s="238" t="s">
        <v>127</v>
      </c>
      <c r="B11" s="239"/>
      <c r="C11" s="239"/>
      <c r="D11" s="239"/>
      <c r="E11" s="239"/>
      <c r="F11" s="240"/>
    </row>
    <row r="12" spans="1:8" x14ac:dyDescent="0.2">
      <c r="A12" s="238"/>
      <c r="B12" s="239"/>
      <c r="C12" s="239"/>
      <c r="D12" s="239"/>
      <c r="E12" s="239"/>
      <c r="F12" s="240"/>
    </row>
    <row r="13" spans="1:8" x14ac:dyDescent="0.2">
      <c r="A13" s="238" t="s">
        <v>128</v>
      </c>
      <c r="B13" s="239">
        <f>'Internal Chgs-Per Hour'!C19</f>
        <v>901510.97</v>
      </c>
      <c r="C13" s="239">
        <f>'Internal Chgs-Per Hour'!C24</f>
        <v>0</v>
      </c>
      <c r="D13" s="239">
        <f>'Internal Chgs-Per Hour'!C28</f>
        <v>631556.96</v>
      </c>
      <c r="E13" s="239">
        <f>'Internal Chgs-Per Hour'!C33</f>
        <v>4267165.92</v>
      </c>
      <c r="F13" s="240">
        <f>SUM(B13:E13)</f>
        <v>5800233.8499999996</v>
      </c>
    </row>
    <row r="14" spans="1:8" x14ac:dyDescent="0.2">
      <c r="A14" s="238"/>
      <c r="B14" s="239"/>
      <c r="C14" s="239"/>
      <c r="D14" s="239"/>
      <c r="E14" s="239"/>
      <c r="F14" s="240"/>
    </row>
    <row r="15" spans="1:8" x14ac:dyDescent="0.2">
      <c r="A15" s="238" t="s">
        <v>129</v>
      </c>
      <c r="B15" s="239">
        <f>'Internal Chgs-Per Hour'!C20</f>
        <v>31378.260000000006</v>
      </c>
      <c r="C15" s="239">
        <f>'Internal Chgs-Per Hour'!C25</f>
        <v>18584.859999999997</v>
      </c>
      <c r="D15" s="239">
        <f>'Internal Chgs-Per Hour'!C29</f>
        <v>10497.86</v>
      </c>
      <c r="E15" s="239">
        <f>'Internal Chgs-Per Hour'!C35</f>
        <v>726049.85000000079</v>
      </c>
      <c r="F15" s="240">
        <f>SUM(B15:E15)</f>
        <v>786510.83000000077</v>
      </c>
    </row>
    <row r="16" spans="1:8" x14ac:dyDescent="0.2">
      <c r="A16" s="238"/>
      <c r="B16" s="239"/>
      <c r="C16" s="239"/>
      <c r="D16" s="239"/>
      <c r="E16" s="239"/>
      <c r="F16" s="240"/>
    </row>
    <row r="17" spans="1:6" x14ac:dyDescent="0.2">
      <c r="A17" s="238" t="s">
        <v>130</v>
      </c>
      <c r="B17" s="94">
        <f>'Internal Chgs-Per Hour'!C18</f>
        <v>64497.069999999992</v>
      </c>
      <c r="C17" s="94">
        <f>'Internal Chgs-Per Hour'!C23</f>
        <v>6742.9699999999993</v>
      </c>
      <c r="D17" s="94">
        <f>'Internal Chgs-Per Hour'!C27</f>
        <v>2431.9500000000003</v>
      </c>
      <c r="E17" s="94">
        <f>'Internal Chgs-Per Hour'!C32</f>
        <v>4208589.0599999987</v>
      </c>
      <c r="F17" s="241">
        <f>SUM(B17:E17)</f>
        <v>4282261.0499999989</v>
      </c>
    </row>
    <row r="18" spans="1:6" x14ac:dyDescent="0.2">
      <c r="A18" s="238"/>
      <c r="B18" s="239"/>
      <c r="C18" s="239"/>
      <c r="D18" s="239"/>
      <c r="E18" s="239"/>
      <c r="F18" s="240"/>
    </row>
    <row r="19" spans="1:6" x14ac:dyDescent="0.2">
      <c r="A19" s="238" t="s">
        <v>131</v>
      </c>
      <c r="B19" s="94">
        <f>+B9-SUM(B10:B18)</f>
        <v>6853999.1199999368</v>
      </c>
      <c r="C19" s="94">
        <f>+C9-SUM(C10:C18)</f>
        <v>2666867.2700000186</v>
      </c>
      <c r="D19" s="94">
        <f>+D9-SUM(D10:D18)</f>
        <v>416898.19999999704</v>
      </c>
      <c r="E19" s="94">
        <f>+E9-SUM(E10:E18)</f>
        <v>30612683.449998319</v>
      </c>
      <c r="F19" s="94">
        <f>+F9-SUM(F10:F18)</f>
        <v>40550448.039998263</v>
      </c>
    </row>
    <row r="20" spans="1:6" x14ac:dyDescent="0.2">
      <c r="A20" s="238"/>
      <c r="B20" s="239"/>
      <c r="C20" s="239"/>
      <c r="D20" s="239"/>
      <c r="E20" s="239"/>
      <c r="F20" s="239"/>
    </row>
    <row r="21" spans="1:6" x14ac:dyDescent="0.2">
      <c r="A21" s="238" t="s">
        <v>132</v>
      </c>
      <c r="B21" s="94">
        <f>'Internal Chgs-Per Hour'!B8</f>
        <v>80273.560000000027</v>
      </c>
      <c r="C21" s="94">
        <f>'Internal Chgs-Per Hour'!B9</f>
        <v>25461.14999999998</v>
      </c>
      <c r="D21" s="94">
        <f>'Internal Chgs-Per Hour'!B10</f>
        <v>7479.0400000000009</v>
      </c>
      <c r="E21" s="94">
        <f>'Internal Chgs-Per Hour'!B11</f>
        <v>284226.54000000108</v>
      </c>
      <c r="F21" s="94">
        <f>SUM(B21:E21)</f>
        <v>397440.29000000108</v>
      </c>
    </row>
    <row r="22" spans="1:6" x14ac:dyDescent="0.2">
      <c r="A22" s="238"/>
      <c r="B22" s="242"/>
      <c r="C22" s="242"/>
      <c r="D22" s="242"/>
      <c r="E22" s="242"/>
      <c r="F22" s="134"/>
    </row>
    <row r="23" spans="1:6" ht="13.5" thickBot="1" x14ac:dyDescent="0.25">
      <c r="A23" s="238" t="s">
        <v>133</v>
      </c>
      <c r="B23" s="243">
        <f>+B19/B21</f>
        <v>85.383021757100778</v>
      </c>
      <c r="C23" s="243">
        <f>+C19/C21</f>
        <v>104.74260864100879</v>
      </c>
      <c r="D23" s="243">
        <f>+D19/D21</f>
        <v>55.742207556049571</v>
      </c>
      <c r="E23" s="243">
        <f>+E19/E21</f>
        <v>107.705225029296</v>
      </c>
      <c r="F23" s="243">
        <f>+F19/F21</f>
        <v>102.02903193332048</v>
      </c>
    </row>
    <row r="24" spans="1:6" ht="13.5" thickTop="1" x14ac:dyDescent="0.2">
      <c r="B24" s="104"/>
      <c r="C24" s="104"/>
      <c r="D24" s="104"/>
      <c r="E24" s="104"/>
    </row>
    <row r="25" spans="1:6" x14ac:dyDescent="0.2">
      <c r="B25" s="104"/>
      <c r="C25" s="104"/>
      <c r="D25" s="104"/>
      <c r="E25" s="104"/>
    </row>
    <row r="26" spans="1:6" x14ac:dyDescent="0.2">
      <c r="A26" s="82" t="s">
        <v>134</v>
      </c>
      <c r="B26" s="104"/>
      <c r="C26" s="104"/>
      <c r="D26" s="104"/>
      <c r="E26" s="104"/>
    </row>
    <row r="27" spans="1:6" x14ac:dyDescent="0.2">
      <c r="A27" s="101" t="s">
        <v>135</v>
      </c>
      <c r="B27" s="104"/>
      <c r="C27" s="104"/>
      <c r="D27" s="104"/>
      <c r="E27" s="104"/>
    </row>
    <row r="28" spans="1:6" x14ac:dyDescent="0.2">
      <c r="A28" s="101" t="s">
        <v>136</v>
      </c>
      <c r="B28" s="104"/>
      <c r="C28" s="104"/>
      <c r="D28" s="104"/>
      <c r="E28" s="104"/>
    </row>
    <row r="29" spans="1:6" x14ac:dyDescent="0.2">
      <c r="A29" s="101" t="s">
        <v>137</v>
      </c>
      <c r="B29" s="104"/>
      <c r="C29" s="104"/>
      <c r="D29" s="104"/>
      <c r="E29" s="104"/>
    </row>
    <row r="30" spans="1:6" x14ac:dyDescent="0.2">
      <c r="B30" s="104"/>
      <c r="C30" s="104"/>
      <c r="D30" s="104"/>
      <c r="E30" s="104"/>
    </row>
    <row r="31" spans="1:6" x14ac:dyDescent="0.2">
      <c r="B31" s="104"/>
      <c r="C31" s="104"/>
      <c r="D31" s="104"/>
      <c r="E31" s="104"/>
    </row>
    <row r="32" spans="1:6" x14ac:dyDescent="0.2">
      <c r="B32" s="104"/>
      <c r="C32" s="104"/>
      <c r="D32" s="104"/>
      <c r="E32" s="104"/>
    </row>
    <row r="33" spans="2:5" ht="15" x14ac:dyDescent="0.25">
      <c r="B33" s="79"/>
      <c r="C33" s="79"/>
      <c r="D33" s="79"/>
      <c r="E33" s="79"/>
    </row>
    <row r="34" spans="2:5" ht="15" x14ac:dyDescent="0.25">
      <c r="B34" s="79"/>
      <c r="C34" s="79"/>
      <c r="D34" s="79"/>
      <c r="E34" s="79"/>
    </row>
    <row r="35" spans="2:5" ht="15" x14ac:dyDescent="0.25">
      <c r="B35" s="79"/>
      <c r="C35" s="79"/>
      <c r="D35" s="79"/>
      <c r="E35" s="79"/>
    </row>
  </sheetData>
  <pageMargins left="0.75" right="0.75" top="1" bottom="1" header="0.5" footer="0.5"/>
  <pageSetup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2"/>
  <sheetViews>
    <sheetView topLeftCell="A7" workbookViewId="0">
      <selection activeCell="D17" sqref="D17"/>
    </sheetView>
  </sheetViews>
  <sheetFormatPr defaultColWidth="8.85546875" defaultRowHeight="15" x14ac:dyDescent="0.25"/>
  <cols>
    <col min="1" max="1" width="25" style="86" customWidth="1"/>
    <col min="2" max="2" width="14.7109375" style="79" customWidth="1"/>
    <col min="3" max="3" width="19" style="86" customWidth="1"/>
    <col min="4" max="4" width="19.7109375" style="79" customWidth="1"/>
    <col min="5" max="16384" width="8.85546875" style="86"/>
  </cols>
  <sheetData>
    <row r="1" spans="1:5" x14ac:dyDescent="0.25">
      <c r="A1" s="82" t="s">
        <v>30</v>
      </c>
      <c r="C1" s="159"/>
      <c r="D1" s="159"/>
      <c r="E1" s="134"/>
    </row>
    <row r="2" spans="1:5" x14ac:dyDescent="0.25">
      <c r="A2" s="82" t="s">
        <v>138</v>
      </c>
    </row>
    <row r="3" spans="1:5" x14ac:dyDescent="0.25">
      <c r="A3" s="82" t="s">
        <v>139</v>
      </c>
    </row>
    <row r="4" spans="1:5" x14ac:dyDescent="0.25">
      <c r="A4" s="100"/>
    </row>
    <row r="7" spans="1:5" s="82" customFormat="1" ht="12.75" x14ac:dyDescent="0.2">
      <c r="A7" s="84"/>
      <c r="B7" s="84" t="s">
        <v>140</v>
      </c>
      <c r="C7" s="84" t="s">
        <v>141</v>
      </c>
      <c r="D7" s="84" t="s">
        <v>142</v>
      </c>
    </row>
    <row r="8" spans="1:5" s="82" customFormat="1" ht="12.75" x14ac:dyDescent="0.2">
      <c r="A8" s="85" t="s">
        <v>101</v>
      </c>
      <c r="B8" s="85" t="s">
        <v>102</v>
      </c>
      <c r="C8" s="85" t="s">
        <v>143</v>
      </c>
      <c r="D8" s="85" t="s">
        <v>144</v>
      </c>
    </row>
    <row r="9" spans="1:5" x14ac:dyDescent="0.25">
      <c r="A9" s="91" t="s">
        <v>97</v>
      </c>
      <c r="B9" s="244">
        <f>'Net Service Charges-Per Hour'!B21</f>
        <v>80273.560000000027</v>
      </c>
      <c r="C9" s="205">
        <f>'Outside Service Chgs-Per Hour'!G53</f>
        <v>138.79754633381174</v>
      </c>
      <c r="D9" s="205">
        <f>+B9*C9</f>
        <v>11141773.163480021</v>
      </c>
    </row>
    <row r="10" spans="1:5" x14ac:dyDescent="0.25">
      <c r="A10" s="91" t="s">
        <v>52</v>
      </c>
      <c r="B10" s="245">
        <f>'Net Service Charges-Per Hour'!C21</f>
        <v>25461.14999999998</v>
      </c>
      <c r="C10" s="205">
        <f>'Outside Service Chgs-Per Hour'!E17</f>
        <v>184.82585956764683</v>
      </c>
      <c r="D10" s="205">
        <f>+B10*C10</f>
        <v>4705878.9343307875</v>
      </c>
    </row>
    <row r="11" spans="1:5" x14ac:dyDescent="0.25">
      <c r="A11" s="91" t="s">
        <v>64</v>
      </c>
      <c r="B11" s="245">
        <f>'Net Service Charges-Per Hour'!D21</f>
        <v>7479.0400000000009</v>
      </c>
      <c r="C11" s="205">
        <f>'Outside Service Chgs-Per Hour'!D35</f>
        <v>368.71655253223759</v>
      </c>
      <c r="D11" s="205">
        <f>+B11*C11</f>
        <v>2757645.8450507065</v>
      </c>
    </row>
    <row r="12" spans="1:5" x14ac:dyDescent="0.25">
      <c r="A12" s="92" t="s">
        <v>98</v>
      </c>
      <c r="B12" s="246">
        <f>'Net Service Charges-Per Hour'!E21</f>
        <v>284226.54000000108</v>
      </c>
      <c r="C12" s="206">
        <f>'Outside Service Chgs-Per Hour'!E76</f>
        <v>196.23415540943392</v>
      </c>
      <c r="D12" s="206">
        <f>+B12*C12</f>
        <v>55774955.0218459</v>
      </c>
    </row>
    <row r="13" spans="1:5" x14ac:dyDescent="0.25">
      <c r="A13" s="86" t="s">
        <v>105</v>
      </c>
      <c r="B13" s="247">
        <f>SUM(B9:B12)</f>
        <v>397440.29000000108</v>
      </c>
      <c r="C13" s="134"/>
      <c r="D13" s="248">
        <f>SUM(D9:D12)</f>
        <v>74380252.964707419</v>
      </c>
    </row>
    <row r="14" spans="1:5" x14ac:dyDescent="0.25">
      <c r="B14" s="134"/>
      <c r="C14" s="134"/>
      <c r="D14" s="204"/>
    </row>
    <row r="15" spans="1:5" x14ac:dyDescent="0.25">
      <c r="B15" s="249" t="s">
        <v>145</v>
      </c>
      <c r="C15" s="134"/>
      <c r="D15" s="204">
        <f>'Internal Chgs-Per Hour'!C12</f>
        <v>46120059.279998273</v>
      </c>
    </row>
    <row r="16" spans="1:5" x14ac:dyDescent="0.25">
      <c r="B16" s="249"/>
      <c r="C16" s="134"/>
      <c r="D16" s="250"/>
    </row>
    <row r="17" spans="1:4" ht="15.75" thickBot="1" x14ac:dyDescent="0.3">
      <c r="B17" s="249" t="s">
        <v>13</v>
      </c>
      <c r="C17" s="134"/>
      <c r="D17" s="251">
        <f>+D13-D15</f>
        <v>28260193.684709147</v>
      </c>
    </row>
    <row r="18" spans="1:4" ht="15.75" thickTop="1" x14ac:dyDescent="0.25"/>
    <row r="20" spans="1:4" x14ac:dyDescent="0.25">
      <c r="A20" s="81" t="s">
        <v>146</v>
      </c>
    </row>
    <row r="21" spans="1:4" x14ac:dyDescent="0.25">
      <c r="A21" s="86" t="s">
        <v>147</v>
      </c>
    </row>
    <row r="22" spans="1:4" x14ac:dyDescent="0.25">
      <c r="A22" s="86" t="s">
        <v>148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H26"/>
  <sheetViews>
    <sheetView workbookViewId="0">
      <selection activeCell="B1" sqref="B1"/>
    </sheetView>
  </sheetViews>
  <sheetFormatPr defaultRowHeight="15" x14ac:dyDescent="0.25"/>
  <cols>
    <col min="1" max="1" width="41.140625" bestFit="1" customWidth="1"/>
    <col min="3" max="3" width="11.7109375" bestFit="1" customWidth="1"/>
    <col min="4" max="4" width="12.5703125" customWidth="1"/>
    <col min="6" max="6" width="12.42578125" bestFit="1" customWidth="1"/>
  </cols>
  <sheetData>
    <row r="1" spans="1:8" x14ac:dyDescent="0.25">
      <c r="A1" s="27" t="s">
        <v>30</v>
      </c>
      <c r="B1" s="97"/>
      <c r="C1" s="98"/>
      <c r="D1" s="44"/>
      <c r="E1" s="25"/>
      <c r="F1" s="25"/>
      <c r="G1" s="25"/>
      <c r="H1" s="25"/>
    </row>
    <row r="2" spans="1:8" x14ac:dyDescent="0.25">
      <c r="A2" s="27" t="s">
        <v>36</v>
      </c>
      <c r="B2" s="27"/>
      <c r="C2" s="25"/>
      <c r="D2" s="25"/>
      <c r="E2" s="25"/>
      <c r="F2" s="25"/>
      <c r="G2" s="25"/>
      <c r="H2" s="25"/>
    </row>
    <row r="3" spans="1:8" x14ac:dyDescent="0.25">
      <c r="A3" s="27" t="s">
        <v>37</v>
      </c>
      <c r="B3" s="27"/>
      <c r="C3" s="25"/>
      <c r="D3" s="25"/>
      <c r="E3" s="25"/>
      <c r="F3" s="25"/>
      <c r="G3" s="25"/>
      <c r="H3" s="25"/>
    </row>
    <row r="4" spans="1:8" x14ac:dyDescent="0.25">
      <c r="A4" s="27"/>
      <c r="B4" s="27"/>
      <c r="C4" s="25"/>
      <c r="D4" s="25"/>
      <c r="E4" s="25"/>
      <c r="F4" s="25"/>
      <c r="G4" s="25"/>
      <c r="H4" s="25"/>
    </row>
    <row r="5" spans="1:8" x14ac:dyDescent="0.25">
      <c r="C5" s="96"/>
      <c r="D5" s="96"/>
      <c r="E5" s="96"/>
      <c r="F5" s="96"/>
      <c r="G5" s="96"/>
    </row>
    <row r="6" spans="1:8" x14ac:dyDescent="0.25">
      <c r="A6" s="28" t="s">
        <v>38</v>
      </c>
      <c r="B6" s="28"/>
      <c r="C6" s="231" t="s">
        <v>39</v>
      </c>
      <c r="D6" s="231"/>
      <c r="E6" s="231"/>
      <c r="F6" s="231" t="s">
        <v>40</v>
      </c>
      <c r="G6" s="44"/>
      <c r="H6" s="25"/>
    </row>
    <row r="7" spans="1:8" x14ac:dyDescent="0.25">
      <c r="C7" s="96"/>
      <c r="D7" s="96"/>
      <c r="E7" s="96"/>
      <c r="F7" s="96"/>
      <c r="G7" s="96"/>
    </row>
    <row r="8" spans="1:8" x14ac:dyDescent="0.25">
      <c r="A8" s="27" t="s">
        <v>41</v>
      </c>
      <c r="B8" s="27"/>
      <c r="C8" s="187">
        <f>'ACO Support'!N8</f>
        <v>799337.20000000007</v>
      </c>
      <c r="D8" s="46">
        <f>C8/C10</f>
        <v>0.90457409636506569</v>
      </c>
      <c r="E8" s="46"/>
      <c r="F8" s="187">
        <f>'ACO Support'!N14</f>
        <v>10847049.310000002</v>
      </c>
      <c r="G8" s="46">
        <f>F8/F10</f>
        <v>0.90987792897813335</v>
      </c>
      <c r="H8" s="25"/>
    </row>
    <row r="9" spans="1:8" x14ac:dyDescent="0.25">
      <c r="A9" s="27" t="s">
        <v>42</v>
      </c>
      <c r="B9" s="27"/>
      <c r="C9" s="188">
        <f>'ACO Support'!AC8</f>
        <v>84324.186294446379</v>
      </c>
      <c r="D9" s="45">
        <f>C9/C10</f>
        <v>9.5425903634934389E-2</v>
      </c>
      <c r="E9" s="46"/>
      <c r="F9" s="189">
        <f>'ACO Support'!AC14</f>
        <v>1074384.2851440385</v>
      </c>
      <c r="G9" s="45">
        <f>F9/F10</f>
        <v>9.0122071021866659E-2</v>
      </c>
      <c r="H9" s="31"/>
    </row>
    <row r="10" spans="1:8" x14ac:dyDescent="0.25">
      <c r="A10" s="27" t="s">
        <v>43</v>
      </c>
      <c r="B10" s="27"/>
      <c r="C10" s="190">
        <f>C8+C9</f>
        <v>883661.38629444642</v>
      </c>
      <c r="D10" s="46">
        <f>D8+D9</f>
        <v>1</v>
      </c>
      <c r="E10" s="44"/>
      <c r="F10" s="190">
        <f>F8+F9</f>
        <v>11921433.595144041</v>
      </c>
      <c r="G10" s="46">
        <f>G8+G9</f>
        <v>1</v>
      </c>
      <c r="H10" s="30"/>
    </row>
    <row r="11" spans="1:8" x14ac:dyDescent="0.25">
      <c r="A11" s="27"/>
      <c r="B11" s="27"/>
      <c r="C11" s="191"/>
      <c r="D11" s="44"/>
      <c r="E11" s="44"/>
      <c r="F11" s="191"/>
      <c r="G11" s="44"/>
      <c r="H11" s="25"/>
    </row>
    <row r="12" spans="1:8" x14ac:dyDescent="0.25">
      <c r="A12" s="27" t="s">
        <v>44</v>
      </c>
      <c r="B12" s="27"/>
      <c r="C12" s="192">
        <f>'ACO Support'!M27</f>
        <v>70995</v>
      </c>
      <c r="D12" s="193"/>
      <c r="E12" s="193"/>
      <c r="F12" s="192">
        <f>'ACO Support'!M34</f>
        <v>963406</v>
      </c>
      <c r="G12" s="44"/>
      <c r="H12" s="25"/>
    </row>
    <row r="13" spans="1:8" x14ac:dyDescent="0.25">
      <c r="A13" s="27"/>
      <c r="B13" s="27"/>
      <c r="C13" s="194"/>
      <c r="D13" s="44"/>
      <c r="E13" s="44"/>
      <c r="F13" s="194"/>
      <c r="G13" s="44"/>
      <c r="H13" s="25"/>
    </row>
    <row r="14" spans="1:8" ht="15.75" thickBot="1" x14ac:dyDescent="0.3">
      <c r="A14" s="27" t="s">
        <v>45</v>
      </c>
      <c r="B14" s="27"/>
      <c r="C14" s="195">
        <f>C10/C12</f>
        <v>12.446811554256588</v>
      </c>
      <c r="D14" s="44"/>
      <c r="E14" s="44"/>
      <c r="F14" s="195">
        <f>F10/F12</f>
        <v>12.374257161720024</v>
      </c>
      <c r="G14" s="44"/>
      <c r="H14" s="26"/>
    </row>
    <row r="15" spans="1:8" ht="15.75" thickTop="1" x14ac:dyDescent="0.25">
      <c r="A15" s="27"/>
      <c r="B15" s="27"/>
      <c r="C15" s="44"/>
      <c r="D15" s="44"/>
      <c r="E15" s="44"/>
      <c r="F15" s="44"/>
      <c r="G15" s="44"/>
      <c r="H15" s="25"/>
    </row>
    <row r="16" spans="1:8" x14ac:dyDescent="0.25">
      <c r="A16" s="27" t="s">
        <v>46</v>
      </c>
      <c r="B16" s="27"/>
      <c r="C16" s="44"/>
      <c r="D16" s="44"/>
      <c r="E16" s="44"/>
      <c r="F16" s="44"/>
      <c r="G16" s="44"/>
      <c r="H16" s="25"/>
    </row>
    <row r="17" spans="1:8" x14ac:dyDescent="0.25">
      <c r="A17" s="27" t="s">
        <v>47</v>
      </c>
      <c r="B17" s="27"/>
      <c r="C17" s="44"/>
      <c r="D17" s="44"/>
      <c r="E17" s="44"/>
      <c r="F17" s="44"/>
      <c r="G17" s="44"/>
      <c r="H17" s="25"/>
    </row>
    <row r="18" spans="1:8" x14ac:dyDescent="0.25">
      <c r="A18" s="27" t="s">
        <v>48</v>
      </c>
      <c r="B18" s="27"/>
      <c r="C18" s="196">
        <v>24.91</v>
      </c>
      <c r="D18" s="44"/>
      <c r="E18" s="44"/>
      <c r="F18" s="196">
        <v>24.91</v>
      </c>
      <c r="G18" s="44"/>
      <c r="H18" s="25"/>
    </row>
    <row r="19" spans="1:8" s="103" customFormat="1" x14ac:dyDescent="0.25">
      <c r="A19" s="33" t="s">
        <v>161</v>
      </c>
      <c r="B19" s="33"/>
      <c r="C19" s="197">
        <f>'Inflation Calc'!B10</f>
        <v>6.1650988267624961E-2</v>
      </c>
      <c r="D19" s="44"/>
      <c r="E19" s="44"/>
      <c r="F19" s="197">
        <f>C19</f>
        <v>6.1650988267624961E-2</v>
      </c>
      <c r="G19" s="44"/>
      <c r="H19" s="47"/>
    </row>
    <row r="20" spans="1:8" s="103" customFormat="1" x14ac:dyDescent="0.25">
      <c r="A20" s="33"/>
      <c r="B20" s="33"/>
      <c r="C20" s="197"/>
      <c r="D20" s="44"/>
      <c r="E20" s="44"/>
      <c r="F20" s="197"/>
      <c r="G20" s="44"/>
      <c r="H20" s="47"/>
    </row>
    <row r="21" spans="1:8" ht="15.75" thickBot="1" x14ac:dyDescent="0.3">
      <c r="A21" s="27" t="s">
        <v>162</v>
      </c>
      <c r="B21" s="27"/>
      <c r="C21" s="195">
        <f>C18*(C19+1)</f>
        <v>26.445726117746542</v>
      </c>
      <c r="D21" s="198"/>
      <c r="E21" s="44"/>
      <c r="F21" s="195">
        <f>F18*(1+F19)</f>
        <v>26.445726117746542</v>
      </c>
      <c r="G21" s="98"/>
      <c r="H21" s="25"/>
    </row>
    <row r="22" spans="1:8" x14ac:dyDescent="0.25">
      <c r="C22" s="96"/>
      <c r="D22" s="96"/>
      <c r="E22" s="96"/>
      <c r="F22" s="96"/>
      <c r="G22" s="96"/>
    </row>
    <row r="23" spans="1:8" x14ac:dyDescent="0.25">
      <c r="C23" s="96"/>
      <c r="D23" s="199"/>
      <c r="E23" s="96"/>
      <c r="F23" s="96"/>
      <c r="G23" s="96"/>
    </row>
    <row r="24" spans="1:8" x14ac:dyDescent="0.25">
      <c r="C24" s="232"/>
      <c r="D24" s="233"/>
      <c r="E24" s="96"/>
      <c r="F24" s="96"/>
      <c r="G24" s="96"/>
    </row>
    <row r="25" spans="1:8" x14ac:dyDescent="0.25">
      <c r="A25" s="96"/>
      <c r="C25" s="234"/>
      <c r="D25" s="96"/>
      <c r="E25" s="96"/>
      <c r="F25" s="96"/>
      <c r="G25" s="96"/>
    </row>
    <row r="26" spans="1:8" x14ac:dyDescent="0.25">
      <c r="C26" s="96"/>
      <c r="D26" s="96"/>
      <c r="E26" s="96"/>
      <c r="F26" s="96"/>
      <c r="G26" s="9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7385-6477-4593-8D58-6BEA6448D4B2}">
  <sheetPr>
    <tabColor rgb="FF7030A0"/>
  </sheetPr>
  <dimension ref="A1:AS56"/>
  <sheetViews>
    <sheetView workbookViewId="0">
      <selection activeCell="N21" sqref="N21"/>
    </sheetView>
  </sheetViews>
  <sheetFormatPr defaultColWidth="11" defaultRowHeight="12.75" x14ac:dyDescent="0.2"/>
  <cols>
    <col min="1" max="1" width="25.140625" style="15" customWidth="1"/>
    <col min="2" max="2" width="12.42578125" style="7" customWidth="1"/>
    <col min="3" max="3" width="12.5703125" style="7" customWidth="1"/>
    <col min="4" max="4" width="12.28515625" style="7" customWidth="1"/>
    <col min="5" max="5" width="13.28515625" style="7" customWidth="1"/>
    <col min="6" max="6" width="14.5703125" style="7" customWidth="1"/>
    <col min="7" max="7" width="12.7109375" style="7" customWidth="1"/>
    <col min="8" max="8" width="15.28515625" style="7" customWidth="1"/>
    <col min="9" max="9" width="13.140625" style="7" customWidth="1"/>
    <col min="10" max="10" width="12.5703125" style="7" customWidth="1"/>
    <col min="11" max="11" width="12" style="7" customWidth="1"/>
    <col min="12" max="12" width="12.7109375" style="7" customWidth="1"/>
    <col min="13" max="13" width="13" style="7" customWidth="1"/>
    <col min="14" max="14" width="15.42578125" style="7" customWidth="1"/>
    <col min="15" max="15" width="11.85546875" style="7" customWidth="1"/>
    <col min="16" max="16" width="11" style="15"/>
    <col min="17" max="17" width="12.28515625" style="15" customWidth="1"/>
    <col min="18" max="18" width="13.42578125" style="15" customWidth="1"/>
    <col min="19" max="21" width="12.28515625" style="15" customWidth="1"/>
    <col min="22" max="22" width="12.7109375" style="15" customWidth="1"/>
    <col min="23" max="23" width="13.7109375" style="15" customWidth="1"/>
    <col min="24" max="24" width="14" style="15" customWidth="1"/>
    <col min="25" max="25" width="12.7109375" style="15" customWidth="1"/>
    <col min="26" max="26" width="13" style="15" customWidth="1"/>
    <col min="27" max="27" width="12.5703125" style="15" customWidth="1"/>
    <col min="28" max="28" width="13.42578125" style="15" customWidth="1"/>
    <col min="29" max="29" width="14" style="15" customWidth="1"/>
    <col min="30" max="31" width="11" style="15"/>
    <col min="32" max="32" width="13.5703125" style="15" customWidth="1"/>
    <col min="33" max="33" width="11" style="15"/>
    <col min="34" max="34" width="12.42578125" style="15" customWidth="1"/>
    <col min="35" max="35" width="12.28515625" style="15" bestFit="1" customWidth="1"/>
    <col min="36" max="36" width="13.5703125" style="15" customWidth="1"/>
    <col min="37" max="37" width="11" style="15"/>
    <col min="38" max="38" width="12" style="15" customWidth="1"/>
    <col min="39" max="39" width="12.42578125" style="15" customWidth="1"/>
    <col min="40" max="40" width="12.85546875" style="15" customWidth="1"/>
    <col min="41" max="41" width="13.42578125" style="15" customWidth="1"/>
    <col min="42" max="42" width="12.42578125" style="15" customWidth="1"/>
    <col min="43" max="43" width="14.42578125" style="15" customWidth="1"/>
    <col min="44" max="44" width="13.7109375" style="15" customWidth="1"/>
    <col min="45" max="16384" width="11" style="15"/>
  </cols>
  <sheetData>
    <row r="1" spans="1:45" ht="20.25" x14ac:dyDescent="0.3">
      <c r="A1" s="1" t="s">
        <v>0</v>
      </c>
      <c r="B1" s="214"/>
      <c r="C1" s="265" t="s">
        <v>164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Q1" s="266" t="s">
        <v>165</v>
      </c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F1" s="266" t="s">
        <v>166</v>
      </c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</row>
    <row r="2" spans="1:45" ht="56.25" x14ac:dyDescent="0.2">
      <c r="A2" s="1">
        <v>2019</v>
      </c>
      <c r="B2" s="13" t="s">
        <v>167</v>
      </c>
      <c r="F2" s="13"/>
      <c r="H2" s="13"/>
      <c r="Q2" s="13" t="s">
        <v>168</v>
      </c>
      <c r="AF2" s="13" t="s">
        <v>14</v>
      </c>
    </row>
    <row r="3" spans="1:45" x14ac:dyDescent="0.2">
      <c r="H3" s="218"/>
    </row>
    <row r="4" spans="1:45" s="2" customFormat="1" x14ac:dyDescent="0.2">
      <c r="A4" s="2" t="s">
        <v>1</v>
      </c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26</v>
      </c>
      <c r="N4" s="8" t="s">
        <v>11</v>
      </c>
      <c r="O4" s="8" t="s">
        <v>27</v>
      </c>
      <c r="Q4" s="16" t="s">
        <v>15</v>
      </c>
      <c r="R4" s="16" t="s">
        <v>16</v>
      </c>
      <c r="S4" s="16" t="s">
        <v>17</v>
      </c>
      <c r="T4" s="16" t="s">
        <v>18</v>
      </c>
      <c r="U4" s="16" t="s">
        <v>19</v>
      </c>
      <c r="V4" s="16" t="s">
        <v>20</v>
      </c>
      <c r="W4" s="16" t="s">
        <v>21</v>
      </c>
      <c r="X4" s="16" t="s">
        <v>22</v>
      </c>
      <c r="Y4" s="16" t="s">
        <v>23</v>
      </c>
      <c r="Z4" s="16" t="s">
        <v>24</v>
      </c>
      <c r="AA4" s="16" t="s">
        <v>25</v>
      </c>
      <c r="AB4" s="16" t="s">
        <v>26</v>
      </c>
      <c r="AC4" s="8" t="s">
        <v>11</v>
      </c>
      <c r="AD4" s="8" t="s">
        <v>27</v>
      </c>
      <c r="AF4" s="16" t="s">
        <v>15</v>
      </c>
      <c r="AG4" s="16" t="s">
        <v>16</v>
      </c>
      <c r="AH4" s="16" t="s">
        <v>17</v>
      </c>
      <c r="AI4" s="16" t="s">
        <v>18</v>
      </c>
      <c r="AJ4" s="16" t="s">
        <v>19</v>
      </c>
      <c r="AK4" s="16" t="s">
        <v>20</v>
      </c>
      <c r="AL4" s="16" t="s">
        <v>21</v>
      </c>
      <c r="AM4" s="16" t="s">
        <v>22</v>
      </c>
      <c r="AN4" s="16" t="s">
        <v>23</v>
      </c>
      <c r="AO4" s="16" t="s">
        <v>24</v>
      </c>
      <c r="AP4" s="16" t="s">
        <v>25</v>
      </c>
      <c r="AQ4" s="16" t="s">
        <v>26</v>
      </c>
      <c r="AR4" s="8" t="s">
        <v>11</v>
      </c>
      <c r="AS4" s="8" t="s">
        <v>27</v>
      </c>
    </row>
    <row r="5" spans="1:45" ht="15" x14ac:dyDescent="0.25">
      <c r="A5" s="15" t="s">
        <v>2</v>
      </c>
      <c r="B5" s="219">
        <v>429452.46000000008</v>
      </c>
      <c r="C5" s="219">
        <v>412298.03999999992</v>
      </c>
      <c r="D5" s="219">
        <v>387187.61000000004</v>
      </c>
      <c r="E5" s="219">
        <v>412760.08</v>
      </c>
      <c r="F5" s="219">
        <v>411312.33000000007</v>
      </c>
      <c r="G5" s="14">
        <v>372272.3</v>
      </c>
      <c r="H5" s="219">
        <v>426347.85</v>
      </c>
      <c r="I5" s="14">
        <v>419792.93000000005</v>
      </c>
      <c r="J5" s="219">
        <v>378036.58</v>
      </c>
      <c r="K5" s="14">
        <v>432296.65</v>
      </c>
      <c r="L5" s="219">
        <v>420359.53000000009</v>
      </c>
      <c r="M5" s="219">
        <v>418736.12999999995</v>
      </c>
      <c r="N5" s="219">
        <f>SUM(B5:M5)</f>
        <v>4920852.49</v>
      </c>
      <c r="O5" s="9">
        <f t="shared" ref="O5:O13" si="0">N5/$N$14</f>
        <v>0.45365816540203402</v>
      </c>
      <c r="Q5" s="219">
        <v>37878.539995480358</v>
      </c>
      <c r="R5" s="14">
        <v>37278.987960097169</v>
      </c>
      <c r="S5" s="219">
        <v>73080.025022786853</v>
      </c>
      <c r="T5" s="219">
        <v>45189.560601232959</v>
      </c>
      <c r="U5" s="219">
        <v>31825.733592577337</v>
      </c>
      <c r="V5" s="219">
        <v>31085.229808678672</v>
      </c>
      <c r="W5" s="219">
        <v>31422.44688813468</v>
      </c>
      <c r="X5" s="219">
        <v>31494.871010578587</v>
      </c>
      <c r="Y5" s="219">
        <v>46627.825659052614</v>
      </c>
      <c r="Z5" s="219">
        <v>31085.239335661365</v>
      </c>
      <c r="AA5" s="219">
        <v>31085.220281695973</v>
      </c>
      <c r="AB5" s="219">
        <v>31085.260000000002</v>
      </c>
      <c r="AC5" s="219">
        <f>SUM(Q5:AB5)</f>
        <v>459138.94015597651</v>
      </c>
      <c r="AD5" s="9">
        <f t="shared" ref="AD5:AD13" si="1">AC5/$AC$14</f>
        <v>0.42735075941139772</v>
      </c>
      <c r="AF5" s="14">
        <f>+B5+Q5</f>
        <v>467330.99999548041</v>
      </c>
      <c r="AG5" s="14">
        <f>+R5+C5</f>
        <v>449577.02796009707</v>
      </c>
      <c r="AH5" s="14">
        <f>+D5+S5</f>
        <v>460267.63502278691</v>
      </c>
      <c r="AI5" s="7">
        <f>+T5+E5</f>
        <v>457949.640601233</v>
      </c>
      <c r="AJ5" s="7">
        <f t="shared" ref="AJ5:AQ13" si="2">+U5+F5</f>
        <v>443138.06359257741</v>
      </c>
      <c r="AK5" s="7">
        <f t="shared" si="2"/>
        <v>403357.52980867866</v>
      </c>
      <c r="AL5" s="7">
        <f t="shared" si="2"/>
        <v>457770.29688813468</v>
      </c>
      <c r="AM5" s="7">
        <f t="shared" si="2"/>
        <v>451287.80101057864</v>
      </c>
      <c r="AN5" s="7">
        <f t="shared" si="2"/>
        <v>424664.40565905266</v>
      </c>
      <c r="AO5" s="7">
        <f t="shared" si="2"/>
        <v>463381.88933566137</v>
      </c>
      <c r="AP5" s="7">
        <f t="shared" si="2"/>
        <v>451444.75028169603</v>
      </c>
      <c r="AQ5" s="7">
        <f t="shared" si="2"/>
        <v>449821.38999999996</v>
      </c>
      <c r="AR5" s="14">
        <f>SUM(AF5:AQ5)</f>
        <v>5379991.4301559767</v>
      </c>
      <c r="AS5" s="9">
        <f t="shared" ref="AS5:AS13" si="3">AR5/$AR$14</f>
        <v>0.4512872871123938</v>
      </c>
    </row>
    <row r="6" spans="1:45" ht="15" x14ac:dyDescent="0.25">
      <c r="A6" s="15" t="s">
        <v>3</v>
      </c>
      <c r="B6" s="14">
        <v>21322.45</v>
      </c>
      <c r="C6" s="14">
        <v>20470.689999999999</v>
      </c>
      <c r="D6" s="14">
        <v>19223.98</v>
      </c>
      <c r="E6" s="7">
        <v>20493.649999999998</v>
      </c>
      <c r="F6" s="7">
        <v>20421.75</v>
      </c>
      <c r="G6" s="14">
        <v>18483.429999999997</v>
      </c>
      <c r="H6" s="7">
        <v>21168.299999999996</v>
      </c>
      <c r="I6" s="14">
        <v>20842.830000000002</v>
      </c>
      <c r="J6" s="7">
        <v>18769.62</v>
      </c>
      <c r="K6" s="14">
        <v>21463.640000000007</v>
      </c>
      <c r="L6" s="7">
        <v>20870.960000000003</v>
      </c>
      <c r="M6" s="7">
        <v>20790.36</v>
      </c>
      <c r="N6" s="7">
        <f t="shared" ref="N6:N13" si="4">SUM(B6:M6)</f>
        <v>244321.65999999997</v>
      </c>
      <c r="O6" s="9">
        <f t="shared" si="0"/>
        <v>2.252425088311873E-2</v>
      </c>
      <c r="Q6" s="14">
        <v>1068.2912379262978</v>
      </c>
      <c r="R6" s="14">
        <v>1850.9119834120231</v>
      </c>
      <c r="S6" s="14">
        <v>3628.443299145134</v>
      </c>
      <c r="T6" s="7">
        <v>2243.6740860957616</v>
      </c>
      <c r="U6" s="14">
        <v>1580.1564074226662</v>
      </c>
      <c r="V6" s="7">
        <v>1543.3901913213315</v>
      </c>
      <c r="W6" s="7">
        <v>1560.1331118653231</v>
      </c>
      <c r="X6" s="14">
        <v>1563.7289894214148</v>
      </c>
      <c r="Y6" s="7">
        <v>2315.0843409473864</v>
      </c>
      <c r="Z6" s="7">
        <v>1543.390664338637</v>
      </c>
      <c r="AA6" s="7">
        <v>1543.389718304026</v>
      </c>
      <c r="AB6" s="7">
        <v>1543.3916103732479</v>
      </c>
      <c r="AC6" s="7">
        <f t="shared" ref="AC6:AC13" si="5">SUM(Q6:AB6)</f>
        <v>21983.98564057325</v>
      </c>
      <c r="AD6" s="9">
        <f t="shared" si="1"/>
        <v>2.0461938939870052E-2</v>
      </c>
      <c r="AF6" s="14">
        <f t="shared" ref="AF6:AF13" si="6">+B6+Q6</f>
        <v>22390.741237926297</v>
      </c>
      <c r="AG6" s="14">
        <f t="shared" ref="AG6:AG13" si="7">+R6+C6</f>
        <v>22321.601983412023</v>
      </c>
      <c r="AH6" s="14">
        <f t="shared" ref="AH6:AH13" si="8">+D6+S6</f>
        <v>22852.423299145135</v>
      </c>
      <c r="AI6" s="7">
        <f t="shared" ref="AI6:AI13" si="9">+T6+E6</f>
        <v>22737.324086095759</v>
      </c>
      <c r="AJ6" s="7">
        <f t="shared" si="2"/>
        <v>22001.906407422666</v>
      </c>
      <c r="AK6" s="7">
        <f t="shared" si="2"/>
        <v>20026.820191321327</v>
      </c>
      <c r="AL6" s="7">
        <f t="shared" si="2"/>
        <v>22728.433111865317</v>
      </c>
      <c r="AM6" s="7">
        <f t="shared" si="2"/>
        <v>22406.558989421417</v>
      </c>
      <c r="AN6" s="7">
        <f t="shared" si="2"/>
        <v>21084.704340947384</v>
      </c>
      <c r="AO6" s="7">
        <f t="shared" si="2"/>
        <v>23007.030664338643</v>
      </c>
      <c r="AP6" s="7">
        <f t="shared" si="2"/>
        <v>22414.349718304027</v>
      </c>
      <c r="AQ6" s="7">
        <f t="shared" si="2"/>
        <v>22333.751610373249</v>
      </c>
      <c r="AR6" s="14">
        <f t="shared" ref="AR6:AR13" si="10">SUM(AF6:AQ6)</f>
        <v>266305.64564057323</v>
      </c>
      <c r="AS6" s="9">
        <f t="shared" si="3"/>
        <v>2.2338391040962031E-2</v>
      </c>
    </row>
    <row r="7" spans="1:45" ht="15" x14ac:dyDescent="0.25">
      <c r="A7" s="15" t="s">
        <v>4</v>
      </c>
      <c r="B7" s="14">
        <v>147598.41</v>
      </c>
      <c r="C7" s="14">
        <v>141702.60999999996</v>
      </c>
      <c r="D7" s="14">
        <v>133072.39000000001</v>
      </c>
      <c r="E7" s="7">
        <v>141861.4</v>
      </c>
      <c r="F7" s="7">
        <v>141363.82000000004</v>
      </c>
      <c r="G7" s="14">
        <v>127946.19000000003</v>
      </c>
      <c r="H7" s="7">
        <v>146531.37</v>
      </c>
      <c r="I7" s="14">
        <v>144278.51</v>
      </c>
      <c r="J7" s="7">
        <v>129927.29000000002</v>
      </c>
      <c r="K7" s="14">
        <v>148575.90000000002</v>
      </c>
      <c r="L7" s="7">
        <v>144473.25</v>
      </c>
      <c r="M7" s="7">
        <v>143915.31</v>
      </c>
      <c r="N7" s="7">
        <f t="shared" si="4"/>
        <v>1691246.4500000002</v>
      </c>
      <c r="O7" s="9">
        <f t="shared" si="0"/>
        <v>0.15591765112018283</v>
      </c>
      <c r="Q7" s="14">
        <v>6463.1427012238128</v>
      </c>
      <c r="R7" s="14">
        <v>6463.1970928780065</v>
      </c>
      <c r="S7" s="14">
        <v>10510.670452222916</v>
      </c>
      <c r="T7" s="7">
        <v>6624.8082954011179</v>
      </c>
      <c r="U7" s="14">
        <v>6624.79</v>
      </c>
      <c r="V7" s="7">
        <v>6624.79</v>
      </c>
      <c r="W7" s="7">
        <v>6624.82</v>
      </c>
      <c r="X7" s="14">
        <v>6624.79</v>
      </c>
      <c r="Y7" s="7">
        <v>9937.19</v>
      </c>
      <c r="Z7" s="7">
        <v>6624.82</v>
      </c>
      <c r="AA7" s="7">
        <v>6624.85</v>
      </c>
      <c r="AB7" s="7">
        <v>6968.5199999999995</v>
      </c>
      <c r="AC7" s="7">
        <f t="shared" si="5"/>
        <v>86716.388541725857</v>
      </c>
      <c r="AD7" s="9">
        <f t="shared" si="1"/>
        <v>8.0712636754641409E-2</v>
      </c>
      <c r="AF7" s="14">
        <f t="shared" si="6"/>
        <v>154061.55270122382</v>
      </c>
      <c r="AG7" s="14">
        <f t="shared" si="7"/>
        <v>148165.80709287798</v>
      </c>
      <c r="AH7" s="14">
        <f t="shared" si="8"/>
        <v>143583.06045222294</v>
      </c>
      <c r="AI7" s="7">
        <f t="shared" si="9"/>
        <v>148486.2082954011</v>
      </c>
      <c r="AJ7" s="7">
        <f t="shared" si="2"/>
        <v>147988.61000000004</v>
      </c>
      <c r="AK7" s="7">
        <f t="shared" si="2"/>
        <v>134570.98000000004</v>
      </c>
      <c r="AL7" s="7">
        <f t="shared" si="2"/>
        <v>153156.19</v>
      </c>
      <c r="AM7" s="7">
        <f t="shared" si="2"/>
        <v>150903.30000000002</v>
      </c>
      <c r="AN7" s="7">
        <f t="shared" si="2"/>
        <v>139864.48000000001</v>
      </c>
      <c r="AO7" s="7">
        <f t="shared" si="2"/>
        <v>155200.72000000003</v>
      </c>
      <c r="AP7" s="7">
        <f t="shared" si="2"/>
        <v>151098.1</v>
      </c>
      <c r="AQ7" s="7">
        <f t="shared" si="2"/>
        <v>150883.82999999999</v>
      </c>
      <c r="AR7" s="14">
        <f t="shared" si="10"/>
        <v>1777962.8385417259</v>
      </c>
      <c r="AS7" s="9">
        <f t="shared" si="3"/>
        <v>0.1491400193492286</v>
      </c>
    </row>
    <row r="8" spans="1:45" s="213" customFormat="1" ht="15" x14ac:dyDescent="0.25">
      <c r="A8" s="213" t="s">
        <v>5</v>
      </c>
      <c r="B8" s="6">
        <v>69759.739999999991</v>
      </c>
      <c r="C8" s="6">
        <v>66973.2</v>
      </c>
      <c r="D8" s="6">
        <v>62894.260000000009</v>
      </c>
      <c r="E8" s="214">
        <v>67048.23</v>
      </c>
      <c r="F8" s="214">
        <v>66813.080000000016</v>
      </c>
      <c r="G8" s="6">
        <v>60471.46</v>
      </c>
      <c r="H8" s="214">
        <v>69255.42</v>
      </c>
      <c r="I8" s="6">
        <v>68190.62999999999</v>
      </c>
      <c r="J8" s="214">
        <v>61407.79</v>
      </c>
      <c r="K8" s="6">
        <v>70221.73</v>
      </c>
      <c r="L8" s="214">
        <v>68282.680000000008</v>
      </c>
      <c r="M8" s="214">
        <v>68018.98</v>
      </c>
      <c r="N8" s="214">
        <f t="shared" si="4"/>
        <v>799337.20000000007</v>
      </c>
      <c r="O8" s="215">
        <f t="shared" si="0"/>
        <v>7.3691672007343334E-2</v>
      </c>
      <c r="Q8" s="6">
        <v>6439.3735483411547</v>
      </c>
      <c r="R8" s="6">
        <v>6439.3327546005075</v>
      </c>
      <c r="S8" s="6">
        <v>9659.0467245981836</v>
      </c>
      <c r="T8" s="214">
        <v>6503.7732669065254</v>
      </c>
      <c r="U8" s="6">
        <v>6503.79</v>
      </c>
      <c r="V8" s="214">
        <v>6503.77</v>
      </c>
      <c r="W8" s="214">
        <v>6503.77</v>
      </c>
      <c r="X8" s="6">
        <v>6503.8099999999995</v>
      </c>
      <c r="Y8" s="214">
        <v>9755.7099999999991</v>
      </c>
      <c r="Z8" s="214">
        <v>6503.88</v>
      </c>
      <c r="AA8" s="214">
        <v>6504.05</v>
      </c>
      <c r="AB8" s="214">
        <v>6503.88</v>
      </c>
      <c r="AC8" s="214">
        <f t="shared" si="5"/>
        <v>84324.186294446379</v>
      </c>
      <c r="AD8" s="215">
        <f t="shared" si="1"/>
        <v>7.8486057047215063E-2</v>
      </c>
      <c r="AF8" s="6">
        <f t="shared" si="6"/>
        <v>76199.113548341149</v>
      </c>
      <c r="AG8" s="6">
        <f t="shared" si="7"/>
        <v>73412.532754600499</v>
      </c>
      <c r="AH8" s="6">
        <f t="shared" si="8"/>
        <v>72553.306724598195</v>
      </c>
      <c r="AI8" s="214">
        <f t="shared" si="9"/>
        <v>73552.003266906526</v>
      </c>
      <c r="AJ8" s="214">
        <f t="shared" si="2"/>
        <v>73316.87000000001</v>
      </c>
      <c r="AK8" s="214">
        <f t="shared" si="2"/>
        <v>66975.23</v>
      </c>
      <c r="AL8" s="214">
        <f t="shared" si="2"/>
        <v>75759.19</v>
      </c>
      <c r="AM8" s="214">
        <f t="shared" si="2"/>
        <v>74694.439999999988</v>
      </c>
      <c r="AN8" s="214">
        <f t="shared" si="2"/>
        <v>71163.5</v>
      </c>
      <c r="AO8" s="214">
        <f t="shared" si="2"/>
        <v>76725.61</v>
      </c>
      <c r="AP8" s="214">
        <f t="shared" si="2"/>
        <v>74786.73000000001</v>
      </c>
      <c r="AQ8" s="214">
        <f t="shared" si="2"/>
        <v>74522.86</v>
      </c>
      <c r="AR8" s="6">
        <f t="shared" si="10"/>
        <v>883661.3862944463</v>
      </c>
      <c r="AS8" s="215">
        <f t="shared" si="3"/>
        <v>7.4123751854235975E-2</v>
      </c>
    </row>
    <row r="9" spans="1:45" ht="15" x14ac:dyDescent="0.25">
      <c r="A9" s="15" t="s">
        <v>6</v>
      </c>
      <c r="B9" s="14">
        <v>57360.30000000001</v>
      </c>
      <c r="C9" s="14">
        <v>55069.049999999996</v>
      </c>
      <c r="D9" s="14">
        <v>51715.130000000005</v>
      </c>
      <c r="E9" s="7">
        <v>55130.750000000007</v>
      </c>
      <c r="F9" s="7">
        <v>54937.39</v>
      </c>
      <c r="G9" s="14">
        <v>49722.96</v>
      </c>
      <c r="H9" s="7">
        <v>56945.62000000001</v>
      </c>
      <c r="I9" s="14">
        <v>56070.11</v>
      </c>
      <c r="J9" s="7">
        <v>50492.869999999995</v>
      </c>
      <c r="K9" s="14">
        <v>57740.189999999995</v>
      </c>
      <c r="L9" s="7">
        <v>56145.79</v>
      </c>
      <c r="M9" s="7">
        <v>55928.94</v>
      </c>
      <c r="N9" s="7">
        <f t="shared" si="4"/>
        <v>657259.10000000009</v>
      </c>
      <c r="O9" s="9">
        <f t="shared" si="0"/>
        <v>6.0593354120190679E-2</v>
      </c>
      <c r="Q9" s="14">
        <v>5943.6480120195247</v>
      </c>
      <c r="R9" s="14">
        <v>5943.6344141059762</v>
      </c>
      <c r="S9" s="14">
        <v>11227.117321262689</v>
      </c>
      <c r="T9" s="7">
        <v>6181.3667366732088</v>
      </c>
      <c r="U9" s="14">
        <v>6181.38</v>
      </c>
      <c r="V9" s="7">
        <v>6181.38</v>
      </c>
      <c r="W9" s="7">
        <v>6181.38</v>
      </c>
      <c r="X9" s="14">
        <v>6181.37</v>
      </c>
      <c r="Y9" s="7">
        <v>9272.0499999999993</v>
      </c>
      <c r="Z9" s="7">
        <v>6181.38</v>
      </c>
      <c r="AA9" s="7">
        <v>6181.38</v>
      </c>
      <c r="AB9" s="7">
        <v>6181.37</v>
      </c>
      <c r="AC9" s="7">
        <f t="shared" si="5"/>
        <v>81837.456484061404</v>
      </c>
      <c r="AD9" s="9">
        <f t="shared" si="1"/>
        <v>7.6171494329973166E-2</v>
      </c>
      <c r="AF9" s="14">
        <f t="shared" si="6"/>
        <v>63303.948012019537</v>
      </c>
      <c r="AG9" s="14">
        <f t="shared" si="7"/>
        <v>61012.68441410597</v>
      </c>
      <c r="AH9" s="14">
        <f t="shared" si="8"/>
        <v>62942.247321262694</v>
      </c>
      <c r="AI9" s="7">
        <f t="shared" si="9"/>
        <v>61312.116736673219</v>
      </c>
      <c r="AJ9" s="7">
        <f t="shared" si="2"/>
        <v>61118.77</v>
      </c>
      <c r="AK9" s="7">
        <f t="shared" si="2"/>
        <v>55904.34</v>
      </c>
      <c r="AL9" s="7">
        <f t="shared" si="2"/>
        <v>63127.000000000007</v>
      </c>
      <c r="AM9" s="7">
        <f t="shared" si="2"/>
        <v>62251.48</v>
      </c>
      <c r="AN9" s="7">
        <f t="shared" si="2"/>
        <v>59764.92</v>
      </c>
      <c r="AO9" s="7">
        <f t="shared" si="2"/>
        <v>63921.569999999992</v>
      </c>
      <c r="AP9" s="7">
        <f t="shared" si="2"/>
        <v>62327.17</v>
      </c>
      <c r="AQ9" s="7">
        <f t="shared" si="2"/>
        <v>62110.310000000005</v>
      </c>
      <c r="AR9" s="14">
        <f t="shared" si="10"/>
        <v>739096.55648406153</v>
      </c>
      <c r="AS9" s="9">
        <f t="shared" si="3"/>
        <v>6.1997288326560422E-2</v>
      </c>
    </row>
    <row r="10" spans="1:45" ht="15" x14ac:dyDescent="0.25">
      <c r="A10" s="15" t="s">
        <v>7</v>
      </c>
      <c r="B10" s="14">
        <v>72165.119999999995</v>
      </c>
      <c r="C10" s="14">
        <v>69282.52</v>
      </c>
      <c r="D10" s="14">
        <v>65062.94</v>
      </c>
      <c r="E10" s="7">
        <v>69360.149999999994</v>
      </c>
      <c r="F10" s="7">
        <v>69116.87</v>
      </c>
      <c r="G10" s="14">
        <v>62556.6</v>
      </c>
      <c r="H10" s="7">
        <v>71643.429999999993</v>
      </c>
      <c r="I10" s="14">
        <v>70541.95</v>
      </c>
      <c r="J10" s="7">
        <v>63525.2</v>
      </c>
      <c r="K10" s="14">
        <v>72643.09</v>
      </c>
      <c r="L10" s="7">
        <v>70637.16</v>
      </c>
      <c r="M10" s="7">
        <v>70364.37</v>
      </c>
      <c r="N10" s="7">
        <f t="shared" si="4"/>
        <v>826899.39999999991</v>
      </c>
      <c r="O10" s="9">
        <f t="shared" si="0"/>
        <v>7.6232657966961867E-2</v>
      </c>
      <c r="Q10" s="14">
        <v>5855.2615739547182</v>
      </c>
      <c r="R10" s="14">
        <v>5855.2751718682666</v>
      </c>
      <c r="S10" s="14">
        <v>8782.9195567591723</v>
      </c>
      <c r="T10" s="7">
        <v>5928.4455446723778</v>
      </c>
      <c r="U10" s="14">
        <v>5928.45</v>
      </c>
      <c r="V10" s="7">
        <v>5928.45</v>
      </c>
      <c r="W10" s="7">
        <v>5928.46</v>
      </c>
      <c r="X10" s="14">
        <v>5928.45</v>
      </c>
      <c r="Y10" s="7">
        <v>8892.67</v>
      </c>
      <c r="Z10" s="7">
        <v>5928.46</v>
      </c>
      <c r="AA10" s="7">
        <v>5928.45</v>
      </c>
      <c r="AB10" s="7">
        <v>5928.45</v>
      </c>
      <c r="AC10" s="7">
        <f t="shared" si="5"/>
        <v>76813.741847254525</v>
      </c>
      <c r="AD10" s="9">
        <f t="shared" si="1"/>
        <v>7.1495593252237866E-2</v>
      </c>
      <c r="AF10" s="14">
        <f t="shared" si="6"/>
        <v>78020.381573954714</v>
      </c>
      <c r="AG10" s="14">
        <f t="shared" si="7"/>
        <v>75137.795171868274</v>
      </c>
      <c r="AH10" s="14">
        <f t="shared" si="8"/>
        <v>73845.859556759169</v>
      </c>
      <c r="AI10" s="7">
        <f t="shared" si="9"/>
        <v>75288.595544672367</v>
      </c>
      <c r="AJ10" s="7">
        <f t="shared" si="2"/>
        <v>75045.319999999992</v>
      </c>
      <c r="AK10" s="7">
        <f t="shared" si="2"/>
        <v>68485.05</v>
      </c>
      <c r="AL10" s="7">
        <f t="shared" si="2"/>
        <v>77571.89</v>
      </c>
      <c r="AM10" s="7">
        <f t="shared" si="2"/>
        <v>76470.399999999994</v>
      </c>
      <c r="AN10" s="7">
        <f t="shared" si="2"/>
        <v>72417.87</v>
      </c>
      <c r="AO10" s="7">
        <f t="shared" si="2"/>
        <v>78571.55</v>
      </c>
      <c r="AP10" s="7">
        <f t="shared" si="2"/>
        <v>76565.61</v>
      </c>
      <c r="AQ10" s="7">
        <f t="shared" si="2"/>
        <v>76292.819999999992</v>
      </c>
      <c r="AR10" s="14">
        <f t="shared" si="10"/>
        <v>903713.14184725459</v>
      </c>
      <c r="AS10" s="9">
        <f t="shared" si="3"/>
        <v>7.5805743820718599E-2</v>
      </c>
    </row>
    <row r="11" spans="1:45" ht="15" x14ac:dyDescent="0.25">
      <c r="A11" s="15" t="s">
        <v>8</v>
      </c>
      <c r="B11" s="14">
        <v>27369.360000000001</v>
      </c>
      <c r="C11" s="14">
        <v>26276.080000000005</v>
      </c>
      <c r="D11" s="14">
        <v>24675.77</v>
      </c>
      <c r="E11" s="7">
        <v>26305.52</v>
      </c>
      <c r="F11" s="7">
        <v>26213.26</v>
      </c>
      <c r="G11" s="14">
        <v>23725.199999999997</v>
      </c>
      <c r="H11" s="7">
        <v>27171.499999999996</v>
      </c>
      <c r="I11" s="14">
        <v>26753.75</v>
      </c>
      <c r="J11" s="7">
        <v>24092.579999999998</v>
      </c>
      <c r="K11" s="14">
        <v>27550.609999999997</v>
      </c>
      <c r="L11" s="7">
        <v>26789.86</v>
      </c>
      <c r="M11" s="7">
        <v>26686.400000000001</v>
      </c>
      <c r="N11" s="7">
        <f t="shared" si="4"/>
        <v>313609.89</v>
      </c>
      <c r="O11" s="9">
        <f t="shared" si="0"/>
        <v>2.8912000032200458E-2</v>
      </c>
      <c r="Q11" s="14">
        <v>5857.5596213444041</v>
      </c>
      <c r="R11" s="14">
        <v>5857.5732192579517</v>
      </c>
      <c r="S11" s="14">
        <v>8786.332633059832</v>
      </c>
      <c r="T11" s="7">
        <v>5857.5596213444041</v>
      </c>
      <c r="U11" s="14">
        <v>6212.16</v>
      </c>
      <c r="V11" s="7">
        <v>5857.5599999999995</v>
      </c>
      <c r="W11" s="7">
        <v>6486.34</v>
      </c>
      <c r="X11" s="14">
        <v>5857.5599999999995</v>
      </c>
      <c r="Y11" s="7">
        <v>9075.31</v>
      </c>
      <c r="Z11" s="7">
        <v>6103.87</v>
      </c>
      <c r="AA11" s="7">
        <v>6183.48</v>
      </c>
      <c r="AB11" s="7">
        <v>5859.05</v>
      </c>
      <c r="AC11" s="7">
        <f t="shared" si="5"/>
        <v>77994.355095006584</v>
      </c>
      <c r="AD11" s="9">
        <f t="shared" si="1"/>
        <v>7.25944675229033E-2</v>
      </c>
      <c r="AF11" s="14">
        <f t="shared" si="6"/>
        <v>33226.919621344408</v>
      </c>
      <c r="AG11" s="14">
        <f t="shared" si="7"/>
        <v>32133.653219257958</v>
      </c>
      <c r="AH11" s="14">
        <f t="shared" si="8"/>
        <v>33462.102633059832</v>
      </c>
      <c r="AI11" s="7">
        <f t="shared" si="9"/>
        <v>32163.079621344405</v>
      </c>
      <c r="AJ11" s="7">
        <f t="shared" si="2"/>
        <v>32425.42</v>
      </c>
      <c r="AK11" s="7">
        <f t="shared" si="2"/>
        <v>29582.759999999995</v>
      </c>
      <c r="AL11" s="7">
        <f t="shared" si="2"/>
        <v>33657.839999999997</v>
      </c>
      <c r="AM11" s="7">
        <f t="shared" si="2"/>
        <v>32611.309999999998</v>
      </c>
      <c r="AN11" s="7">
        <f t="shared" si="2"/>
        <v>33167.89</v>
      </c>
      <c r="AO11" s="7">
        <f t="shared" si="2"/>
        <v>33654.479999999996</v>
      </c>
      <c r="AP11" s="7">
        <f t="shared" si="2"/>
        <v>32973.339999999997</v>
      </c>
      <c r="AQ11" s="7">
        <f t="shared" si="2"/>
        <v>32545.45</v>
      </c>
      <c r="AR11" s="14">
        <f t="shared" si="10"/>
        <v>391604.2450950066</v>
      </c>
      <c r="AS11" s="9">
        <f t="shared" si="3"/>
        <v>3.2848754442253603E-2</v>
      </c>
    </row>
    <row r="12" spans="1:45" ht="15" x14ac:dyDescent="0.25">
      <c r="A12" s="15" t="s">
        <v>9</v>
      </c>
      <c r="B12" s="14">
        <v>29331.63</v>
      </c>
      <c r="C12" s="14">
        <v>28159.959999999995</v>
      </c>
      <c r="D12" s="14">
        <v>26444.929999999997</v>
      </c>
      <c r="E12" s="7">
        <v>28191.52</v>
      </c>
      <c r="F12" s="7">
        <v>28092.650000000005</v>
      </c>
      <c r="G12" s="14">
        <v>25426.2</v>
      </c>
      <c r="H12" s="7">
        <v>29119.559999999998</v>
      </c>
      <c r="I12" s="14">
        <v>28671.85</v>
      </c>
      <c r="J12" s="7">
        <v>25819.89</v>
      </c>
      <c r="K12" s="14">
        <v>29525.879999999997</v>
      </c>
      <c r="L12" s="7">
        <v>28710.57</v>
      </c>
      <c r="M12" s="7">
        <v>28599.690000000002</v>
      </c>
      <c r="N12" s="7">
        <f t="shared" si="4"/>
        <v>336094.33</v>
      </c>
      <c r="O12" s="9">
        <f t="shared" si="0"/>
        <v>3.0984862370834004E-2</v>
      </c>
      <c r="Q12" s="14">
        <v>5857.5460234308557</v>
      </c>
      <c r="R12" s="14">
        <v>5857.5732192579517</v>
      </c>
      <c r="S12" s="14">
        <v>11098.005132120328</v>
      </c>
      <c r="T12" s="7">
        <v>5916.1394329110481</v>
      </c>
      <c r="U12" s="14">
        <v>5916.14</v>
      </c>
      <c r="V12" s="7">
        <v>5916.14</v>
      </c>
      <c r="W12" s="7">
        <v>6885.0499999999993</v>
      </c>
      <c r="X12" s="14">
        <v>6267.4800000000005</v>
      </c>
      <c r="Y12" s="7">
        <v>8874.2000000000007</v>
      </c>
      <c r="Z12" s="7">
        <v>5916.14</v>
      </c>
      <c r="AA12" s="7">
        <v>5916.14</v>
      </c>
      <c r="AB12" s="7">
        <v>5916.14</v>
      </c>
      <c r="AC12" s="7">
        <f t="shared" si="5"/>
        <v>80336.693807720192</v>
      </c>
      <c r="AD12" s="9">
        <f t="shared" si="1"/>
        <v>7.4774635964588554E-2</v>
      </c>
      <c r="AF12" s="14">
        <f t="shared" si="6"/>
        <v>35189.17602343086</v>
      </c>
      <c r="AG12" s="14">
        <f t="shared" si="7"/>
        <v>34017.533219257944</v>
      </c>
      <c r="AH12" s="14">
        <f t="shared" si="8"/>
        <v>37542.935132120328</v>
      </c>
      <c r="AI12" s="7">
        <f t="shared" si="9"/>
        <v>34107.659432911052</v>
      </c>
      <c r="AJ12" s="7">
        <f t="shared" si="2"/>
        <v>34008.790000000008</v>
      </c>
      <c r="AK12" s="7">
        <f t="shared" si="2"/>
        <v>31342.34</v>
      </c>
      <c r="AL12" s="7">
        <f t="shared" si="2"/>
        <v>36004.61</v>
      </c>
      <c r="AM12" s="7">
        <f t="shared" si="2"/>
        <v>34939.33</v>
      </c>
      <c r="AN12" s="7">
        <f t="shared" si="2"/>
        <v>34694.089999999997</v>
      </c>
      <c r="AO12" s="7">
        <f t="shared" si="2"/>
        <v>35442.019999999997</v>
      </c>
      <c r="AP12" s="7">
        <f t="shared" si="2"/>
        <v>34626.71</v>
      </c>
      <c r="AQ12" s="7">
        <f t="shared" si="2"/>
        <v>34515.83</v>
      </c>
      <c r="AR12" s="14">
        <f t="shared" si="10"/>
        <v>416431.02380772028</v>
      </c>
      <c r="AS12" s="9">
        <f t="shared" si="3"/>
        <v>3.4931287427380581E-2</v>
      </c>
    </row>
    <row r="13" spans="1:45" s="213" customFormat="1" ht="13.5" customHeight="1" x14ac:dyDescent="0.25">
      <c r="A13" s="213" t="s">
        <v>10</v>
      </c>
      <c r="B13" s="6">
        <v>92283.86</v>
      </c>
      <c r="C13" s="6">
        <v>88597.62000000001</v>
      </c>
      <c r="D13" s="6">
        <v>83201.760000000009</v>
      </c>
      <c r="E13" s="214">
        <v>88696.94</v>
      </c>
      <c r="F13" s="214">
        <v>88385.78</v>
      </c>
      <c r="G13" s="229">
        <v>79996.569999999992</v>
      </c>
      <c r="H13" s="214">
        <v>91616.77</v>
      </c>
      <c r="I13" s="6">
        <v>90208.15</v>
      </c>
      <c r="J13" s="214">
        <v>81235.31</v>
      </c>
      <c r="K13" s="229">
        <v>92895.060000000012</v>
      </c>
      <c r="L13" s="214">
        <v>90329.930000000008</v>
      </c>
      <c r="M13" s="214">
        <v>89981.04</v>
      </c>
      <c r="N13" s="214">
        <f t="shared" si="4"/>
        <v>1057428.79</v>
      </c>
      <c r="O13" s="215">
        <f t="shared" si="0"/>
        <v>9.7485386097133891E-2</v>
      </c>
      <c r="Q13" s="6">
        <v>7438.5890296205644</v>
      </c>
      <c r="R13" s="229">
        <v>7438.5890296205644</v>
      </c>
      <c r="S13" s="6">
        <v>16053.11202499596</v>
      </c>
      <c r="T13" s="214">
        <v>7661.7171930367822</v>
      </c>
      <c r="U13" s="214">
        <v>7661.6900000000005</v>
      </c>
      <c r="V13" s="214">
        <v>7661.7199999999993</v>
      </c>
      <c r="W13" s="214">
        <v>7661.7000000000007</v>
      </c>
      <c r="X13" s="6">
        <v>7661.7199999999993</v>
      </c>
      <c r="Y13" s="214">
        <v>12134.7</v>
      </c>
      <c r="Z13" s="214">
        <v>8233.1899999999987</v>
      </c>
      <c r="AA13" s="214">
        <v>7970.11</v>
      </c>
      <c r="AB13" s="214">
        <v>7661.7000000000007</v>
      </c>
      <c r="AC13" s="214">
        <f t="shared" si="5"/>
        <v>105238.53727727388</v>
      </c>
      <c r="AD13" s="215">
        <f t="shared" si="1"/>
        <v>9.7952416777172951E-2</v>
      </c>
      <c r="AF13" s="6">
        <f t="shared" si="6"/>
        <v>99722.449029620562</v>
      </c>
      <c r="AG13" s="6">
        <f t="shared" si="7"/>
        <v>96036.209029620572</v>
      </c>
      <c r="AH13" s="6">
        <f t="shared" si="8"/>
        <v>99254.872024995973</v>
      </c>
      <c r="AI13" s="214">
        <f t="shared" si="9"/>
        <v>96358.657193036779</v>
      </c>
      <c r="AJ13" s="214">
        <f t="shared" si="2"/>
        <v>96047.47</v>
      </c>
      <c r="AK13" s="214">
        <f t="shared" si="2"/>
        <v>87658.29</v>
      </c>
      <c r="AL13" s="214">
        <f t="shared" si="2"/>
        <v>99278.47</v>
      </c>
      <c r="AM13" s="214">
        <f t="shared" si="2"/>
        <v>97869.87</v>
      </c>
      <c r="AN13" s="214">
        <f t="shared" si="2"/>
        <v>93370.01</v>
      </c>
      <c r="AO13" s="214">
        <f t="shared" si="2"/>
        <v>101128.25000000001</v>
      </c>
      <c r="AP13" s="214">
        <f t="shared" si="2"/>
        <v>98300.040000000008</v>
      </c>
      <c r="AQ13" s="214">
        <f t="shared" si="2"/>
        <v>97642.739999999991</v>
      </c>
      <c r="AR13" s="6">
        <f t="shared" si="10"/>
        <v>1162667.3272772739</v>
      </c>
      <c r="AS13" s="215">
        <f t="shared" si="3"/>
        <v>9.7527475787441281E-2</v>
      </c>
    </row>
    <row r="14" spans="1:45" s="4" customFormat="1" ht="13.5" thickBot="1" x14ac:dyDescent="0.25">
      <c r="A14" s="3" t="s">
        <v>11</v>
      </c>
      <c r="B14" s="220">
        <f t="shared" ref="B14:O14" si="11">SUM(B5:B13)</f>
        <v>946643.33000000007</v>
      </c>
      <c r="C14" s="220">
        <f t="shared" si="11"/>
        <v>908829.76999999979</v>
      </c>
      <c r="D14" s="220">
        <f t="shared" si="11"/>
        <v>853478.77000000014</v>
      </c>
      <c r="E14" s="220">
        <f t="shared" si="11"/>
        <v>909848.24</v>
      </c>
      <c r="F14" s="220">
        <v>906656.93000000028</v>
      </c>
      <c r="G14" s="220">
        <v>820600.9099999998</v>
      </c>
      <c r="H14" s="220">
        <v>939799.82000000007</v>
      </c>
      <c r="I14" s="220">
        <v>925350.71</v>
      </c>
      <c r="J14" s="220">
        <v>833307.12999999989</v>
      </c>
      <c r="K14" s="220">
        <f t="shared" si="11"/>
        <v>952912.75</v>
      </c>
      <c r="L14" s="220">
        <f t="shared" si="11"/>
        <v>926599.73000000021</v>
      </c>
      <c r="M14" s="220">
        <f t="shared" si="11"/>
        <v>923021.22</v>
      </c>
      <c r="N14" s="220">
        <f>SUM(N5:N13)</f>
        <v>10847049.310000002</v>
      </c>
      <c r="O14" s="11">
        <f t="shared" si="11"/>
        <v>0.99999999999999978</v>
      </c>
      <c r="Q14" s="220">
        <f>SUM(Q5:Q13)</f>
        <v>82801.951743341691</v>
      </c>
      <c r="R14" s="220">
        <f>SUM(R5:R13)</f>
        <v>82985.074845098396</v>
      </c>
      <c r="S14" s="220">
        <f>SUM(S5:S13)</f>
        <v>152825.67216695106</v>
      </c>
      <c r="T14" s="220">
        <f t="shared" ref="T14:AB14" si="12">SUM(T5:T13)</f>
        <v>92107.044778274168</v>
      </c>
      <c r="U14" s="220">
        <v>78434.289999999994</v>
      </c>
      <c r="V14" s="220">
        <v>77302.430000000008</v>
      </c>
      <c r="W14" s="220">
        <v>79254.099999999991</v>
      </c>
      <c r="X14" s="220">
        <v>78083.78</v>
      </c>
      <c r="Y14" s="220">
        <v>116884.73999999999</v>
      </c>
      <c r="Z14" s="220">
        <f t="shared" si="12"/>
        <v>78120.37</v>
      </c>
      <c r="AA14" s="220">
        <f t="shared" si="12"/>
        <v>77937.069999999992</v>
      </c>
      <c r="AB14" s="220">
        <f t="shared" si="12"/>
        <v>77647.761610373243</v>
      </c>
      <c r="AC14" s="220">
        <f>SUM(AC5:AC13)</f>
        <v>1074384.2851440385</v>
      </c>
      <c r="AD14" s="11">
        <f>SUM(AD5:AD13)</f>
        <v>1</v>
      </c>
      <c r="AF14" s="10">
        <f>SUM(AF5:AF13)</f>
        <v>1029445.2817433418</v>
      </c>
      <c r="AG14" s="10">
        <f>SUM(AG5:AG13)</f>
        <v>991814.84484509844</v>
      </c>
      <c r="AH14" s="10">
        <f>SUM(AH5:AH13)</f>
        <v>1006304.442166951</v>
      </c>
      <c r="AI14" s="10">
        <f>SUM(AI5:AI13)+0.01</f>
        <v>1001955.2947782741</v>
      </c>
      <c r="AJ14" s="10">
        <f>SUM(AJ5:AJ13)</f>
        <v>985091.22000000009</v>
      </c>
      <c r="AK14" s="10">
        <f t="shared" ref="AK14:AQ14" si="13">SUM(AK5:AK13)</f>
        <v>897903.34000000008</v>
      </c>
      <c r="AL14" s="10">
        <f>SUM(AL5:AL13)</f>
        <v>1019053.9199999998</v>
      </c>
      <c r="AM14" s="10">
        <f>SUM(AM5:AM13)</f>
        <v>1003434.49</v>
      </c>
      <c r="AN14" s="10">
        <f>SUM(AN5:AN13)</f>
        <v>950191.87000000011</v>
      </c>
      <c r="AO14" s="10">
        <f t="shared" si="13"/>
        <v>1031033.1200000001</v>
      </c>
      <c r="AP14" s="10">
        <f>SUM(AP5:AP13)</f>
        <v>1004536.8</v>
      </c>
      <c r="AQ14" s="10">
        <f t="shared" si="13"/>
        <v>1000668.9816103731</v>
      </c>
      <c r="AR14" s="10">
        <f>SUM(AR5:AR13)+0.01</f>
        <v>11921433.605144037</v>
      </c>
      <c r="AS14" s="11">
        <f>SUM(AS5:AS13)</f>
        <v>0.99999999916117466</v>
      </c>
    </row>
    <row r="15" spans="1:45" ht="14.25" thickTop="1" thickBot="1" x14ac:dyDescent="0.25">
      <c r="A15" s="4" t="s">
        <v>12</v>
      </c>
      <c r="B15" s="12">
        <v>946643.33</v>
      </c>
      <c r="C15" s="12">
        <v>908829.77</v>
      </c>
      <c r="D15" s="12">
        <v>853478.77</v>
      </c>
      <c r="E15" s="12">
        <v>909848.24</v>
      </c>
      <c r="F15" s="12">
        <v>906656.93</v>
      </c>
      <c r="G15" s="12">
        <v>820600.91</v>
      </c>
      <c r="H15" s="12">
        <v>939799.82</v>
      </c>
      <c r="I15" s="12">
        <v>925350.71</v>
      </c>
      <c r="J15" s="212">
        <v>833307.13</v>
      </c>
      <c r="K15" s="12">
        <v>952912.75</v>
      </c>
      <c r="L15" s="12">
        <v>926599.73000000021</v>
      </c>
      <c r="M15" s="12">
        <v>923021.22</v>
      </c>
      <c r="N15" s="7">
        <f>SUM(B15:M15)</f>
        <v>10847049.310000001</v>
      </c>
      <c r="O15" s="7" t="s">
        <v>28</v>
      </c>
      <c r="Q15" s="12">
        <v>82801.95</v>
      </c>
      <c r="R15" s="12">
        <v>82985.070000000007</v>
      </c>
      <c r="S15" s="12">
        <v>152825.67000000001</v>
      </c>
      <c r="T15" s="12">
        <v>92107.04</v>
      </c>
      <c r="U15" s="12">
        <v>78434.289999999994</v>
      </c>
      <c r="V15" s="12">
        <v>77302.429999999993</v>
      </c>
      <c r="W15" s="12">
        <v>79254.100000000006</v>
      </c>
      <c r="X15" s="12">
        <v>78083.78</v>
      </c>
      <c r="Y15" s="212">
        <v>116884.74</v>
      </c>
      <c r="Z15" s="12">
        <v>78120.37</v>
      </c>
      <c r="AA15" s="12">
        <v>77937.069999999992</v>
      </c>
      <c r="AB15" s="12">
        <v>77647.761610373243</v>
      </c>
      <c r="AC15" s="7">
        <f>SUM(Q15:AB15)+0.01</f>
        <v>1074384.2816103732</v>
      </c>
      <c r="AD15" s="7" t="s">
        <v>28</v>
      </c>
      <c r="AF15" s="12">
        <v>1029445.28</v>
      </c>
      <c r="AG15" s="12">
        <v>991814.84</v>
      </c>
      <c r="AH15" s="12">
        <v>1006304.44</v>
      </c>
      <c r="AI15" s="12">
        <f>1001955.28+0.01</f>
        <v>1001955.29</v>
      </c>
      <c r="AJ15" s="12">
        <v>985091.22</v>
      </c>
      <c r="AK15" s="12">
        <v>897903.34</v>
      </c>
      <c r="AL15" s="12">
        <v>1019053.92</v>
      </c>
      <c r="AM15" s="12">
        <v>1003434.49</v>
      </c>
      <c r="AN15" s="212">
        <v>950191.87</v>
      </c>
      <c r="AO15" s="12">
        <v>1031033.1200000001</v>
      </c>
      <c r="AP15" s="12">
        <v>1004536.8</v>
      </c>
      <c r="AQ15" s="12">
        <v>1000668.9816103731</v>
      </c>
      <c r="AR15" s="10">
        <f>SUM(AF15:AQ15)+0.01</f>
        <v>11921433.601610372</v>
      </c>
      <c r="AS15" s="7" t="s">
        <v>28</v>
      </c>
    </row>
    <row r="16" spans="1:45" ht="13.5" thickTop="1" x14ac:dyDescent="0.2">
      <c r="A16" s="5" t="s">
        <v>13</v>
      </c>
      <c r="B16" s="7">
        <f t="shared" ref="B16:N16" si="14">B14-B15</f>
        <v>0</v>
      </c>
      <c r="C16" s="7">
        <f>C14-C15</f>
        <v>0</v>
      </c>
      <c r="D16" s="7">
        <f>D14-D15</f>
        <v>0</v>
      </c>
      <c r="E16" s="7">
        <f>E14-E15</f>
        <v>0</v>
      </c>
      <c r="F16" s="7">
        <f t="shared" si="14"/>
        <v>0</v>
      </c>
      <c r="G16" s="7">
        <f t="shared" si="14"/>
        <v>0</v>
      </c>
      <c r="H16" s="7">
        <f t="shared" si="14"/>
        <v>0</v>
      </c>
      <c r="I16" s="7">
        <f t="shared" si="14"/>
        <v>0</v>
      </c>
      <c r="J16" s="7">
        <f t="shared" si="14"/>
        <v>0</v>
      </c>
      <c r="K16" s="7">
        <f t="shared" si="14"/>
        <v>0</v>
      </c>
      <c r="L16" s="7">
        <f t="shared" si="14"/>
        <v>0</v>
      </c>
      <c r="M16" s="7">
        <f t="shared" si="14"/>
        <v>0</v>
      </c>
      <c r="N16" s="7">
        <f t="shared" si="14"/>
        <v>0</v>
      </c>
      <c r="Q16" s="7">
        <f t="shared" ref="Q16" si="15">Q14-Q15</f>
        <v>1.743341694236733E-3</v>
      </c>
      <c r="R16" s="7">
        <f>R14-R15</f>
        <v>4.845098388614133E-3</v>
      </c>
      <c r="S16" s="7">
        <f>S14-S15</f>
        <v>2.1669510460924357E-3</v>
      </c>
      <c r="T16" s="7">
        <f>T14-T15</f>
        <v>4.7782741748960689E-3</v>
      </c>
      <c r="U16" s="7">
        <f t="shared" ref="U16:AC16" si="16">U14-U15</f>
        <v>0</v>
      </c>
      <c r="V16" s="7">
        <f t="shared" si="16"/>
        <v>0</v>
      </c>
      <c r="W16" s="7">
        <f t="shared" si="16"/>
        <v>0</v>
      </c>
      <c r="X16" s="7">
        <f t="shared" si="16"/>
        <v>0</v>
      </c>
      <c r="Y16" s="7">
        <f t="shared" si="16"/>
        <v>0</v>
      </c>
      <c r="Z16" s="7">
        <f t="shared" si="16"/>
        <v>0</v>
      </c>
      <c r="AA16" s="7">
        <f t="shared" si="16"/>
        <v>0</v>
      </c>
      <c r="AB16" s="7">
        <f t="shared" si="16"/>
        <v>0</v>
      </c>
      <c r="AC16" s="7">
        <f t="shared" si="16"/>
        <v>3.5336653236299753E-3</v>
      </c>
      <c r="AD16" s="7"/>
      <c r="AF16" s="7">
        <f t="shared" ref="AF16" si="17">AF14-AF15</f>
        <v>1.7433417961001396E-3</v>
      </c>
      <c r="AG16" s="7">
        <f>AG14-AG15</f>
        <v>4.8450984759256244E-3</v>
      </c>
      <c r="AH16" s="7">
        <f>AH14-AH15</f>
        <v>2.1669510751962662E-3</v>
      </c>
      <c r="AI16" s="7">
        <f>AI14-AI15</f>
        <v>4.7782741021364927E-3</v>
      </c>
      <c r="AJ16" s="7">
        <f t="shared" ref="AJ16:AR16" si="18">AJ14-AJ15</f>
        <v>0</v>
      </c>
      <c r="AK16" s="7">
        <f t="shared" si="18"/>
        <v>0</v>
      </c>
      <c r="AL16" s="7">
        <f t="shared" si="18"/>
        <v>0</v>
      </c>
      <c r="AM16" s="7">
        <f t="shared" si="18"/>
        <v>0</v>
      </c>
      <c r="AN16" s="7">
        <f t="shared" si="18"/>
        <v>0</v>
      </c>
      <c r="AO16" s="7">
        <f t="shared" si="18"/>
        <v>0</v>
      </c>
      <c r="AP16" s="7">
        <f t="shared" si="18"/>
        <v>0</v>
      </c>
      <c r="AQ16" s="7">
        <f t="shared" si="18"/>
        <v>0</v>
      </c>
      <c r="AR16" s="7">
        <f t="shared" si="18"/>
        <v>3.5336650907993317E-3</v>
      </c>
      <c r="AS16" s="7"/>
    </row>
    <row r="17" spans="1:14" x14ac:dyDescent="0.2">
      <c r="B17" s="221">
        <f>B13/B14</f>
        <v>9.7485353855501194E-2</v>
      </c>
      <c r="C17" s="221">
        <f>C13/C14</f>
        <v>9.7485384969288616E-2</v>
      </c>
      <c r="D17" s="221">
        <f t="shared" ref="D17:J17" si="19">D13/D14</f>
        <v>9.7485447704809339E-2</v>
      </c>
      <c r="E17" s="221">
        <f t="shared" si="19"/>
        <v>9.7485422404070377E-2</v>
      </c>
      <c r="F17" s="221">
        <f t="shared" si="19"/>
        <v>9.7485363068917336E-2</v>
      </c>
      <c r="G17" s="221">
        <f t="shared" si="19"/>
        <v>9.7485353751313786E-2</v>
      </c>
      <c r="H17" s="221">
        <f t="shared" si="19"/>
        <v>9.7485409180010266E-2</v>
      </c>
      <c r="I17" s="221">
        <f t="shared" si="19"/>
        <v>9.7485363144099169E-2</v>
      </c>
      <c r="J17" s="221">
        <f t="shared" si="19"/>
        <v>9.7485437332091487E-2</v>
      </c>
    </row>
    <row r="18" spans="1:14" x14ac:dyDescent="0.2">
      <c r="A18" s="183"/>
      <c r="N18" s="7" t="s">
        <v>28</v>
      </c>
    </row>
    <row r="20" spans="1:14" x14ac:dyDescent="0.2">
      <c r="L20" s="15"/>
      <c r="M20" s="14"/>
    </row>
    <row r="21" spans="1:14" x14ac:dyDescent="0.2">
      <c r="B21" s="222"/>
      <c r="D21" s="223"/>
      <c r="E21" s="223"/>
      <c r="F21" s="222"/>
      <c r="G21" s="223"/>
      <c r="H21" s="222"/>
      <c r="K21" s="224"/>
    </row>
    <row r="22" spans="1:14" x14ac:dyDescent="0.2">
      <c r="A22" s="15" t="s">
        <v>29</v>
      </c>
      <c r="B22" s="16" t="str">
        <f t="shared" ref="B22:M22" si="20">+B4</f>
        <v>January</v>
      </c>
      <c r="C22" s="16" t="str">
        <f t="shared" si="20"/>
        <v>February</v>
      </c>
      <c r="D22" s="16" t="str">
        <f t="shared" si="20"/>
        <v>March</v>
      </c>
      <c r="E22" s="16" t="str">
        <f t="shared" si="20"/>
        <v>April</v>
      </c>
      <c r="F22" s="16" t="str">
        <f t="shared" si="20"/>
        <v>May</v>
      </c>
      <c r="G22" s="16" t="str">
        <f t="shared" si="20"/>
        <v>June</v>
      </c>
      <c r="H22" s="16" t="str">
        <f t="shared" si="20"/>
        <v>July</v>
      </c>
      <c r="I22" s="16" t="str">
        <f t="shared" si="20"/>
        <v>August</v>
      </c>
      <c r="J22" s="16" t="str">
        <f t="shared" si="20"/>
        <v>September</v>
      </c>
      <c r="K22" s="16" t="str">
        <f t="shared" si="20"/>
        <v>October</v>
      </c>
      <c r="L22" s="16" t="str">
        <f t="shared" si="20"/>
        <v>November</v>
      </c>
      <c r="M22" s="16" t="str">
        <f t="shared" si="20"/>
        <v>December</v>
      </c>
    </row>
    <row r="24" spans="1:14" x14ac:dyDescent="0.2">
      <c r="A24" s="15" t="s">
        <v>2</v>
      </c>
      <c r="B24" s="216">
        <v>437057</v>
      </c>
      <c r="C24" s="216">
        <v>437057</v>
      </c>
      <c r="D24" s="216">
        <v>437057</v>
      </c>
      <c r="E24" s="216">
        <v>437057</v>
      </c>
      <c r="F24" s="216">
        <v>437057</v>
      </c>
      <c r="G24" s="216">
        <v>437057</v>
      </c>
      <c r="H24" s="216">
        <v>437057</v>
      </c>
      <c r="I24" s="216">
        <v>437057</v>
      </c>
      <c r="J24" s="216">
        <v>437057</v>
      </c>
      <c r="K24" s="216">
        <v>437057</v>
      </c>
      <c r="L24" s="216">
        <v>437057</v>
      </c>
      <c r="M24" s="216">
        <v>437057</v>
      </c>
    </row>
    <row r="25" spans="1:14" x14ac:dyDescent="0.2">
      <c r="A25" s="15" t="s">
        <v>3</v>
      </c>
      <c r="B25" s="216">
        <v>21700</v>
      </c>
      <c r="C25" s="216">
        <v>21700</v>
      </c>
      <c r="D25" s="216">
        <v>21700</v>
      </c>
      <c r="E25" s="216">
        <v>21700</v>
      </c>
      <c r="F25" s="216">
        <v>21700</v>
      </c>
      <c r="G25" s="216">
        <v>21700</v>
      </c>
      <c r="H25" s="216">
        <v>21700</v>
      </c>
      <c r="I25" s="216">
        <v>21700</v>
      </c>
      <c r="J25" s="216">
        <v>21700</v>
      </c>
      <c r="K25" s="216">
        <v>21700</v>
      </c>
      <c r="L25" s="216">
        <v>21700</v>
      </c>
      <c r="M25" s="216">
        <v>21700</v>
      </c>
    </row>
    <row r="26" spans="1:14" x14ac:dyDescent="0.2">
      <c r="A26" s="15" t="s">
        <v>4</v>
      </c>
      <c r="B26" s="216">
        <v>150212</v>
      </c>
      <c r="C26" s="216">
        <v>150212</v>
      </c>
      <c r="D26" s="216">
        <v>150212</v>
      </c>
      <c r="E26" s="216">
        <v>150212</v>
      </c>
      <c r="F26" s="216">
        <v>150212</v>
      </c>
      <c r="G26" s="216">
        <v>150212</v>
      </c>
      <c r="H26" s="216">
        <v>150212</v>
      </c>
      <c r="I26" s="216">
        <v>150212</v>
      </c>
      <c r="J26" s="216">
        <v>150212</v>
      </c>
      <c r="K26" s="216">
        <v>150212</v>
      </c>
      <c r="L26" s="216">
        <v>150212</v>
      </c>
      <c r="M26" s="216">
        <v>150212</v>
      </c>
    </row>
    <row r="27" spans="1:14" s="214" customFormat="1" x14ac:dyDescent="0.2">
      <c r="A27" s="213" t="s">
        <v>5</v>
      </c>
      <c r="B27" s="230">
        <v>70995</v>
      </c>
      <c r="C27" s="230">
        <v>70995</v>
      </c>
      <c r="D27" s="230">
        <v>70995</v>
      </c>
      <c r="E27" s="230">
        <v>70995</v>
      </c>
      <c r="F27" s="230">
        <v>70995</v>
      </c>
      <c r="G27" s="230">
        <v>70995</v>
      </c>
      <c r="H27" s="230">
        <v>70995</v>
      </c>
      <c r="I27" s="230">
        <v>70995</v>
      </c>
      <c r="J27" s="230">
        <v>70995</v>
      </c>
      <c r="K27" s="230">
        <v>70995</v>
      </c>
      <c r="L27" s="230">
        <v>70995</v>
      </c>
      <c r="M27" s="230">
        <v>70995</v>
      </c>
    </row>
    <row r="28" spans="1:14" x14ac:dyDescent="0.2">
      <c r="A28" s="15" t="s">
        <v>6</v>
      </c>
      <c r="B28" s="216">
        <v>58376</v>
      </c>
      <c r="C28" s="216">
        <v>58376</v>
      </c>
      <c r="D28" s="216">
        <v>58376</v>
      </c>
      <c r="E28" s="216">
        <v>58376</v>
      </c>
      <c r="F28" s="216">
        <v>58376</v>
      </c>
      <c r="G28" s="216">
        <v>58376</v>
      </c>
      <c r="H28" s="216">
        <v>58376</v>
      </c>
      <c r="I28" s="216">
        <v>58376</v>
      </c>
      <c r="J28" s="216">
        <v>58376</v>
      </c>
      <c r="K28" s="216">
        <v>58376</v>
      </c>
      <c r="L28" s="216">
        <v>58376</v>
      </c>
      <c r="M28" s="216">
        <v>58376</v>
      </c>
    </row>
    <row r="29" spans="1:14" x14ac:dyDescent="0.2">
      <c r="A29" s="15" t="s">
        <v>7</v>
      </c>
      <c r="B29" s="216">
        <v>73443</v>
      </c>
      <c r="C29" s="216">
        <v>73443</v>
      </c>
      <c r="D29" s="216">
        <v>73443</v>
      </c>
      <c r="E29" s="216">
        <v>73443</v>
      </c>
      <c r="F29" s="216">
        <v>73443</v>
      </c>
      <c r="G29" s="216">
        <v>73443</v>
      </c>
      <c r="H29" s="216">
        <v>73443</v>
      </c>
      <c r="I29" s="216">
        <v>73443</v>
      </c>
      <c r="J29" s="216">
        <v>73443</v>
      </c>
      <c r="K29" s="216">
        <v>73443</v>
      </c>
      <c r="L29" s="216">
        <v>73443</v>
      </c>
      <c r="M29" s="216">
        <v>73443</v>
      </c>
    </row>
    <row r="30" spans="1:14" x14ac:dyDescent="0.2">
      <c r="A30" s="15" t="s">
        <v>8</v>
      </c>
      <c r="B30" s="216">
        <v>27854</v>
      </c>
      <c r="C30" s="216">
        <v>27854</v>
      </c>
      <c r="D30" s="216">
        <v>27854</v>
      </c>
      <c r="E30" s="216">
        <v>27854</v>
      </c>
      <c r="F30" s="216">
        <v>27854</v>
      </c>
      <c r="G30" s="216">
        <v>27854</v>
      </c>
      <c r="H30" s="216">
        <v>27854</v>
      </c>
      <c r="I30" s="216">
        <v>27854</v>
      </c>
      <c r="J30" s="216">
        <v>27854</v>
      </c>
      <c r="K30" s="216">
        <v>27854</v>
      </c>
      <c r="L30" s="216">
        <v>27854</v>
      </c>
      <c r="M30" s="216">
        <v>27854</v>
      </c>
    </row>
    <row r="31" spans="1:14" x14ac:dyDescent="0.2">
      <c r="A31" s="15" t="s">
        <v>9</v>
      </c>
      <c r="B31" s="216">
        <v>29851</v>
      </c>
      <c r="C31" s="216">
        <v>29851</v>
      </c>
      <c r="D31" s="216">
        <v>29851</v>
      </c>
      <c r="E31" s="216">
        <v>29851</v>
      </c>
      <c r="F31" s="216">
        <v>29851</v>
      </c>
      <c r="G31" s="216">
        <v>29851</v>
      </c>
      <c r="H31" s="216">
        <v>29851</v>
      </c>
      <c r="I31" s="216">
        <v>29851</v>
      </c>
      <c r="J31" s="216">
        <v>29851</v>
      </c>
      <c r="K31" s="216">
        <v>29851</v>
      </c>
      <c r="L31" s="216">
        <v>29851</v>
      </c>
      <c r="M31" s="216">
        <v>29851</v>
      </c>
      <c r="N31" s="225"/>
    </row>
    <row r="32" spans="1:14" x14ac:dyDescent="0.2">
      <c r="A32" s="15" t="s">
        <v>10</v>
      </c>
      <c r="B32" s="217">
        <v>93918</v>
      </c>
      <c r="C32" s="217">
        <v>93918</v>
      </c>
      <c r="D32" s="217">
        <v>93918</v>
      </c>
      <c r="E32" s="217">
        <v>93918</v>
      </c>
      <c r="F32" s="217">
        <v>93918</v>
      </c>
      <c r="G32" s="217">
        <v>93918</v>
      </c>
      <c r="H32" s="217">
        <v>93918</v>
      </c>
      <c r="I32" s="217">
        <v>93918</v>
      </c>
      <c r="J32" s="217">
        <v>93918</v>
      </c>
      <c r="K32" s="217">
        <v>93918</v>
      </c>
      <c r="L32" s="217">
        <v>93918</v>
      </c>
      <c r="M32" s="217">
        <v>93918</v>
      </c>
    </row>
    <row r="34" spans="1:15" x14ac:dyDescent="0.2">
      <c r="B34" s="17">
        <f t="shared" ref="B34:M34" si="21">SUM(B24:B32)</f>
        <v>963406</v>
      </c>
      <c r="C34" s="17">
        <f t="shared" si="21"/>
        <v>963406</v>
      </c>
      <c r="D34" s="17">
        <f t="shared" si="21"/>
        <v>963406</v>
      </c>
      <c r="E34" s="17">
        <f t="shared" si="21"/>
        <v>963406</v>
      </c>
      <c r="F34" s="17">
        <f t="shared" si="21"/>
        <v>963406</v>
      </c>
      <c r="G34" s="17">
        <f t="shared" si="21"/>
        <v>963406</v>
      </c>
      <c r="H34" s="17">
        <f t="shared" si="21"/>
        <v>963406</v>
      </c>
      <c r="I34" s="17">
        <f t="shared" si="21"/>
        <v>963406</v>
      </c>
      <c r="J34" s="17">
        <f t="shared" si="21"/>
        <v>963406</v>
      </c>
      <c r="K34" s="17">
        <f t="shared" si="21"/>
        <v>963406</v>
      </c>
      <c r="L34" s="17">
        <f t="shared" si="21"/>
        <v>963406</v>
      </c>
      <c r="M34" s="17">
        <f t="shared" si="21"/>
        <v>963406</v>
      </c>
    </row>
    <row r="37" spans="1:15" x14ac:dyDescent="0.2">
      <c r="A37" s="1"/>
      <c r="B37" s="13"/>
      <c r="F37" s="13"/>
      <c r="H37" s="13"/>
    </row>
    <row r="38" spans="1:15" x14ac:dyDescent="0.2">
      <c r="H38" s="218"/>
    </row>
    <row r="39" spans="1:15" x14ac:dyDescent="0.2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 x14ac:dyDescent="0.25">
      <c r="B40" s="219"/>
      <c r="C40" s="219"/>
      <c r="D40" s="219"/>
      <c r="E40" s="219"/>
      <c r="F40" s="219"/>
      <c r="G40" s="14"/>
      <c r="H40" s="219"/>
      <c r="I40" s="219"/>
      <c r="J40" s="219"/>
      <c r="K40" s="219"/>
      <c r="L40" s="219"/>
      <c r="M40" s="219"/>
      <c r="N40" s="219"/>
      <c r="O40" s="9"/>
    </row>
    <row r="41" spans="1:15" ht="15" x14ac:dyDescent="0.25">
      <c r="B41" s="14"/>
      <c r="C41" s="14"/>
      <c r="D41" s="14"/>
      <c r="G41" s="14"/>
      <c r="I41" s="14"/>
      <c r="O41" s="9"/>
    </row>
    <row r="42" spans="1:15" ht="15" x14ac:dyDescent="0.25">
      <c r="B42" s="14"/>
      <c r="C42" s="14"/>
      <c r="D42" s="14"/>
      <c r="G42" s="14"/>
      <c r="I42" s="14"/>
      <c r="O42" s="9"/>
    </row>
    <row r="43" spans="1:15" ht="15" x14ac:dyDescent="0.25">
      <c r="B43" s="14"/>
      <c r="C43" s="14"/>
      <c r="D43" s="14"/>
      <c r="G43" s="14"/>
      <c r="I43" s="14"/>
      <c r="O43" s="9"/>
    </row>
    <row r="44" spans="1:15" ht="15" x14ac:dyDescent="0.25">
      <c r="B44" s="14"/>
      <c r="C44" s="14"/>
      <c r="D44" s="14"/>
      <c r="G44" s="14"/>
      <c r="I44" s="14"/>
      <c r="O44" s="9"/>
    </row>
    <row r="45" spans="1:15" ht="15" x14ac:dyDescent="0.25">
      <c r="B45" s="14"/>
      <c r="C45" s="14"/>
      <c r="D45" s="14"/>
      <c r="G45" s="14"/>
      <c r="I45" s="14"/>
      <c r="O45" s="9"/>
    </row>
    <row r="46" spans="1:15" ht="15" x14ac:dyDescent="0.25">
      <c r="B46" s="14"/>
      <c r="C46" s="14"/>
      <c r="D46" s="14"/>
      <c r="G46" s="14"/>
      <c r="I46" s="14"/>
      <c r="O46" s="9"/>
    </row>
    <row r="47" spans="1:15" ht="15" x14ac:dyDescent="0.25">
      <c r="B47" s="14"/>
      <c r="C47" s="14"/>
      <c r="D47" s="14"/>
      <c r="G47" s="14"/>
      <c r="I47" s="14"/>
      <c r="O47" s="9"/>
    </row>
    <row r="48" spans="1:15" ht="15" x14ac:dyDescent="0.25">
      <c r="B48" s="14"/>
      <c r="C48" s="14"/>
      <c r="D48" s="14"/>
      <c r="G48" s="14"/>
      <c r="I48" s="14"/>
      <c r="O48" s="9"/>
    </row>
    <row r="49" spans="1:15" ht="15" x14ac:dyDescent="0.25">
      <c r="B49" s="14"/>
      <c r="C49" s="14"/>
      <c r="D49" s="14"/>
      <c r="G49" s="14"/>
      <c r="I49" s="14"/>
      <c r="O49" s="9"/>
    </row>
    <row r="50" spans="1:15" ht="15" x14ac:dyDescent="0.25">
      <c r="C50" s="226"/>
      <c r="D50" s="226"/>
      <c r="O50" s="9"/>
    </row>
    <row r="51" spans="1:15" ht="15" x14ac:dyDescent="0.25">
      <c r="O51" s="9"/>
    </row>
    <row r="52" spans="1:15" ht="15" x14ac:dyDescent="0.25">
      <c r="O52" s="9"/>
    </row>
    <row r="53" spans="1:15" ht="15" x14ac:dyDescent="0.25">
      <c r="O53" s="9"/>
    </row>
    <row r="54" spans="1:15" x14ac:dyDescent="0.2">
      <c r="A54" s="4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8"/>
    </row>
    <row r="55" spans="1:15" x14ac:dyDescent="0.2">
      <c r="A55" s="4"/>
    </row>
    <row r="56" spans="1:15" x14ac:dyDescent="0.2">
      <c r="A56" s="5"/>
    </row>
  </sheetData>
  <mergeCells count="3">
    <mergeCell ref="C1:N1"/>
    <mergeCell ref="Q1:AC1"/>
    <mergeCell ref="AF1:A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B23"/>
  <sheetViews>
    <sheetView workbookViewId="0">
      <selection activeCell="G13" sqref="G13"/>
    </sheetView>
  </sheetViews>
  <sheetFormatPr defaultRowHeight="15" x14ac:dyDescent="0.25"/>
  <cols>
    <col min="1" max="1" width="48.28515625" bestFit="1" customWidth="1"/>
    <col min="2" max="2" width="12.28515625" bestFit="1" customWidth="1"/>
  </cols>
  <sheetData>
    <row r="1" spans="1:2" x14ac:dyDescent="0.25">
      <c r="A1" s="20" t="s">
        <v>30</v>
      </c>
      <c r="B1" s="98"/>
    </row>
    <row r="2" spans="1:2" x14ac:dyDescent="0.25">
      <c r="A2" s="20" t="s">
        <v>31</v>
      </c>
      <c r="B2" s="18"/>
    </row>
    <row r="3" spans="1:2" x14ac:dyDescent="0.25">
      <c r="A3" s="20" t="s">
        <v>32</v>
      </c>
      <c r="B3" s="18"/>
    </row>
    <row r="4" spans="1:2" x14ac:dyDescent="0.25">
      <c r="A4" s="20"/>
      <c r="B4" s="18"/>
    </row>
    <row r="5" spans="1:2" x14ac:dyDescent="0.25">
      <c r="A5" s="20"/>
      <c r="B5" s="44"/>
    </row>
    <row r="6" spans="1:2" x14ac:dyDescent="0.25">
      <c r="A6" s="23"/>
      <c r="B6" s="235" t="s">
        <v>33</v>
      </c>
    </row>
    <row r="7" spans="1:2" x14ac:dyDescent="0.25">
      <c r="A7" s="24">
        <v>2015</v>
      </c>
      <c r="B7" s="124">
        <v>236.52500000000001</v>
      </c>
    </row>
    <row r="8" spans="1:2" x14ac:dyDescent="0.25">
      <c r="A8" s="24">
        <v>2019</v>
      </c>
      <c r="B8" s="124">
        <v>251.107</v>
      </c>
    </row>
    <row r="9" spans="1:2" x14ac:dyDescent="0.25">
      <c r="A9" s="21" t="s">
        <v>34</v>
      </c>
      <c r="B9" s="124">
        <f>B8-B7</f>
        <v>14.581999999999994</v>
      </c>
    </row>
    <row r="10" spans="1:2" x14ac:dyDescent="0.25">
      <c r="A10" s="22" t="s">
        <v>35</v>
      </c>
      <c r="B10" s="236">
        <f>B9/B7</f>
        <v>6.1650988267624961E-2</v>
      </c>
    </row>
    <row r="11" spans="1:2" x14ac:dyDescent="0.25">
      <c r="A11" s="19"/>
      <c r="B11" s="64"/>
    </row>
    <row r="12" spans="1:2" s="103" customFormat="1" x14ac:dyDescent="0.25">
      <c r="A12" s="23"/>
      <c r="B12" s="235" t="s">
        <v>33</v>
      </c>
    </row>
    <row r="13" spans="1:2" s="103" customFormat="1" x14ac:dyDescent="0.25">
      <c r="A13" s="24">
        <v>2014</v>
      </c>
      <c r="B13" s="124">
        <v>234.81200000000001</v>
      </c>
    </row>
    <row r="14" spans="1:2" s="103" customFormat="1" x14ac:dyDescent="0.25">
      <c r="A14" s="24">
        <v>2019</v>
      </c>
      <c r="B14" s="124">
        <v>251.107</v>
      </c>
    </row>
    <row r="15" spans="1:2" s="103" customFormat="1" x14ac:dyDescent="0.25">
      <c r="A15" s="21" t="s">
        <v>34</v>
      </c>
      <c r="B15" s="124">
        <f>B14-B13</f>
        <v>16.294999999999987</v>
      </c>
    </row>
    <row r="16" spans="1:2" x14ac:dyDescent="0.25">
      <c r="A16" s="22" t="s">
        <v>35</v>
      </c>
      <c r="B16" s="236">
        <f>B15/B13</f>
        <v>6.9395942285743431E-2</v>
      </c>
    </row>
    <row r="17" spans="1:2" s="103" customFormat="1" x14ac:dyDescent="0.25">
      <c r="A17" s="21"/>
      <c r="B17" s="237"/>
    </row>
    <row r="18" spans="1:2" x14ac:dyDescent="0.25">
      <c r="A18" s="23"/>
      <c r="B18" s="235" t="s">
        <v>33</v>
      </c>
    </row>
    <row r="19" spans="1:2" x14ac:dyDescent="0.25">
      <c r="A19" s="24">
        <v>2011</v>
      </c>
      <c r="B19" s="124">
        <v>225.672</v>
      </c>
    </row>
    <row r="20" spans="1:2" x14ac:dyDescent="0.25">
      <c r="A20" s="24">
        <v>2019</v>
      </c>
      <c r="B20" s="124">
        <v>251.107</v>
      </c>
    </row>
    <row r="21" spans="1:2" x14ac:dyDescent="0.25">
      <c r="A21" s="21" t="s">
        <v>34</v>
      </c>
      <c r="B21" s="124">
        <f>B20-B19</f>
        <v>25.435000000000002</v>
      </c>
    </row>
    <row r="22" spans="1:2" x14ac:dyDescent="0.25">
      <c r="A22" s="22" t="s">
        <v>35</v>
      </c>
      <c r="B22" s="236">
        <f>B21/B19</f>
        <v>0.11270782374419512</v>
      </c>
    </row>
    <row r="23" spans="1:2" x14ac:dyDescent="0.25">
      <c r="B23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Outside Chgs v. Internal Chg</vt:lpstr>
      <vt:lpstr>Outside Service Chgs-Per Hour</vt:lpstr>
      <vt:lpstr>Internal Chgs-Per Hour</vt:lpstr>
      <vt:lpstr>Net Service Charges-Per Hour</vt:lpstr>
      <vt:lpstr>Pivot-Total Hours</vt:lpstr>
      <vt:lpstr>Service and ACO per Customer</vt:lpstr>
      <vt:lpstr>ACO Support</vt:lpstr>
      <vt:lpstr>Inflation Calc</vt:lpstr>
      <vt:lpstr>'Internal Chgs-Per Hour'!Print_Area</vt:lpstr>
      <vt:lpstr>'Net Service Charges-Per Hour'!Print_Area</vt:lpstr>
      <vt:lpstr>'Pivot-Total Hours'!Print_Area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image7470</dc:creator>
  <cp:lastModifiedBy>Joyce, Kimberly A</cp:lastModifiedBy>
  <dcterms:created xsi:type="dcterms:W3CDTF">2018-04-18T16:15:07Z</dcterms:created>
  <dcterms:modified xsi:type="dcterms:W3CDTF">2021-07-19T14:36:11Z</dcterms:modified>
</cp:coreProperties>
</file>