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jbrown\Box\2021 Kentucky Rate Case\Expenses\"/>
    </mc:Choice>
  </mc:AlternateContent>
  <bookViews>
    <workbookView xWindow="0" yWindow="0" windowWidth="19155" windowHeight="5670"/>
  </bookViews>
  <sheets>
    <sheet name="2018" sheetId="1" r:id="rId1"/>
    <sheet name="2019" sheetId="2" r:id="rId2"/>
    <sheet name="2020" sheetId="3" r:id="rId3"/>
    <sheet name="Base Period ended 083121" sheetId="15" r:id="rId4"/>
    <sheet name="Forecasted Test Period" sheetId="27" r:id="rId5"/>
    <sheet name="Supporting Docs &gt;&gt;&gt;" sheetId="4" r:id="rId6"/>
    <sheet name="Based Period 2" sheetId="38" r:id="rId7"/>
    <sheet name="Based Period" sheetId="36" r:id="rId8"/>
    <sheet name="2017-18 Budget" sheetId="11" r:id="rId9"/>
    <sheet name="BW PKY-2018" sheetId="37" r:id="rId10"/>
    <sheet name="Budget 2019" sheetId="29" r:id="rId11"/>
    <sheet name="BW-PKY-2019" sheetId="30" r:id="rId12"/>
    <sheet name="Budget07012018 DoNotUseFor2019" sheetId="22" r:id="rId13"/>
    <sheet name="Budget 2020" sheetId="31" r:id="rId14"/>
    <sheet name="BW PKY-2020" sheetId="32" r:id="rId15"/>
    <sheet name="2018 Total Labor" sheetId="13" r:id="rId16"/>
    <sheet name="2019 Total Labor" sheetId="6" r:id="rId17"/>
    <sheet name="2020 Total Labor" sheetId="5" r:id="rId18"/>
    <sheet name="2018 Actual HC" sheetId="9" r:id="rId19"/>
    <sheet name="2019 Budgeted HC" sheetId="17" r:id="rId20"/>
    <sheet name="2019 Actual HC" sheetId="7" r:id="rId21"/>
    <sheet name="2020 Actual HC" sheetId="10" r:id="rId22"/>
    <sheet name="2021 Actual HC" sheetId="24" r:id="rId23"/>
    <sheet name="Based Period HC (Plan)" sheetId="21" r:id="rId24"/>
    <sheet name="2020 Budgeted HC" sheetId="23" r:id="rId25"/>
    <sheet name="Revised Forecasted Info" sheetId="28" r:id="rId26"/>
    <sheet name="Forcasted info" sheetId="26" r:id="rId27"/>
    <sheet name="BExRepositorySheet" sheetId="33" state="veryHidden" r:id="rId28"/>
    <sheet name="Forecasted Headcount" sheetId="19" r:id="rId29"/>
  </sheets>
  <externalReferences>
    <externalReference r:id="rId30"/>
    <externalReference r:id="rId31"/>
    <externalReference r:id="rId32"/>
  </externalReferences>
  <definedNames>
    <definedName name="_xlnm._FilterDatabase" localSheetId="0" hidden="1">'2018'!$A$10:$AD$37</definedName>
    <definedName name="_xlnm._FilterDatabase" localSheetId="18" hidden="1">'2018 Actual HC'!$A$8:$G$31</definedName>
    <definedName name="_xlnm._FilterDatabase" localSheetId="1" hidden="1">'2019'!$A$10:$Y$37</definedName>
    <definedName name="_xlnm._FilterDatabase" localSheetId="20" hidden="1">'2019 Actual HC'!$A$4:$E$30</definedName>
    <definedName name="_xlnm._FilterDatabase" localSheetId="2" hidden="1">'2020'!$A$10:$Y$37</definedName>
    <definedName name="_xlnm._FilterDatabase" localSheetId="21" hidden="1">'2020 Actual HC'!$A$5:$I$32</definedName>
    <definedName name="_xlnm._FilterDatabase" localSheetId="3" hidden="1">'Base Period ended 083121'!$A$10:$O$37</definedName>
    <definedName name="DF_GRID_1" localSheetId="14">'BW PKY-2020'!$G$15:$V$537</definedName>
    <definedName name="DF_GRID_1">#REF!</definedName>
    <definedName name="DF_NAVPANEL_13" localSheetId="14">'BW PKY-2020'!$C$15</definedName>
    <definedName name="DF_NAVPANEL_13">#REF!</definedName>
    <definedName name="DF_NAVPANEL_18" localSheetId="14">'BW PKY-2020'!$C$15</definedName>
    <definedName name="DF_NAVPANEL_18">#REF!</definedName>
    <definedName name="_xlnm.Print_Area" localSheetId="0">'2018'!$A$2:$AD$44</definedName>
    <definedName name="_xlnm.Print_Area" localSheetId="18">'2018 Actual HC'!$A$3:$F$54</definedName>
    <definedName name="_xlnm.Print_Area" localSheetId="1">'2019'!$A$2:$Y$42</definedName>
    <definedName name="_xlnm.Print_Area" localSheetId="20">'2019 Actual HC'!$A$2:$E$30</definedName>
    <definedName name="_xlnm.Print_Area" localSheetId="2">'2020'!$A$1:$Y$41</definedName>
    <definedName name="_xlnm.Print_Area" localSheetId="14">'BW PKY-2020'!$A$1:$W$538</definedName>
    <definedName name="SAPBEXhrIndnt" hidden="1">"Wide"</definedName>
    <definedName name="SAPsysID" hidden="1">"708C5W7SBKP804JT78WJ0JNKI"</definedName>
    <definedName name="SAPwbID" hidden="1">"ARS"</definedName>
  </definedNames>
  <calcPr calcId="191029"/>
</workbook>
</file>

<file path=xl/calcChain.xml><?xml version="1.0" encoding="utf-8"?>
<calcChain xmlns="http://schemas.openxmlformats.org/spreadsheetml/2006/main">
  <c r="J37" i="15" l="1"/>
  <c r="G37" i="15"/>
  <c r="G39" i="15"/>
  <c r="H18" i="15" l="1"/>
  <c r="G18" i="15"/>
  <c r="G24" i="15"/>
  <c r="G22" i="15"/>
  <c r="G20" i="15"/>
  <c r="G16" i="15"/>
  <c r="H24" i="15"/>
  <c r="H22" i="15"/>
  <c r="H20" i="15"/>
  <c r="H16" i="15"/>
  <c r="H14" i="15"/>
  <c r="G14" i="15"/>
  <c r="H12" i="15"/>
  <c r="AJ33" i="38"/>
  <c r="AL31" i="38"/>
  <c r="AK31" i="38"/>
  <c r="AJ31" i="38"/>
  <c r="G12" i="15"/>
  <c r="AL30" i="38"/>
  <c r="AJ30" i="38"/>
  <c r="D37" i="15"/>
  <c r="C37" i="15"/>
  <c r="AJ35" i="38" l="1"/>
  <c r="AL32" i="38"/>
  <c r="AK32" i="38"/>
  <c r="AK37" i="38" s="1"/>
  <c r="H34" i="15" s="1"/>
  <c r="AJ32" i="38"/>
  <c r="L26" i="38"/>
  <c r="K26" i="38"/>
  <c r="J26" i="38"/>
  <c r="I26" i="38"/>
  <c r="H26" i="38"/>
  <c r="G26" i="38"/>
  <c r="F26" i="38"/>
  <c r="R25" i="38"/>
  <c r="Q25" i="38"/>
  <c r="P25" i="38"/>
  <c r="O25" i="38"/>
  <c r="N25" i="38"/>
  <c r="S25" i="38" s="1"/>
  <c r="L25" i="38"/>
  <c r="M25" i="38" s="1"/>
  <c r="K25" i="38"/>
  <c r="J25" i="38"/>
  <c r="I25" i="38"/>
  <c r="H25" i="38"/>
  <c r="G25" i="38"/>
  <c r="F25" i="38"/>
  <c r="D25" i="38"/>
  <c r="T24" i="38"/>
  <c r="S24" i="38"/>
  <c r="M24" i="38"/>
  <c r="S22" i="38"/>
  <c r="R22" i="38"/>
  <c r="Q22" i="38"/>
  <c r="P22" i="38"/>
  <c r="O22" i="38"/>
  <c r="N22" i="38"/>
  <c r="S21" i="38"/>
  <c r="R21" i="38"/>
  <c r="Q21" i="38"/>
  <c r="P21" i="38"/>
  <c r="O21" i="38"/>
  <c r="N21" i="38"/>
  <c r="AM20" i="38"/>
  <c r="AK25" i="38" s="1"/>
  <c r="AL25" i="38" s="1"/>
  <c r="AL20" i="38"/>
  <c r="AK24" i="38" s="1"/>
  <c r="AH20" i="38"/>
  <c r="S20" i="38"/>
  <c r="R20" i="38"/>
  <c r="Q20" i="38"/>
  <c r="P20" i="38"/>
  <c r="O20" i="38"/>
  <c r="N20" i="38"/>
  <c r="M20" i="38"/>
  <c r="T20" i="38" s="1"/>
  <c r="L20" i="38"/>
  <c r="K20" i="38"/>
  <c r="J20" i="38"/>
  <c r="I20" i="38"/>
  <c r="H20" i="38"/>
  <c r="G20" i="38"/>
  <c r="F20" i="38"/>
  <c r="D20" i="38"/>
  <c r="AN19" i="38"/>
  <c r="AP19" i="38" s="1"/>
  <c r="AQ19" i="38" s="1"/>
  <c r="AJ19" i="38"/>
  <c r="AH19" i="38"/>
  <c r="T19" i="38"/>
  <c r="Y19" i="38" s="1"/>
  <c r="AA19" i="38" s="1"/>
  <c r="S19" i="38"/>
  <c r="M19" i="38"/>
  <c r="AP18" i="38"/>
  <c r="AQ18" i="38" s="1"/>
  <c r="AN18" i="38"/>
  <c r="AH18" i="38"/>
  <c r="AJ18" i="38" s="1"/>
  <c r="T18" i="38"/>
  <c r="Y18" i="38" s="1"/>
  <c r="AA18" i="38" s="1"/>
  <c r="S18" i="38"/>
  <c r="M18" i="38"/>
  <c r="AM17" i="38"/>
  <c r="AP17" i="38" s="1"/>
  <c r="AQ17" i="38" s="1"/>
  <c r="AJ17" i="38"/>
  <c r="AG17" i="38"/>
  <c r="T17" i="38"/>
  <c r="Y17" i="38" s="1"/>
  <c r="AA17" i="38" s="1"/>
  <c r="S17" i="38"/>
  <c r="M17" i="38"/>
  <c r="AP16" i="38"/>
  <c r="AQ16" i="38" s="1"/>
  <c r="AL16" i="38"/>
  <c r="AF16" i="38"/>
  <c r="AJ16" i="38" s="1"/>
  <c r="Y16" i="38"/>
  <c r="AA16" i="38" s="1"/>
  <c r="T16" i="38"/>
  <c r="S16" i="38"/>
  <c r="M16" i="38"/>
  <c r="AN15" i="38"/>
  <c r="AP15" i="38" s="1"/>
  <c r="AQ15" i="38" s="1"/>
  <c r="AJ15" i="38"/>
  <c r="AH15" i="38"/>
  <c r="T15" i="38"/>
  <c r="X15" i="38" s="1"/>
  <c r="AA15" i="38" s="1"/>
  <c r="S15" i="38"/>
  <c r="M15" i="38"/>
  <c r="AP14" i="38"/>
  <c r="AQ14" i="38" s="1"/>
  <c r="AN14" i="38"/>
  <c r="AH14" i="38"/>
  <c r="AJ14" i="38" s="1"/>
  <c r="T14" i="38"/>
  <c r="X14" i="38" s="1"/>
  <c r="AA14" i="38" s="1"/>
  <c r="S14" i="38"/>
  <c r="M14" i="38"/>
  <c r="AN13" i="38"/>
  <c r="AP13" i="38" s="1"/>
  <c r="AQ13" i="38" s="1"/>
  <c r="AH13" i="38"/>
  <c r="AJ13" i="38" s="1"/>
  <c r="T13" i="38"/>
  <c r="Y13" i="38" s="1"/>
  <c r="AA13" i="38" s="1"/>
  <c r="S13" i="38"/>
  <c r="M13" i="38"/>
  <c r="AN12" i="38"/>
  <c r="AP12" i="38" s="1"/>
  <c r="AQ12" i="38" s="1"/>
  <c r="AJ12" i="38"/>
  <c r="AH12" i="38"/>
  <c r="T12" i="38"/>
  <c r="X12" i="38" s="1"/>
  <c r="AA12" i="38" s="1"/>
  <c r="S12" i="38"/>
  <c r="M12" i="38"/>
  <c r="AP11" i="38"/>
  <c r="AQ11" i="38" s="1"/>
  <c r="AN11" i="38"/>
  <c r="AH11" i="38"/>
  <c r="AJ11" i="38" s="1"/>
  <c r="T11" i="38"/>
  <c r="Y11" i="38" s="1"/>
  <c r="AA11" i="38" s="1"/>
  <c r="S11" i="38"/>
  <c r="M11" i="38"/>
  <c r="AN10" i="38"/>
  <c r="AP10" i="38" s="1"/>
  <c r="AQ10" i="38" s="1"/>
  <c r="AJ10" i="38"/>
  <c r="AH10" i="38"/>
  <c r="X10" i="38"/>
  <c r="T10" i="38"/>
  <c r="S10" i="38"/>
  <c r="M10" i="38"/>
  <c r="AN9" i="38"/>
  <c r="AP9" i="38" s="1"/>
  <c r="AQ9" i="38" s="1"/>
  <c r="AJ9" i="38"/>
  <c r="AH9" i="38"/>
  <c r="T9" i="38"/>
  <c r="Y9" i="38" s="1"/>
  <c r="S9" i="38"/>
  <c r="M9" i="38"/>
  <c r="AO8" i="38"/>
  <c r="AO20" i="38" s="1"/>
  <c r="AI8" i="38"/>
  <c r="AJ8" i="38" s="1"/>
  <c r="T8" i="38"/>
  <c r="Z8" i="38" s="1"/>
  <c r="AA8" i="38" s="1"/>
  <c r="S8" i="38"/>
  <c r="M8" i="38"/>
  <c r="AP7" i="38"/>
  <c r="AQ7" i="38" s="1"/>
  <c r="AO7" i="38"/>
  <c r="AI7" i="38"/>
  <c r="AI20" i="38" s="1"/>
  <c r="Z7" i="38"/>
  <c r="Z20" i="38" s="1"/>
  <c r="AD12" i="38" s="1"/>
  <c r="T7" i="38"/>
  <c r="S7" i="38"/>
  <c r="M7" i="38"/>
  <c r="AM6" i="38"/>
  <c r="AP6" i="38" s="1"/>
  <c r="AQ6" i="38" s="1"/>
  <c r="AJ6" i="38"/>
  <c r="AG6" i="38"/>
  <c r="T6" i="38"/>
  <c r="W6" i="38" s="1"/>
  <c r="AA6" i="38" s="1"/>
  <c r="S6" i="38"/>
  <c r="M6" i="38"/>
  <c r="AM5" i="38"/>
  <c r="AP5" i="38" s="1"/>
  <c r="AQ5" i="38" s="1"/>
  <c r="AJ5" i="38"/>
  <c r="AG5" i="38"/>
  <c r="T5" i="38"/>
  <c r="Y5" i="38" s="1"/>
  <c r="S5" i="38"/>
  <c r="M5" i="38"/>
  <c r="AP4" i="38"/>
  <c r="AQ4" i="38" s="1"/>
  <c r="AM4" i="38"/>
  <c r="AG4" i="38"/>
  <c r="AG20" i="38" s="1"/>
  <c r="AJ25" i="38" s="1"/>
  <c r="T4" i="38"/>
  <c r="W4" i="38" s="1"/>
  <c r="S4" i="38"/>
  <c r="M4" i="38"/>
  <c r="AP3" i="38"/>
  <c r="AQ3" i="38" s="1"/>
  <c r="AL3" i="38"/>
  <c r="AF3" i="38"/>
  <c r="AJ3" i="38" s="1"/>
  <c r="T3" i="38"/>
  <c r="Y3" i="38" s="1"/>
  <c r="S3" i="38"/>
  <c r="M3" i="38"/>
  <c r="AL2" i="38"/>
  <c r="AP2" i="38" s="1"/>
  <c r="AJ2" i="38"/>
  <c r="AF2" i="38"/>
  <c r="T2" i="38"/>
  <c r="V2" i="38" s="1"/>
  <c r="S2" i="38"/>
  <c r="M2" i="38"/>
  <c r="I35" i="15"/>
  <c r="I33" i="15"/>
  <c r="I31" i="15"/>
  <c r="I29" i="15"/>
  <c r="I27" i="15"/>
  <c r="D37" i="3"/>
  <c r="C37" i="3"/>
  <c r="AK33" i="38" l="1"/>
  <c r="H26" i="15" s="1"/>
  <c r="AK34" i="38"/>
  <c r="H28" i="15" s="1"/>
  <c r="AK35" i="38"/>
  <c r="H30" i="15" s="1"/>
  <c r="AK36" i="38"/>
  <c r="H32" i="15" s="1"/>
  <c r="AL35" i="38"/>
  <c r="G30" i="15"/>
  <c r="I30" i="15" s="1"/>
  <c r="AJ34" i="38"/>
  <c r="G26" i="15"/>
  <c r="AJ36" i="38"/>
  <c r="AL33" i="38"/>
  <c r="AJ37" i="38"/>
  <c r="X20" i="38"/>
  <c r="AC6" i="38"/>
  <c r="AA5" i="38"/>
  <c r="AA9" i="38"/>
  <c r="AC8" i="38"/>
  <c r="AP20" i="38"/>
  <c r="AQ2" i="38"/>
  <c r="AK26" i="38"/>
  <c r="T25" i="38"/>
  <c r="V20" i="38"/>
  <c r="AA2" i="38"/>
  <c r="AA4" i="38"/>
  <c r="W20" i="38"/>
  <c r="AA3" i="38"/>
  <c r="AC4" i="38" s="1"/>
  <c r="Y20" i="38"/>
  <c r="AA7" i="38"/>
  <c r="AP8" i="38"/>
  <c r="AQ8" i="38" s="1"/>
  <c r="AN20" i="38"/>
  <c r="AJ4" i="38"/>
  <c r="AJ20" i="38" s="1"/>
  <c r="AJ7" i="38"/>
  <c r="AF20" i="38"/>
  <c r="AJ24" i="38" s="1"/>
  <c r="AJ26" i="38" s="1"/>
  <c r="AA10" i="38"/>
  <c r="N24" i="15"/>
  <c r="N22" i="15"/>
  <c r="N20" i="15"/>
  <c r="W12" i="3"/>
  <c r="AL37" i="38" l="1"/>
  <c r="G34" i="15"/>
  <c r="I34" i="15" s="1"/>
  <c r="I26" i="15"/>
  <c r="AL36" i="38"/>
  <c r="G32" i="15"/>
  <c r="I32" i="15" s="1"/>
  <c r="AL34" i="38"/>
  <c r="G28" i="15"/>
  <c r="I28" i="15" s="1"/>
  <c r="AL26" i="38"/>
  <c r="AD8" i="38"/>
  <c r="AC10" i="38"/>
  <c r="AA20" i="38"/>
  <c r="AD4" i="38"/>
  <c r="AD10" i="38" s="1"/>
  <c r="AD14" i="38" s="1"/>
  <c r="AD6" i="38"/>
  <c r="AR20" i="38"/>
  <c r="AQ20" i="38"/>
  <c r="AL24" i="38"/>
  <c r="I22" i="15"/>
  <c r="I20" i="15"/>
  <c r="N34" i="1"/>
  <c r="N32" i="1"/>
  <c r="N30" i="1"/>
  <c r="N28" i="1"/>
  <c r="N26" i="1"/>
  <c r="N24" i="1"/>
  <c r="N22" i="1"/>
  <c r="N20" i="1"/>
  <c r="N18" i="1"/>
  <c r="N16" i="1"/>
  <c r="N14" i="1"/>
  <c r="M34" i="1" l="1"/>
  <c r="M32" i="1"/>
  <c r="M30" i="1"/>
  <c r="M28" i="1"/>
  <c r="M26" i="1"/>
  <c r="M24" i="1"/>
  <c r="M22" i="1"/>
  <c r="M20" i="1"/>
  <c r="M18" i="1"/>
  <c r="M16" i="1"/>
  <c r="M14" i="1"/>
  <c r="M12" i="1"/>
  <c r="N12" i="1"/>
  <c r="I12" i="2" l="1"/>
  <c r="O26" i="2" l="1"/>
  <c r="N26" i="2"/>
  <c r="J26" i="2"/>
  <c r="I26" i="2"/>
  <c r="H26" i="2"/>
  <c r="G27" i="2"/>
  <c r="G26" i="2"/>
  <c r="O12" i="2"/>
  <c r="N12" i="2"/>
  <c r="J12" i="2"/>
  <c r="G13" i="2"/>
  <c r="H12" i="2"/>
  <c r="G12" i="2"/>
  <c r="H13" i="15" l="1"/>
  <c r="G16" i="2"/>
  <c r="G34" i="3"/>
  <c r="G24" i="3"/>
  <c r="G12" i="3"/>
  <c r="G32" i="3"/>
  <c r="G30" i="3"/>
  <c r="G28" i="3"/>
  <c r="K28" i="3" s="1"/>
  <c r="G26" i="3"/>
  <c r="G22" i="3"/>
  <c r="K22" i="3" s="1"/>
  <c r="G20" i="3"/>
  <c r="G18" i="3"/>
  <c r="K18" i="3" s="1"/>
  <c r="Q18" i="3" s="1"/>
  <c r="G16" i="3"/>
  <c r="G14" i="3"/>
  <c r="S23" i="31"/>
  <c r="H24" i="3"/>
  <c r="H34" i="3"/>
  <c r="H12" i="3"/>
  <c r="L12" i="3" s="1"/>
  <c r="R12" i="3" s="1"/>
  <c r="X12" i="3" s="1"/>
  <c r="H32" i="3"/>
  <c r="H30" i="3"/>
  <c r="H28" i="3"/>
  <c r="H26" i="3"/>
  <c r="H22" i="3"/>
  <c r="H20" i="3"/>
  <c r="H18" i="3"/>
  <c r="H16" i="3"/>
  <c r="H14" i="3"/>
  <c r="O34" i="3"/>
  <c r="N34" i="3"/>
  <c r="O24" i="3"/>
  <c r="N24" i="3"/>
  <c r="G35" i="3"/>
  <c r="K35" i="3" s="1"/>
  <c r="Q35" i="3" s="1"/>
  <c r="O12" i="3"/>
  <c r="N12" i="3"/>
  <c r="O32" i="3"/>
  <c r="N32" i="3"/>
  <c r="O30" i="3"/>
  <c r="N30" i="3"/>
  <c r="O28" i="3"/>
  <c r="N28" i="3"/>
  <c r="O26" i="3"/>
  <c r="N26" i="3"/>
  <c r="P26" i="3" s="1"/>
  <c r="O22" i="3"/>
  <c r="N22" i="3"/>
  <c r="O20" i="3"/>
  <c r="N20" i="3"/>
  <c r="O18" i="3"/>
  <c r="N18" i="3"/>
  <c r="O16" i="3"/>
  <c r="N16" i="3"/>
  <c r="O14" i="3"/>
  <c r="N14" i="3"/>
  <c r="G25" i="3"/>
  <c r="K25" i="3" s="1"/>
  <c r="G13" i="3"/>
  <c r="K13" i="3" s="1"/>
  <c r="G33" i="3"/>
  <c r="K33" i="3" s="1"/>
  <c r="G31" i="3"/>
  <c r="K31" i="3" s="1"/>
  <c r="Q31" i="3" s="1"/>
  <c r="G29" i="3"/>
  <c r="K29" i="3" s="1"/>
  <c r="M29" i="3" s="1"/>
  <c r="G27" i="3"/>
  <c r="K27" i="3" s="1"/>
  <c r="M27" i="3" s="1"/>
  <c r="G23" i="3"/>
  <c r="G21" i="3"/>
  <c r="K21" i="3" s="1"/>
  <c r="G19" i="3"/>
  <c r="K19" i="3" s="1"/>
  <c r="G17" i="3"/>
  <c r="K17" i="3" s="1"/>
  <c r="G15" i="3"/>
  <c r="K15" i="3" s="1"/>
  <c r="Q15" i="3" s="1"/>
  <c r="J34" i="3"/>
  <c r="I34" i="3"/>
  <c r="I24" i="3"/>
  <c r="J24" i="3"/>
  <c r="J12" i="3"/>
  <c r="I12" i="3"/>
  <c r="J32" i="3"/>
  <c r="I32" i="3"/>
  <c r="K32" i="3" s="1"/>
  <c r="J30" i="3"/>
  <c r="I30" i="3"/>
  <c r="J28" i="3"/>
  <c r="I28" i="3"/>
  <c r="J26" i="3"/>
  <c r="I26" i="3"/>
  <c r="J22" i="3"/>
  <c r="I22" i="3"/>
  <c r="J20" i="3"/>
  <c r="L20" i="3" s="1"/>
  <c r="I20" i="3"/>
  <c r="J18" i="3"/>
  <c r="I18" i="3"/>
  <c r="J16" i="3"/>
  <c r="I16" i="3"/>
  <c r="J14" i="3"/>
  <c r="L14" i="3" s="1"/>
  <c r="I14" i="3"/>
  <c r="K14" i="3" s="1"/>
  <c r="T9" i="31"/>
  <c r="Y5" i="31"/>
  <c r="T4" i="31"/>
  <c r="Y4" i="31"/>
  <c r="T8" i="31"/>
  <c r="T5" i="31"/>
  <c r="S22" i="31"/>
  <c r="S20" i="31"/>
  <c r="S19" i="31"/>
  <c r="S17" i="31"/>
  <c r="S15" i="31"/>
  <c r="S14" i="31"/>
  <c r="L13" i="3"/>
  <c r="R13" i="3" s="1"/>
  <c r="L15" i="3"/>
  <c r="R15" i="3" s="1"/>
  <c r="L17" i="3"/>
  <c r="R17" i="3" s="1"/>
  <c r="L19" i="3"/>
  <c r="L21" i="3"/>
  <c r="R21" i="3" s="1"/>
  <c r="K23" i="3"/>
  <c r="Q23" i="3" s="1"/>
  <c r="L23" i="3"/>
  <c r="L25" i="3"/>
  <c r="R25" i="3" s="1"/>
  <c r="L27" i="3"/>
  <c r="R27" i="3" s="1"/>
  <c r="L29" i="3"/>
  <c r="R29" i="3" s="1"/>
  <c r="L31" i="3"/>
  <c r="R31" i="3" s="1"/>
  <c r="H15" i="15" s="1"/>
  <c r="L33" i="3"/>
  <c r="R33" i="3" s="1"/>
  <c r="H17" i="15" s="1"/>
  <c r="L35" i="3"/>
  <c r="R35" i="3"/>
  <c r="H19" i="15" s="1"/>
  <c r="R23" i="3"/>
  <c r="R19" i="3"/>
  <c r="D22" i="31"/>
  <c r="F19" i="31"/>
  <c r="G19" i="31" s="1"/>
  <c r="F18" i="31"/>
  <c r="G18" i="31" s="1"/>
  <c r="H11" i="31"/>
  <c r="G11" i="31"/>
  <c r="D10" i="31"/>
  <c r="K10" i="31" s="1"/>
  <c r="C20" i="31" s="1"/>
  <c r="F20" i="31" s="1"/>
  <c r="G20" i="31" s="1"/>
  <c r="J9" i="31"/>
  <c r="I9" i="31"/>
  <c r="C9" i="31"/>
  <c r="D9" i="31" s="1"/>
  <c r="D11" i="31" s="1"/>
  <c r="D8" i="31"/>
  <c r="D7" i="31"/>
  <c r="E7" i="31" s="1"/>
  <c r="D6" i="31"/>
  <c r="E6" i="31" s="1"/>
  <c r="K5" i="31"/>
  <c r="C17" i="31" s="1"/>
  <c r="F17" i="31" s="1"/>
  <c r="G17" i="31" s="1"/>
  <c r="E5" i="31"/>
  <c r="D5" i="31"/>
  <c r="D4" i="31"/>
  <c r="E4" i="31" s="1"/>
  <c r="Q28" i="3" l="1"/>
  <c r="Q14" i="3"/>
  <c r="L16" i="3"/>
  <c r="R16" i="3" s="1"/>
  <c r="X16" i="3" s="1"/>
  <c r="K34" i="3"/>
  <c r="Q34" i="3" s="1"/>
  <c r="P28" i="3"/>
  <c r="M23" i="3"/>
  <c r="M17" i="3"/>
  <c r="K16" i="3"/>
  <c r="M16" i="3" s="1"/>
  <c r="K26" i="3"/>
  <c r="Q26" i="3" s="1"/>
  <c r="L22" i="3"/>
  <c r="R22" i="3" s="1"/>
  <c r="X22" i="3" s="1"/>
  <c r="M25" i="3"/>
  <c r="J37" i="3"/>
  <c r="J46" i="3" s="1"/>
  <c r="L28" i="3"/>
  <c r="R28" i="3" s="1"/>
  <c r="M33" i="3"/>
  <c r="L18" i="3"/>
  <c r="R18" i="3" s="1"/>
  <c r="X18" i="3" s="1"/>
  <c r="L30" i="3"/>
  <c r="R30" i="3" s="1"/>
  <c r="K30" i="3"/>
  <c r="Q30" i="3" s="1"/>
  <c r="P12" i="3"/>
  <c r="L32" i="3"/>
  <c r="R32" i="3" s="1"/>
  <c r="K24" i="3"/>
  <c r="Q24" i="3" s="1"/>
  <c r="Q22" i="3"/>
  <c r="S22" i="3" s="1"/>
  <c r="K20" i="3"/>
  <c r="Q20" i="3" s="1"/>
  <c r="K12" i="3"/>
  <c r="Q12" i="3" s="1"/>
  <c r="S12" i="3" s="1"/>
  <c r="S15" i="3"/>
  <c r="M15" i="3"/>
  <c r="G37" i="3"/>
  <c r="G48" i="3" s="1"/>
  <c r="I37" i="3"/>
  <c r="I46" i="3" s="1"/>
  <c r="P24" i="3"/>
  <c r="L24" i="3"/>
  <c r="R24" i="3" s="1"/>
  <c r="X24" i="3" s="1"/>
  <c r="M32" i="3"/>
  <c r="M22" i="3"/>
  <c r="L34" i="3"/>
  <c r="R34" i="3" s="1"/>
  <c r="L26" i="3"/>
  <c r="H37" i="3"/>
  <c r="H48" i="3" s="1"/>
  <c r="R14" i="3"/>
  <c r="X14" i="3" s="1"/>
  <c r="O37" i="3"/>
  <c r="N37" i="3"/>
  <c r="Q25" i="3"/>
  <c r="M35" i="3"/>
  <c r="S35" i="3"/>
  <c r="M21" i="3"/>
  <c r="Q21" i="3"/>
  <c r="S21" i="3" s="1"/>
  <c r="Q19" i="3"/>
  <c r="S19" i="3" s="1"/>
  <c r="M19" i="3"/>
  <c r="Q27" i="3"/>
  <c r="S27" i="3" s="1"/>
  <c r="M31" i="3"/>
  <c r="Q17" i="3"/>
  <c r="S17" i="3" s="1"/>
  <c r="M13" i="3"/>
  <c r="Q13" i="3"/>
  <c r="S13" i="3" s="1"/>
  <c r="R20" i="3"/>
  <c r="X20" i="3" s="1"/>
  <c r="M20" i="3"/>
  <c r="R26" i="3"/>
  <c r="X26" i="3" s="1"/>
  <c r="M14" i="3"/>
  <c r="S20" i="3"/>
  <c r="M18" i="3"/>
  <c r="Q32" i="3"/>
  <c r="Q29" i="3"/>
  <c r="Q33" i="3"/>
  <c r="S23" i="3"/>
  <c r="Q16" i="3"/>
  <c r="S16" i="3" s="1"/>
  <c r="S31" i="3"/>
  <c r="P14" i="3"/>
  <c r="P30" i="3"/>
  <c r="P16" i="3"/>
  <c r="P32" i="3"/>
  <c r="P18" i="3"/>
  <c r="P34" i="3"/>
  <c r="P20" i="3"/>
  <c r="P22" i="3"/>
  <c r="K6" i="31"/>
  <c r="C18" i="31" s="1"/>
  <c r="C26" i="31" s="1"/>
  <c r="C28" i="31" s="1"/>
  <c r="L6" i="31"/>
  <c r="L9" i="31" s="1"/>
  <c r="L7" i="31"/>
  <c r="K7" i="31"/>
  <c r="C19" i="31" s="1"/>
  <c r="C27" i="31" s="1"/>
  <c r="K4" i="31"/>
  <c r="E9" i="31"/>
  <c r="E11" i="31" s="1"/>
  <c r="E10" i="31"/>
  <c r="C11" i="31"/>
  <c r="C34" i="27"/>
  <c r="C32" i="27"/>
  <c r="C30" i="27"/>
  <c r="C28" i="27"/>
  <c r="C26" i="27"/>
  <c r="C24" i="27"/>
  <c r="C22" i="27"/>
  <c r="C20" i="27"/>
  <c r="C18" i="27"/>
  <c r="C16" i="27"/>
  <c r="C14" i="27"/>
  <c r="C12" i="27"/>
  <c r="X30" i="3" l="1"/>
  <c r="N14" i="15"/>
  <c r="M26" i="3"/>
  <c r="S34" i="3"/>
  <c r="X34" i="3"/>
  <c r="N18" i="15"/>
  <c r="S33" i="3"/>
  <c r="S18" i="3"/>
  <c r="S29" i="3"/>
  <c r="X32" i="3"/>
  <c r="N16" i="15"/>
  <c r="X28" i="3"/>
  <c r="S32" i="3"/>
  <c r="S28" i="3"/>
  <c r="M34" i="3"/>
  <c r="M30" i="3"/>
  <c r="S14" i="3"/>
  <c r="S26" i="3"/>
  <c r="M28" i="3"/>
  <c r="M12" i="3"/>
  <c r="S24" i="3"/>
  <c r="K37" i="3"/>
  <c r="I48" i="3"/>
  <c r="L37" i="3"/>
  <c r="M24" i="3"/>
  <c r="S30" i="3"/>
  <c r="P37" i="3"/>
  <c r="P46" i="3" s="1"/>
  <c r="R37" i="3"/>
  <c r="S25" i="3"/>
  <c r="Q37" i="3"/>
  <c r="C16" i="31"/>
  <c r="F16" i="31" s="1"/>
  <c r="K9" i="31"/>
  <c r="K11" i="31" s="1"/>
  <c r="C22" i="31" s="1"/>
  <c r="H26" i="31"/>
  <c r="H27" i="31"/>
  <c r="F26" i="31"/>
  <c r="F28" i="31" s="1"/>
  <c r="F27" i="31"/>
  <c r="L15" i="2"/>
  <c r="L17" i="2"/>
  <c r="R17" i="2" s="1"/>
  <c r="L19" i="2"/>
  <c r="R19" i="2" s="1"/>
  <c r="L21" i="2"/>
  <c r="L23" i="2"/>
  <c r="R23" i="2" s="1"/>
  <c r="L25" i="2"/>
  <c r="L27" i="2"/>
  <c r="R27" i="2" s="1"/>
  <c r="L29" i="2"/>
  <c r="R29" i="2" s="1"/>
  <c r="L31" i="2"/>
  <c r="R31" i="2" s="1"/>
  <c r="L33" i="2"/>
  <c r="L35" i="2"/>
  <c r="R35" i="2" s="1"/>
  <c r="L13" i="2"/>
  <c r="R13" i="2" s="1"/>
  <c r="G34" i="2"/>
  <c r="G32" i="2"/>
  <c r="G30" i="2"/>
  <c r="K30" i="2" s="1"/>
  <c r="G28" i="2"/>
  <c r="K26" i="2"/>
  <c r="G24" i="2"/>
  <c r="G22" i="2"/>
  <c r="G20" i="2"/>
  <c r="G18" i="2"/>
  <c r="G14" i="2"/>
  <c r="K12" i="2"/>
  <c r="V29" i="29"/>
  <c r="B72" i="11"/>
  <c r="B73" i="11" s="1"/>
  <c r="B71" i="11"/>
  <c r="B70" i="11"/>
  <c r="V28" i="29"/>
  <c r="V20" i="22"/>
  <c r="V26" i="29"/>
  <c r="V25" i="29"/>
  <c r="R15" i="2"/>
  <c r="R21" i="2"/>
  <c r="R25" i="2"/>
  <c r="R33" i="2"/>
  <c r="N16" i="2"/>
  <c r="N34" i="2"/>
  <c r="N32" i="2"/>
  <c r="N30" i="2"/>
  <c r="N28" i="2"/>
  <c r="N24" i="2"/>
  <c r="N22" i="2"/>
  <c r="N20" i="2"/>
  <c r="N18" i="2"/>
  <c r="N14" i="2"/>
  <c r="P12" i="2"/>
  <c r="V20" i="29"/>
  <c r="O16" i="2"/>
  <c r="O34" i="2"/>
  <c r="O32" i="2"/>
  <c r="O30" i="2"/>
  <c r="O28" i="2"/>
  <c r="O24" i="2"/>
  <c r="O22" i="2"/>
  <c r="O20" i="2"/>
  <c r="O18" i="2"/>
  <c r="O14" i="2"/>
  <c r="H16" i="2"/>
  <c r="L16" i="2" s="1"/>
  <c r="H34" i="2"/>
  <c r="L34" i="2" s="1"/>
  <c r="H32" i="2"/>
  <c r="L32" i="2" s="1"/>
  <c r="R32" i="2" s="1"/>
  <c r="X32" i="2" s="1"/>
  <c r="H30" i="2"/>
  <c r="H28" i="2"/>
  <c r="L26" i="2"/>
  <c r="H24" i="2"/>
  <c r="L24" i="2" s="1"/>
  <c r="H22" i="2"/>
  <c r="H20" i="2"/>
  <c r="L20" i="2" s="1"/>
  <c r="H18" i="2"/>
  <c r="H14" i="2"/>
  <c r="L14" i="2" s="1"/>
  <c r="L12" i="2"/>
  <c r="R12" i="2" s="1"/>
  <c r="X12" i="2" s="1"/>
  <c r="V9" i="29"/>
  <c r="V8" i="29"/>
  <c r="J16" i="2"/>
  <c r="J34" i="2"/>
  <c r="J32" i="2"/>
  <c r="J30" i="2"/>
  <c r="J28" i="2"/>
  <c r="L28" i="2" s="1"/>
  <c r="J24" i="2"/>
  <c r="J22" i="2"/>
  <c r="J20" i="2"/>
  <c r="J18" i="2"/>
  <c r="J14" i="2"/>
  <c r="I16" i="2"/>
  <c r="K16" i="2" s="1"/>
  <c r="I34" i="2"/>
  <c r="I32" i="2"/>
  <c r="I30" i="2"/>
  <c r="I28" i="2"/>
  <c r="I24" i="2"/>
  <c r="K24" i="2" s="1"/>
  <c r="I22" i="2"/>
  <c r="I20" i="2"/>
  <c r="K20" i="2" s="1"/>
  <c r="I18" i="2"/>
  <c r="I14" i="2"/>
  <c r="P32" i="2" l="1"/>
  <c r="K22" i="2"/>
  <c r="M24" i="2"/>
  <c r="L30" i="2"/>
  <c r="M30" i="2" s="1"/>
  <c r="P14" i="2"/>
  <c r="K28" i="2"/>
  <c r="M28" i="2" s="1"/>
  <c r="L18" i="2"/>
  <c r="M18" i="2" s="1"/>
  <c r="K32" i="2"/>
  <c r="M32" i="2" s="1"/>
  <c r="K18" i="2"/>
  <c r="K34" i="2"/>
  <c r="K14" i="2"/>
  <c r="M14" i="2" s="1"/>
  <c r="M20" i="2"/>
  <c r="L22" i="2"/>
  <c r="R22" i="2" s="1"/>
  <c r="X22" i="2" s="1"/>
  <c r="P48" i="3"/>
  <c r="M37" i="3"/>
  <c r="S37" i="3"/>
  <c r="S46" i="3" s="1"/>
  <c r="H28" i="31"/>
  <c r="F22" i="31"/>
  <c r="G16" i="31"/>
  <c r="G22" i="31" s="1"/>
  <c r="Q26" i="2"/>
  <c r="M26" i="2"/>
  <c r="Q16" i="2"/>
  <c r="M16" i="2"/>
  <c r="Q12" i="2"/>
  <c r="M12" i="2"/>
  <c r="M34" i="2"/>
  <c r="M22" i="2"/>
  <c r="Q22" i="2"/>
  <c r="Q28" i="2"/>
  <c r="S28" i="2" s="1"/>
  <c r="R24" i="2"/>
  <c r="X24" i="2" s="1"/>
  <c r="R30" i="2"/>
  <c r="X30" i="2" s="1"/>
  <c r="R14" i="2"/>
  <c r="X14" i="2" s="1"/>
  <c r="R26" i="2"/>
  <c r="X26" i="2" s="1"/>
  <c r="R20" i="2"/>
  <c r="X20" i="2" s="1"/>
  <c r="R16" i="2"/>
  <c r="X16" i="2" s="1"/>
  <c r="P26" i="2"/>
  <c r="R28" i="2"/>
  <c r="X28" i="2" s="1"/>
  <c r="Q18" i="2"/>
  <c r="Q34" i="2"/>
  <c r="Q30" i="2"/>
  <c r="S30" i="2" s="1"/>
  <c r="P20" i="2"/>
  <c r="Q32" i="2"/>
  <c r="S32" i="2" s="1"/>
  <c r="P22" i="2"/>
  <c r="P28" i="2"/>
  <c r="P18" i="2"/>
  <c r="P34" i="2"/>
  <c r="P24" i="2"/>
  <c r="R34" i="2"/>
  <c r="Q24" i="2"/>
  <c r="S24" i="2" s="1"/>
  <c r="S22" i="2"/>
  <c r="Q20" i="2"/>
  <c r="P30" i="2"/>
  <c r="I37" i="2"/>
  <c r="I45" i="2" s="1"/>
  <c r="O37" i="2"/>
  <c r="P16" i="2"/>
  <c r="N37" i="2"/>
  <c r="H37" i="2"/>
  <c r="H47" i="2" s="1"/>
  <c r="J37" i="2"/>
  <c r="J45" i="2" s="1"/>
  <c r="V13" i="29"/>
  <c r="V22" i="29"/>
  <c r="AA9" i="29"/>
  <c r="AA8" i="29"/>
  <c r="Z2" i="29"/>
  <c r="L34" i="1"/>
  <c r="L32" i="1"/>
  <c r="L30" i="1"/>
  <c r="L28" i="1"/>
  <c r="L26" i="1"/>
  <c r="L24" i="1"/>
  <c r="P24" i="1" s="1"/>
  <c r="K35" i="1"/>
  <c r="K33" i="1"/>
  <c r="K31" i="1"/>
  <c r="K30" i="1" s="1"/>
  <c r="O30" i="1" s="1"/>
  <c r="K29" i="1"/>
  <c r="Q29" i="1" s="1"/>
  <c r="K27" i="1"/>
  <c r="O27" i="1" s="1"/>
  <c r="U27" i="1" s="1"/>
  <c r="K25" i="1"/>
  <c r="V28" i="22"/>
  <c r="L22" i="1"/>
  <c r="L20" i="1"/>
  <c r="L18" i="1"/>
  <c r="P18" i="1" s="1"/>
  <c r="L16" i="1"/>
  <c r="P16" i="1" s="1"/>
  <c r="V16" i="1" s="1"/>
  <c r="AC16" i="1" s="1"/>
  <c r="L14" i="1"/>
  <c r="P14" i="1" s="1"/>
  <c r="L12" i="1"/>
  <c r="F55" i="11"/>
  <c r="G55" i="11"/>
  <c r="G56" i="11"/>
  <c r="S22" i="1"/>
  <c r="R93" i="11"/>
  <c r="Q95" i="11"/>
  <c r="AA10" i="22"/>
  <c r="AA9" i="22"/>
  <c r="V10" i="22"/>
  <c r="V9" i="22"/>
  <c r="V23" i="22"/>
  <c r="AA8" i="22"/>
  <c r="V8" i="22"/>
  <c r="D34" i="1"/>
  <c r="H34" i="1" s="1"/>
  <c r="D32" i="1"/>
  <c r="H32" i="1" s="1"/>
  <c r="D30" i="1"/>
  <c r="D28" i="1"/>
  <c r="H28" i="1" s="1"/>
  <c r="D26" i="1"/>
  <c r="H26" i="1" s="1"/>
  <c r="D24" i="1"/>
  <c r="H24" i="1" s="1"/>
  <c r="D22" i="1"/>
  <c r="H22" i="1"/>
  <c r="D20" i="1"/>
  <c r="H20" i="1" s="1"/>
  <c r="D18" i="1"/>
  <c r="H18" i="1" s="1"/>
  <c r="D16" i="1"/>
  <c r="D14" i="1"/>
  <c r="H14" i="1" s="1"/>
  <c r="D12" i="1"/>
  <c r="H12" i="1" s="1"/>
  <c r="C34" i="1"/>
  <c r="G34" i="1" s="1"/>
  <c r="C32" i="1"/>
  <c r="G32" i="1" s="1"/>
  <c r="C30" i="1"/>
  <c r="G30" i="1" s="1"/>
  <c r="C28" i="1"/>
  <c r="G28" i="1" s="1"/>
  <c r="C26" i="1"/>
  <c r="G26" i="1" s="1"/>
  <c r="C24" i="1"/>
  <c r="G24" i="1" s="1"/>
  <c r="C22" i="1"/>
  <c r="G22" i="1"/>
  <c r="C20" i="1"/>
  <c r="G20" i="1" s="1"/>
  <c r="C18" i="1"/>
  <c r="G18" i="1" s="1"/>
  <c r="C16" i="1"/>
  <c r="G16" i="1" s="1"/>
  <c r="C14" i="1"/>
  <c r="G14" i="1" s="1"/>
  <c r="C12" i="1"/>
  <c r="G12" i="1" s="1"/>
  <c r="H30" i="1"/>
  <c r="H16" i="1"/>
  <c r="N37" i="1"/>
  <c r="M37" i="1"/>
  <c r="D9" i="9"/>
  <c r="K13" i="1"/>
  <c r="O13" i="1" s="1"/>
  <c r="S12" i="1"/>
  <c r="R12" i="1" s="1"/>
  <c r="S14" i="1"/>
  <c r="S16" i="1"/>
  <c r="S20" i="1"/>
  <c r="S18" i="1"/>
  <c r="W10" i="22"/>
  <c r="I35" i="27"/>
  <c r="I34" i="27"/>
  <c r="H34" i="27"/>
  <c r="G34" i="27"/>
  <c r="I33" i="27"/>
  <c r="H32" i="27"/>
  <c r="G32" i="27"/>
  <c r="I32" i="27"/>
  <c r="I31" i="27"/>
  <c r="H30" i="27"/>
  <c r="G30" i="27"/>
  <c r="I30" i="27"/>
  <c r="I29" i="27"/>
  <c r="H28" i="27"/>
  <c r="G28" i="27"/>
  <c r="I28" i="27"/>
  <c r="I27" i="27"/>
  <c r="I26" i="27"/>
  <c r="H26" i="27"/>
  <c r="G26" i="27"/>
  <c r="I25" i="27"/>
  <c r="H24" i="27"/>
  <c r="G24" i="27"/>
  <c r="I24" i="27"/>
  <c r="I23" i="27"/>
  <c r="H22" i="27"/>
  <c r="G22" i="27"/>
  <c r="I22" i="27"/>
  <c r="I21" i="27"/>
  <c r="H20" i="27"/>
  <c r="I20" i="27"/>
  <c r="G20" i="27"/>
  <c r="I19" i="27"/>
  <c r="H18" i="27"/>
  <c r="G18" i="27"/>
  <c r="I18" i="27"/>
  <c r="I17" i="27"/>
  <c r="H16" i="27"/>
  <c r="G16" i="27"/>
  <c r="I16" i="27"/>
  <c r="I15" i="27"/>
  <c r="H14" i="27"/>
  <c r="G14" i="27"/>
  <c r="I14" i="27"/>
  <c r="I13" i="27"/>
  <c r="A13" i="27"/>
  <c r="H12" i="27"/>
  <c r="H36" i="27"/>
  <c r="G12" i="27"/>
  <c r="I12" i="27"/>
  <c r="I36" i="27"/>
  <c r="G36" i="27"/>
  <c r="J24" i="15"/>
  <c r="M24" i="15" s="1"/>
  <c r="L24" i="15"/>
  <c r="J22" i="15"/>
  <c r="M22" i="15" s="1"/>
  <c r="J20" i="15"/>
  <c r="M20" i="15" s="1"/>
  <c r="T34" i="3"/>
  <c r="T32" i="3"/>
  <c r="W32" i="3" s="1"/>
  <c r="T30" i="3"/>
  <c r="W30" i="3" s="1"/>
  <c r="T26" i="3"/>
  <c r="W26" i="3" s="1"/>
  <c r="T24" i="3"/>
  <c r="W24" i="3" s="1"/>
  <c r="V24" i="3"/>
  <c r="Y24" i="3" s="1"/>
  <c r="T20" i="3"/>
  <c r="W20" i="3" s="1"/>
  <c r="T18" i="3"/>
  <c r="T14" i="3"/>
  <c r="W14" i="3" s="1"/>
  <c r="T12" i="3"/>
  <c r="T28" i="3"/>
  <c r="T22" i="3"/>
  <c r="W22" i="3" s="1"/>
  <c r="T16" i="3"/>
  <c r="T34" i="2"/>
  <c r="W34" i="2" s="1"/>
  <c r="T32" i="2"/>
  <c r="T30" i="2"/>
  <c r="T28" i="2"/>
  <c r="T26" i="2"/>
  <c r="W26" i="2" s="1"/>
  <c r="T24" i="2"/>
  <c r="W24" i="2" s="1"/>
  <c r="T22" i="2"/>
  <c r="W22" i="2" s="1"/>
  <c r="T20" i="2"/>
  <c r="T18" i="2"/>
  <c r="W18" i="2" s="1"/>
  <c r="T16" i="2"/>
  <c r="T14" i="2"/>
  <c r="T12" i="2"/>
  <c r="L22" i="15"/>
  <c r="L25" i="15"/>
  <c r="L23" i="15"/>
  <c r="L21" i="15"/>
  <c r="V20" i="3"/>
  <c r="Y20" i="3" s="1"/>
  <c r="V18" i="2"/>
  <c r="V30" i="3"/>
  <c r="Y30" i="3" s="1"/>
  <c r="V26" i="3"/>
  <c r="Y26" i="3" s="1"/>
  <c r="V14" i="3"/>
  <c r="Y14" i="3" s="1"/>
  <c r="T35" i="3"/>
  <c r="T33" i="3"/>
  <c r="V33" i="3"/>
  <c r="Y33" i="3" s="1"/>
  <c r="T31" i="3"/>
  <c r="W31" i="3" s="1"/>
  <c r="V31" i="3"/>
  <c r="Y31" i="3" s="1"/>
  <c r="T29" i="3"/>
  <c r="T27" i="3"/>
  <c r="W27" i="3" s="1"/>
  <c r="T25" i="3"/>
  <c r="W25" i="3" s="1"/>
  <c r="V25" i="3"/>
  <c r="Y25" i="3" s="1"/>
  <c r="T23" i="3"/>
  <c r="W23" i="3" s="1"/>
  <c r="V23" i="3"/>
  <c r="Y23" i="3" s="1"/>
  <c r="T21" i="3"/>
  <c r="T19" i="3"/>
  <c r="W19" i="3" s="1"/>
  <c r="V19" i="3"/>
  <c r="Y19" i="3" s="1"/>
  <c r="T17" i="3"/>
  <c r="W17" i="3" s="1"/>
  <c r="T15" i="3"/>
  <c r="W15" i="3" s="1"/>
  <c r="T13" i="3"/>
  <c r="T31" i="2"/>
  <c r="T23" i="2"/>
  <c r="T35" i="2"/>
  <c r="T33" i="2"/>
  <c r="T29" i="2"/>
  <c r="T27" i="2"/>
  <c r="T25" i="2"/>
  <c r="T21" i="2"/>
  <c r="T19" i="2"/>
  <c r="T17" i="2"/>
  <c r="T15" i="2"/>
  <c r="X34" i="1"/>
  <c r="X32" i="1"/>
  <c r="X30" i="1"/>
  <c r="X28" i="1"/>
  <c r="X26" i="1"/>
  <c r="X24" i="1"/>
  <c r="X22" i="1"/>
  <c r="X20" i="1"/>
  <c r="X18" i="1"/>
  <c r="X16" i="1"/>
  <c r="X14" i="1"/>
  <c r="X12" i="1"/>
  <c r="Y34" i="1"/>
  <c r="Y32" i="1"/>
  <c r="Y30" i="1"/>
  <c r="Z30" i="1" s="1"/>
  <c r="Y28" i="1"/>
  <c r="Y26" i="1"/>
  <c r="Y24" i="1"/>
  <c r="Y22" i="1"/>
  <c r="Y20" i="1"/>
  <c r="Y18" i="1"/>
  <c r="Z18" i="1" s="1"/>
  <c r="Y16" i="1"/>
  <c r="Y14" i="1"/>
  <c r="Y12" i="1"/>
  <c r="Z35" i="1"/>
  <c r="Z33" i="1"/>
  <c r="Z31" i="1"/>
  <c r="Z29" i="1"/>
  <c r="Z27" i="1"/>
  <c r="Z25" i="1"/>
  <c r="Z23" i="1"/>
  <c r="Z21" i="1"/>
  <c r="Z19" i="1"/>
  <c r="Z17" i="1"/>
  <c r="Z15" i="1"/>
  <c r="Z13" i="1"/>
  <c r="E35" i="3"/>
  <c r="E19" i="15" s="1"/>
  <c r="E33" i="3"/>
  <c r="E31" i="3"/>
  <c r="E15" i="15" s="1"/>
  <c r="E29" i="3"/>
  <c r="E13" i="15" s="1"/>
  <c r="E27" i="3"/>
  <c r="E25" i="3"/>
  <c r="E23" i="3"/>
  <c r="E21" i="3"/>
  <c r="E19" i="3"/>
  <c r="E17" i="3"/>
  <c r="E15" i="3"/>
  <c r="E13" i="3"/>
  <c r="X12" i="22"/>
  <c r="X13" i="22"/>
  <c r="Z2" i="22"/>
  <c r="C14" i="2"/>
  <c r="E23" i="2"/>
  <c r="E21" i="2"/>
  <c r="E19" i="2"/>
  <c r="E17" i="2"/>
  <c r="E15" i="2"/>
  <c r="E13" i="2"/>
  <c r="X10" i="22"/>
  <c r="I35" i="1"/>
  <c r="I33" i="1"/>
  <c r="I31" i="1"/>
  <c r="I29" i="1"/>
  <c r="I27" i="1"/>
  <c r="I25" i="1"/>
  <c r="V13" i="22"/>
  <c r="I25" i="15"/>
  <c r="I24" i="15"/>
  <c r="O24" i="15" s="1"/>
  <c r="O22" i="15"/>
  <c r="I21" i="15"/>
  <c r="E17" i="15"/>
  <c r="C24" i="15"/>
  <c r="C22" i="15"/>
  <c r="I23" i="15"/>
  <c r="O20" i="15"/>
  <c r="F35" i="3"/>
  <c r="F33" i="3"/>
  <c r="F31" i="3"/>
  <c r="F29" i="3"/>
  <c r="F27" i="3"/>
  <c r="F25" i="3"/>
  <c r="F23" i="3"/>
  <c r="F21" i="3"/>
  <c r="F19" i="3"/>
  <c r="F17" i="3"/>
  <c r="F15" i="3"/>
  <c r="F13" i="3"/>
  <c r="F6" i="24"/>
  <c r="D20" i="15"/>
  <c r="F7" i="24"/>
  <c r="F8" i="24"/>
  <c r="F9" i="24"/>
  <c r="F10" i="24"/>
  <c r="D24" i="15"/>
  <c r="F5" i="24"/>
  <c r="D22" i="15"/>
  <c r="F25" i="15"/>
  <c r="F23" i="15"/>
  <c r="F21" i="15"/>
  <c r="D10" i="24"/>
  <c r="D9" i="24"/>
  <c r="D8" i="24"/>
  <c r="D7" i="24"/>
  <c r="D6" i="24"/>
  <c r="D5" i="24"/>
  <c r="G31" i="10"/>
  <c r="D34" i="3"/>
  <c r="D18" i="15" s="1"/>
  <c r="G28" i="10"/>
  <c r="D32" i="3"/>
  <c r="D16" i="15" s="1"/>
  <c r="G26" i="10"/>
  <c r="D30" i="3"/>
  <c r="D14" i="15" s="1"/>
  <c r="G24" i="10"/>
  <c r="D28" i="3"/>
  <c r="D12" i="15" s="1"/>
  <c r="G22" i="10"/>
  <c r="D26" i="3"/>
  <c r="G20" i="10"/>
  <c r="D24" i="3"/>
  <c r="G17" i="10"/>
  <c r="G15" i="10"/>
  <c r="D20" i="3"/>
  <c r="G13" i="10"/>
  <c r="G11" i="10"/>
  <c r="D16" i="3"/>
  <c r="G9" i="10"/>
  <c r="D14" i="3"/>
  <c r="G7" i="10"/>
  <c r="D12" i="3"/>
  <c r="D22" i="3"/>
  <c r="D18" i="3"/>
  <c r="F50" i="11"/>
  <c r="AA40" i="11"/>
  <c r="Z40" i="11"/>
  <c r="Y40" i="11"/>
  <c r="X40" i="11"/>
  <c r="W40" i="11"/>
  <c r="V40" i="11"/>
  <c r="K19" i="1"/>
  <c r="O19" i="1" s="1"/>
  <c r="K23" i="1"/>
  <c r="O23" i="1" s="1"/>
  <c r="U23" i="1" s="1"/>
  <c r="K21" i="1"/>
  <c r="K17" i="1"/>
  <c r="O17" i="1" s="1"/>
  <c r="U17" i="1" s="1"/>
  <c r="K15" i="1"/>
  <c r="F56" i="11"/>
  <c r="S7" i="23"/>
  <c r="C32" i="3"/>
  <c r="C16" i="15" s="1"/>
  <c r="C34" i="2"/>
  <c r="C28" i="2"/>
  <c r="C24" i="2"/>
  <c r="X12" i="17"/>
  <c r="C16" i="2"/>
  <c r="N47" i="11"/>
  <c r="I13" i="1"/>
  <c r="C34" i="15"/>
  <c r="C32" i="15"/>
  <c r="C30" i="15"/>
  <c r="C28" i="15"/>
  <c r="R8" i="21"/>
  <c r="C20" i="15"/>
  <c r="B139" i="13"/>
  <c r="B137" i="13"/>
  <c r="B138" i="13"/>
  <c r="B136" i="13"/>
  <c r="K12" i="15"/>
  <c r="J13" i="15"/>
  <c r="J14" i="15"/>
  <c r="J15" i="15"/>
  <c r="J16" i="15"/>
  <c r="J19" i="15"/>
  <c r="P32" i="11"/>
  <c r="P34" i="11"/>
  <c r="U37" i="11"/>
  <c r="U40" i="11"/>
  <c r="T37" i="11"/>
  <c r="T40" i="11"/>
  <c r="S37" i="11"/>
  <c r="S40" i="11"/>
  <c r="R37" i="11"/>
  <c r="R40" i="11"/>
  <c r="Q37" i="11"/>
  <c r="Q40" i="11"/>
  <c r="P37" i="11"/>
  <c r="P40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AA34" i="11"/>
  <c r="S34" i="11"/>
  <c r="C34" i="11"/>
  <c r="AA32" i="11"/>
  <c r="Z32" i="11"/>
  <c r="Z34" i="11"/>
  <c r="Y32" i="11"/>
  <c r="Y34" i="11"/>
  <c r="X32" i="11"/>
  <c r="X34" i="11"/>
  <c r="W32" i="11"/>
  <c r="W34" i="11"/>
  <c r="V32" i="11"/>
  <c r="U32" i="11"/>
  <c r="T32" i="11"/>
  <c r="T34" i="11"/>
  <c r="S32" i="11"/>
  <c r="R32" i="11"/>
  <c r="R34" i="11"/>
  <c r="Q32" i="11"/>
  <c r="Q34" i="11"/>
  <c r="N32" i="11"/>
  <c r="M32" i="11"/>
  <c r="M34" i="11"/>
  <c r="L32" i="11"/>
  <c r="L34" i="11"/>
  <c r="K32" i="11"/>
  <c r="K34" i="11"/>
  <c r="J32" i="11"/>
  <c r="J34" i="11"/>
  <c r="I32" i="11"/>
  <c r="H32" i="11"/>
  <c r="G32" i="11"/>
  <c r="F32" i="11"/>
  <c r="F34" i="11"/>
  <c r="E32" i="11"/>
  <c r="D32" i="11"/>
  <c r="C32" i="11"/>
  <c r="AB30" i="11"/>
  <c r="O30" i="11"/>
  <c r="AB29" i="11"/>
  <c r="O29" i="11"/>
  <c r="AB28" i="11"/>
  <c r="AB32" i="11"/>
  <c r="AB34" i="11"/>
  <c r="O28" i="11"/>
  <c r="AA23" i="11"/>
  <c r="Z23" i="11"/>
  <c r="Y23" i="11"/>
  <c r="X23" i="11"/>
  <c r="W23" i="11"/>
  <c r="V23" i="11"/>
  <c r="V34" i="11"/>
  <c r="U23" i="11"/>
  <c r="U34" i="11"/>
  <c r="T23" i="11"/>
  <c r="S23" i="11"/>
  <c r="R23" i="11"/>
  <c r="Q23" i="11"/>
  <c r="P23" i="11"/>
  <c r="N23" i="11"/>
  <c r="N34" i="11"/>
  <c r="M23" i="11"/>
  <c r="L23" i="11"/>
  <c r="K23" i="11"/>
  <c r="J23" i="11"/>
  <c r="I23" i="11"/>
  <c r="H23" i="11"/>
  <c r="G23" i="11"/>
  <c r="G34" i="11"/>
  <c r="F23" i="11"/>
  <c r="E23" i="11"/>
  <c r="O23" i="11"/>
  <c r="D23" i="11"/>
  <c r="D34" i="11"/>
  <c r="C23" i="11"/>
  <c r="AB22" i="11"/>
  <c r="O22" i="11"/>
  <c r="AB21" i="11"/>
  <c r="O21" i="11"/>
  <c r="AB20" i="11"/>
  <c r="O20" i="11"/>
  <c r="AB19" i="11"/>
  <c r="O19" i="11"/>
  <c r="AB18" i="11"/>
  <c r="O18" i="11"/>
  <c r="AB17" i="11"/>
  <c r="O17" i="11"/>
  <c r="AB16" i="11"/>
  <c r="O16" i="11"/>
  <c r="AB15" i="11"/>
  <c r="O15" i="11"/>
  <c r="AB14" i="11"/>
  <c r="O14" i="11"/>
  <c r="AB13" i="11"/>
  <c r="O13" i="11"/>
  <c r="AB12" i="11"/>
  <c r="O12" i="11"/>
  <c r="AB11" i="11"/>
  <c r="O11" i="11"/>
  <c r="AB10" i="11"/>
  <c r="O10" i="11"/>
  <c r="AB9" i="11"/>
  <c r="O9" i="11"/>
  <c r="AB8" i="11"/>
  <c r="O8" i="11"/>
  <c r="AB7" i="11"/>
  <c r="O7" i="11"/>
  <c r="AB6" i="11"/>
  <c r="O6" i="11"/>
  <c r="AB5" i="11"/>
  <c r="O5" i="11"/>
  <c r="H34" i="11"/>
  <c r="AB23" i="11"/>
  <c r="I34" i="11"/>
  <c r="O32" i="11"/>
  <c r="O34" i="11"/>
  <c r="J35" i="1"/>
  <c r="J33" i="1"/>
  <c r="J31" i="1"/>
  <c r="J29" i="1"/>
  <c r="J27" i="1"/>
  <c r="J25" i="1"/>
  <c r="J23" i="1"/>
  <c r="J21" i="1"/>
  <c r="J19" i="1"/>
  <c r="J17" i="1"/>
  <c r="J15" i="1"/>
  <c r="J13" i="1"/>
  <c r="D34" i="2"/>
  <c r="D32" i="2"/>
  <c r="D30" i="2"/>
  <c r="D28" i="2"/>
  <c r="D26" i="2"/>
  <c r="D24" i="2"/>
  <c r="D22" i="2"/>
  <c r="D20" i="2"/>
  <c r="D18" i="2"/>
  <c r="D16" i="2"/>
  <c r="D14" i="2"/>
  <c r="D12" i="2"/>
  <c r="E31" i="10"/>
  <c r="H31" i="10"/>
  <c r="E30" i="10"/>
  <c r="E29" i="10"/>
  <c r="E28" i="10"/>
  <c r="H28" i="10"/>
  <c r="E27" i="10"/>
  <c r="E26" i="10"/>
  <c r="H26" i="10"/>
  <c r="E25" i="10"/>
  <c r="E24" i="10"/>
  <c r="H24" i="10"/>
  <c r="E23" i="10"/>
  <c r="E22" i="10"/>
  <c r="H22" i="10"/>
  <c r="E21" i="10"/>
  <c r="E20" i="10"/>
  <c r="H20" i="10"/>
  <c r="E19" i="10"/>
  <c r="E18" i="10"/>
  <c r="E17" i="10"/>
  <c r="H17" i="10"/>
  <c r="E16" i="10"/>
  <c r="E15" i="10"/>
  <c r="H15" i="10"/>
  <c r="E14" i="10"/>
  <c r="E13" i="10"/>
  <c r="H13" i="10"/>
  <c r="E12" i="10"/>
  <c r="E11" i="10"/>
  <c r="H11" i="10"/>
  <c r="E10" i="10"/>
  <c r="E9" i="10"/>
  <c r="H9" i="10"/>
  <c r="E8" i="10"/>
  <c r="E7" i="10"/>
  <c r="H7" i="10"/>
  <c r="E6" i="10"/>
  <c r="E5" i="10"/>
  <c r="H32" i="10"/>
  <c r="C33" i="9"/>
  <c r="B33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8" i="9"/>
  <c r="D30" i="7"/>
  <c r="C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30" i="7"/>
  <c r="E5" i="7"/>
  <c r="B134" i="6"/>
  <c r="C134" i="6"/>
  <c r="B135" i="6"/>
  <c r="C135" i="6"/>
  <c r="B136" i="6"/>
  <c r="C136" i="6"/>
  <c r="B137" i="6"/>
  <c r="C137" i="6"/>
  <c r="B134" i="5"/>
  <c r="C134" i="5"/>
  <c r="B135" i="5"/>
  <c r="C135" i="5"/>
  <c r="B136" i="5"/>
  <c r="C136" i="5"/>
  <c r="B137" i="5"/>
  <c r="C137" i="5"/>
  <c r="U37" i="2"/>
  <c r="V13" i="2"/>
  <c r="V17" i="2"/>
  <c r="V26" i="2"/>
  <c r="V27" i="2"/>
  <c r="V34" i="2"/>
  <c r="T37" i="3"/>
  <c r="W37" i="3" s="1"/>
  <c r="U37" i="3"/>
  <c r="X37" i="3" s="1"/>
  <c r="A13" i="3"/>
  <c r="L20" i="15"/>
  <c r="C26" i="3"/>
  <c r="C18" i="3"/>
  <c r="C34" i="3"/>
  <c r="C18" i="15" s="1"/>
  <c r="C18" i="2"/>
  <c r="V23" i="2"/>
  <c r="C30" i="2"/>
  <c r="C20" i="3"/>
  <c r="C20" i="2"/>
  <c r="C26" i="15"/>
  <c r="C32" i="2"/>
  <c r="C22" i="3"/>
  <c r="G32" i="10"/>
  <c r="O31" i="1"/>
  <c r="U31" i="1" s="1"/>
  <c r="C22" i="2"/>
  <c r="E34" i="11"/>
  <c r="C24" i="3"/>
  <c r="C12" i="3"/>
  <c r="C28" i="3"/>
  <c r="C12" i="15" s="1"/>
  <c r="C12" i="2"/>
  <c r="C37" i="2" s="1"/>
  <c r="C14" i="3"/>
  <c r="C30" i="3"/>
  <c r="C14" i="15" s="1"/>
  <c r="C26" i="2"/>
  <c r="C16" i="3"/>
  <c r="P23" i="1"/>
  <c r="V23" i="1" s="1"/>
  <c r="X8" i="22"/>
  <c r="P27" i="1"/>
  <c r="V27" i="1" s="1"/>
  <c r="AC27" i="1" s="1"/>
  <c r="P32" i="1"/>
  <c r="O35" i="1"/>
  <c r="U35" i="1" s="1"/>
  <c r="Q31" i="1"/>
  <c r="P22" i="1"/>
  <c r="V22" i="1" s="1"/>
  <c r="AC22" i="1" s="1"/>
  <c r="P15" i="1"/>
  <c r="O15" i="1"/>
  <c r="U15" i="1" s="1"/>
  <c r="P26" i="1"/>
  <c r="P35" i="1"/>
  <c r="V35" i="1" s="1"/>
  <c r="AC35" i="1" s="1"/>
  <c r="P29" i="1"/>
  <c r="V29" i="1" s="1"/>
  <c r="AC29" i="1" s="1"/>
  <c r="O25" i="1"/>
  <c r="U25" i="1" s="1"/>
  <c r="O21" i="1"/>
  <c r="U21" i="1" s="1"/>
  <c r="AA21" i="1" s="1"/>
  <c r="D33" i="9"/>
  <c r="P34" i="1"/>
  <c r="P17" i="1"/>
  <c r="V17" i="1" s="1"/>
  <c r="P21" i="1"/>
  <c r="P13" i="1"/>
  <c r="V13" i="1" s="1"/>
  <c r="P33" i="1"/>
  <c r="V33" i="1" s="1"/>
  <c r="AC33" i="1" s="1"/>
  <c r="Q35" i="1"/>
  <c r="P30" i="1"/>
  <c r="P28" i="1"/>
  <c r="P12" i="1"/>
  <c r="V12" i="1" s="1"/>
  <c r="P19" i="1"/>
  <c r="V19" i="1" s="1"/>
  <c r="Q25" i="1"/>
  <c r="P25" i="1"/>
  <c r="V25" i="1"/>
  <c r="AC25" i="1" s="1"/>
  <c r="P31" i="1"/>
  <c r="V31" i="1" s="1"/>
  <c r="V15" i="1"/>
  <c r="L19" i="15" l="1"/>
  <c r="L16" i="15"/>
  <c r="M16" i="15"/>
  <c r="L13" i="15"/>
  <c r="L15" i="15"/>
  <c r="L14" i="15"/>
  <c r="M14" i="15"/>
  <c r="K37" i="15"/>
  <c r="N12" i="15"/>
  <c r="Q21" i="1"/>
  <c r="G37" i="1"/>
  <c r="V31" i="2"/>
  <c r="V21" i="2"/>
  <c r="V12" i="2"/>
  <c r="W12" i="2"/>
  <c r="V28" i="2"/>
  <c r="Y28" i="2" s="1"/>
  <c r="W28" i="2"/>
  <c r="Q14" i="2"/>
  <c r="S14" i="2" s="1"/>
  <c r="R18" i="2"/>
  <c r="X18" i="2" s="1"/>
  <c r="V14" i="2"/>
  <c r="P37" i="2"/>
  <c r="P45" i="2" s="1"/>
  <c r="Y26" i="2"/>
  <c r="V33" i="2"/>
  <c r="V16" i="2"/>
  <c r="Y16" i="2" s="1"/>
  <c r="W16" i="2"/>
  <c r="V32" i="2"/>
  <c r="Y32" i="2" s="1"/>
  <c r="W32" i="2"/>
  <c r="V29" i="2"/>
  <c r="V30" i="2"/>
  <c r="Y30" i="2" s="1"/>
  <c r="W30" i="2"/>
  <c r="S34" i="2"/>
  <c r="Y34" i="2" s="1"/>
  <c r="X34" i="2"/>
  <c r="V24" i="2"/>
  <c r="Y24" i="2" s="1"/>
  <c r="V15" i="2"/>
  <c r="V35" i="2"/>
  <c r="V19" i="2"/>
  <c r="D37" i="2"/>
  <c r="V20" i="2"/>
  <c r="W20" i="2"/>
  <c r="K14" i="1"/>
  <c r="O14" i="1" s="1"/>
  <c r="Z34" i="1"/>
  <c r="O29" i="1"/>
  <c r="U29" i="1" s="1"/>
  <c r="AC12" i="1"/>
  <c r="Z28" i="1"/>
  <c r="Z20" i="1"/>
  <c r="K16" i="1"/>
  <c r="O16" i="1" s="1"/>
  <c r="Q16" i="1" s="1"/>
  <c r="Z24" i="1"/>
  <c r="Q30" i="1"/>
  <c r="K28" i="1"/>
  <c r="H37" i="1"/>
  <c r="V21" i="3"/>
  <c r="Y21" i="3" s="1"/>
  <c r="W21" i="3"/>
  <c r="V18" i="3"/>
  <c r="Y18" i="3" s="1"/>
  <c r="W18" i="3"/>
  <c r="V13" i="3"/>
  <c r="Y13" i="3" s="1"/>
  <c r="W13" i="3"/>
  <c r="J17" i="15"/>
  <c r="W33" i="3"/>
  <c r="V16" i="3"/>
  <c r="Y16" i="3" s="1"/>
  <c r="W16" i="3"/>
  <c r="V35" i="3"/>
  <c r="Y35" i="3" s="1"/>
  <c r="W35" i="3"/>
  <c r="V17" i="3"/>
  <c r="Y17" i="3" s="1"/>
  <c r="J12" i="15"/>
  <c r="W28" i="3"/>
  <c r="V12" i="3"/>
  <c r="Y12" i="3" s="1"/>
  <c r="V29" i="3"/>
  <c r="Y29" i="3" s="1"/>
  <c r="W29" i="3"/>
  <c r="V32" i="3"/>
  <c r="Y32" i="3" s="1"/>
  <c r="V34" i="3"/>
  <c r="Y34" i="3" s="1"/>
  <c r="W34" i="3"/>
  <c r="S26" i="2"/>
  <c r="V15" i="3"/>
  <c r="Y15" i="3" s="1"/>
  <c r="V28" i="3"/>
  <c r="Y28" i="3" s="1"/>
  <c r="V22" i="3"/>
  <c r="Y22" i="3" s="1"/>
  <c r="J18" i="15"/>
  <c r="V27" i="3"/>
  <c r="Y27" i="3" s="1"/>
  <c r="S16" i="2"/>
  <c r="K39" i="15"/>
  <c r="I16" i="15"/>
  <c r="I12" i="15"/>
  <c r="I18" i="15"/>
  <c r="I19" i="15"/>
  <c r="I14" i="15"/>
  <c r="I13" i="15"/>
  <c r="I15" i="15"/>
  <c r="S20" i="2"/>
  <c r="K18" i="1"/>
  <c r="O18" i="1" s="1"/>
  <c r="Q18" i="1" s="1"/>
  <c r="Z26" i="1"/>
  <c r="W21" i="1"/>
  <c r="AD21" i="1" s="1"/>
  <c r="V21" i="1"/>
  <c r="Z14" i="1"/>
  <c r="X37" i="1"/>
  <c r="Z32" i="1"/>
  <c r="Q17" i="1"/>
  <c r="Y37" i="1"/>
  <c r="Z22" i="1"/>
  <c r="AA25" i="1"/>
  <c r="W25" i="1"/>
  <c r="AD25" i="1" s="1"/>
  <c r="AA35" i="1"/>
  <c r="W35" i="1"/>
  <c r="AD35" i="1" s="1"/>
  <c r="U13" i="1"/>
  <c r="AA13" i="1" s="1"/>
  <c r="Q13" i="1"/>
  <c r="Q14" i="1"/>
  <c r="R14" i="1"/>
  <c r="R16" i="1" s="1"/>
  <c r="R18" i="1" s="1"/>
  <c r="T12" i="1"/>
  <c r="S32" i="1"/>
  <c r="R32" i="1" s="1"/>
  <c r="V14" i="1"/>
  <c r="AC14" i="1" s="1"/>
  <c r="Z16" i="1"/>
  <c r="S34" i="1"/>
  <c r="R34" i="1" s="1"/>
  <c r="Q27" i="1"/>
  <c r="K26" i="1"/>
  <c r="Z12" i="1"/>
  <c r="V18" i="1"/>
  <c r="AC18" i="1" s="1"/>
  <c r="K32" i="1"/>
  <c r="Q32" i="1" s="1"/>
  <c r="K12" i="1"/>
  <c r="O12" i="1" s="1"/>
  <c r="K20" i="1"/>
  <c r="O20" i="1" s="1"/>
  <c r="W17" i="1"/>
  <c r="AD17" i="1" s="1"/>
  <c r="K34" i="1"/>
  <c r="S26" i="1"/>
  <c r="R26" i="1" s="1"/>
  <c r="S24" i="1"/>
  <c r="R24" i="1" s="1"/>
  <c r="AA29" i="1"/>
  <c r="W29" i="1"/>
  <c r="AD29" i="1" s="1"/>
  <c r="AA31" i="1"/>
  <c r="W31" i="1"/>
  <c r="AD31" i="1" s="1"/>
  <c r="O32" i="1"/>
  <c r="W27" i="1"/>
  <c r="AD27" i="1" s="1"/>
  <c r="AA27" i="1"/>
  <c r="W23" i="1"/>
  <c r="AD23" i="1" s="1"/>
  <c r="AA23" i="1"/>
  <c r="AA15" i="1"/>
  <c r="W15" i="1"/>
  <c r="AD15" i="1" s="1"/>
  <c r="Q19" i="1"/>
  <c r="U19" i="1"/>
  <c r="Q15" i="1"/>
  <c r="K22" i="1"/>
  <c r="O22" i="1" s="1"/>
  <c r="K24" i="1"/>
  <c r="S28" i="1"/>
  <c r="P20" i="1"/>
  <c r="V20" i="1" s="1"/>
  <c r="AC20" i="1" s="1"/>
  <c r="Q33" i="1"/>
  <c r="AA17" i="1"/>
  <c r="S30" i="1"/>
  <c r="O33" i="1"/>
  <c r="U33" i="1" s="1"/>
  <c r="Q23" i="1"/>
  <c r="L37" i="1"/>
  <c r="S12" i="2"/>
  <c r="G17" i="2"/>
  <c r="K17" i="2" s="1"/>
  <c r="G21" i="2"/>
  <c r="K21" i="2" s="1"/>
  <c r="G35" i="2"/>
  <c r="K35" i="2" s="1"/>
  <c r="G19" i="2"/>
  <c r="K19" i="2" s="1"/>
  <c r="G33" i="2"/>
  <c r="K33" i="2" s="1"/>
  <c r="G15" i="2"/>
  <c r="K15" i="2" s="1"/>
  <c r="G23" i="2"/>
  <c r="K23" i="2" s="1"/>
  <c r="G31" i="2"/>
  <c r="K31" i="2" s="1"/>
  <c r="K13" i="2"/>
  <c r="G29" i="2"/>
  <c r="K29" i="2" s="1"/>
  <c r="K27" i="2"/>
  <c r="G25" i="2"/>
  <c r="K25" i="2" s="1"/>
  <c r="V25" i="2"/>
  <c r="T37" i="2"/>
  <c r="V22" i="2"/>
  <c r="Y22" i="2" s="1"/>
  <c r="L37" i="2"/>
  <c r="J39" i="15" l="1"/>
  <c r="M39" i="15" s="1"/>
  <c r="O14" i="15"/>
  <c r="O19" i="15"/>
  <c r="L18" i="15"/>
  <c r="O18" i="15" s="1"/>
  <c r="M18" i="15"/>
  <c r="O15" i="15"/>
  <c r="O13" i="15"/>
  <c r="M12" i="15"/>
  <c r="O16" i="15"/>
  <c r="L17" i="15"/>
  <c r="S18" i="2"/>
  <c r="Y18" i="2" s="1"/>
  <c r="R37" i="2"/>
  <c r="X37" i="2" s="1"/>
  <c r="Y12" i="2"/>
  <c r="Y20" i="2"/>
  <c r="W14" i="2"/>
  <c r="Y14" i="2"/>
  <c r="Z37" i="1"/>
  <c r="V32" i="1"/>
  <c r="AC32" i="1" s="1"/>
  <c r="U32" i="1"/>
  <c r="O28" i="1"/>
  <c r="Q28" i="1"/>
  <c r="L12" i="15"/>
  <c r="U18" i="1"/>
  <c r="AA18" i="1" s="1"/>
  <c r="K37" i="2"/>
  <c r="V37" i="3"/>
  <c r="Y37" i="3" s="1"/>
  <c r="H39" i="15"/>
  <c r="N39" i="15" s="1"/>
  <c r="I17" i="15"/>
  <c r="I39" i="15" s="1"/>
  <c r="H37" i="15"/>
  <c r="Q29" i="2"/>
  <c r="M29" i="2"/>
  <c r="Q21" i="2"/>
  <c r="M21" i="2"/>
  <c r="Q17" i="2"/>
  <c r="M17" i="2"/>
  <c r="M31" i="2"/>
  <c r="Q31" i="2"/>
  <c r="M23" i="2"/>
  <c r="Q23" i="2"/>
  <c r="M15" i="2"/>
  <c r="Q15" i="2"/>
  <c r="M27" i="2"/>
  <c r="Q27" i="2"/>
  <c r="Q33" i="2"/>
  <c r="M33" i="2"/>
  <c r="Q35" i="2"/>
  <c r="M35" i="2"/>
  <c r="Q13" i="2"/>
  <c r="W13" i="2" s="1"/>
  <c r="M13" i="2"/>
  <c r="Q25" i="2"/>
  <c r="M25" i="2"/>
  <c r="M19" i="2"/>
  <c r="Q19" i="2"/>
  <c r="V26" i="1"/>
  <c r="AC26" i="1" s="1"/>
  <c r="V34" i="1"/>
  <c r="AC34" i="1" s="1"/>
  <c r="T14" i="1"/>
  <c r="O34" i="1"/>
  <c r="U34" i="1" s="1"/>
  <c r="Q34" i="1"/>
  <c r="U16" i="1"/>
  <c r="AA16" i="1" s="1"/>
  <c r="T16" i="1"/>
  <c r="V24" i="1"/>
  <c r="AC24" i="1" s="1"/>
  <c r="U14" i="1"/>
  <c r="Q26" i="1"/>
  <c r="O26" i="1"/>
  <c r="U26" i="1" s="1"/>
  <c r="W13" i="1"/>
  <c r="AD13" i="1" s="1"/>
  <c r="K37" i="1"/>
  <c r="W19" i="1"/>
  <c r="AD19" i="1" s="1"/>
  <c r="AA19" i="1"/>
  <c r="AA32" i="1"/>
  <c r="R20" i="1"/>
  <c r="T18" i="1"/>
  <c r="O24" i="1"/>
  <c r="U24" i="1" s="1"/>
  <c r="Q24" i="1"/>
  <c r="Q22" i="1"/>
  <c r="P37" i="1"/>
  <c r="Q12" i="1"/>
  <c r="U12" i="1"/>
  <c r="AA12" i="1" s="1"/>
  <c r="V28" i="1"/>
  <c r="AC28" i="1" s="1"/>
  <c r="R28" i="1"/>
  <c r="U28" i="1" s="1"/>
  <c r="AA33" i="1"/>
  <c r="W33" i="1"/>
  <c r="AD33" i="1" s="1"/>
  <c r="V30" i="1"/>
  <c r="AC30" i="1" s="1"/>
  <c r="R30" i="1"/>
  <c r="U30" i="1" s="1"/>
  <c r="Q20" i="1"/>
  <c r="S37" i="1"/>
  <c r="G37" i="2"/>
  <c r="G47" i="2" s="1"/>
  <c r="I47" i="2" s="1"/>
  <c r="P47" i="2" s="1"/>
  <c r="V37" i="2"/>
  <c r="L39" i="15" l="1"/>
  <c r="O12" i="15"/>
  <c r="L37" i="15"/>
  <c r="O17" i="15"/>
  <c r="W32" i="1"/>
  <c r="AD32" i="1" s="1"/>
  <c r="S25" i="2"/>
  <c r="Y25" i="2" s="1"/>
  <c r="W25" i="2"/>
  <c r="S23" i="2"/>
  <c r="Y23" i="2" s="1"/>
  <c r="W23" i="2"/>
  <c r="S35" i="2"/>
  <c r="Y35" i="2" s="1"/>
  <c r="W35" i="2"/>
  <c r="S29" i="2"/>
  <c r="Y29" i="2" s="1"/>
  <c r="W29" i="2"/>
  <c r="S17" i="2"/>
  <c r="Y17" i="2" s="1"/>
  <c r="W17" i="2"/>
  <c r="S15" i="2"/>
  <c r="Y15" i="2" s="1"/>
  <c r="W15" i="2"/>
  <c r="S21" i="2"/>
  <c r="Y21" i="2" s="1"/>
  <c r="W21" i="2"/>
  <c r="S19" i="2"/>
  <c r="Y19" i="2" s="1"/>
  <c r="W19" i="2"/>
  <c r="S31" i="2"/>
  <c r="Y31" i="2" s="1"/>
  <c r="W31" i="2"/>
  <c r="S33" i="2"/>
  <c r="Y33" i="2" s="1"/>
  <c r="W33" i="2"/>
  <c r="S27" i="2"/>
  <c r="Y27" i="2" s="1"/>
  <c r="W27" i="2"/>
  <c r="W18" i="1"/>
  <c r="AD18" i="1" s="1"/>
  <c r="W16" i="1"/>
  <c r="AD16" i="1" s="1"/>
  <c r="I37" i="15"/>
  <c r="M37" i="2"/>
  <c r="S13" i="2"/>
  <c r="Q37" i="2"/>
  <c r="W37" i="2" s="1"/>
  <c r="AA34" i="1"/>
  <c r="W34" i="1"/>
  <c r="AD34" i="1" s="1"/>
  <c r="AA26" i="1"/>
  <c r="W26" i="1"/>
  <c r="AD26" i="1" s="1"/>
  <c r="W14" i="1"/>
  <c r="AD14" i="1" s="1"/>
  <c r="AA14" i="1"/>
  <c r="O37" i="1"/>
  <c r="AA28" i="1"/>
  <c r="W28" i="1"/>
  <c r="AD28" i="1" s="1"/>
  <c r="R22" i="1"/>
  <c r="R37" i="1" s="1"/>
  <c r="T20" i="1"/>
  <c r="U20" i="1"/>
  <c r="W12" i="1"/>
  <c r="Q37" i="1"/>
  <c r="V37" i="1"/>
  <c r="AC37" i="1" s="1"/>
  <c r="AA30" i="1"/>
  <c r="W30" i="1"/>
  <c r="AD30" i="1" s="1"/>
  <c r="AA24" i="1"/>
  <c r="W24" i="1"/>
  <c r="AD24" i="1" s="1"/>
  <c r="O39" i="15" l="1"/>
  <c r="S37" i="2"/>
  <c r="S45" i="2" s="1"/>
  <c r="Y13" i="2"/>
  <c r="T22" i="1"/>
  <c r="T37" i="1" s="1"/>
  <c r="U22" i="1"/>
  <c r="U37" i="1" s="1"/>
  <c r="AA37" i="1" s="1"/>
  <c r="AD12" i="1"/>
  <c r="AA20" i="1"/>
  <c r="W20" i="1"/>
  <c r="AD20" i="1" s="1"/>
  <c r="Y37" i="2" l="1"/>
  <c r="W22" i="1"/>
  <c r="AD22" i="1" s="1"/>
  <c r="AA22" i="1"/>
  <c r="W37" i="1" l="1"/>
  <c r="AD37" i="1" s="1"/>
</calcChain>
</file>

<file path=xl/sharedStrings.xml><?xml version="1.0" encoding="utf-8"?>
<sst xmlns="http://schemas.openxmlformats.org/spreadsheetml/2006/main" count="4793" uniqueCount="1256">
  <si>
    <t>Month</t>
  </si>
  <si>
    <t>Employee Group</t>
  </si>
  <si>
    <t>Budgeted</t>
  </si>
  <si>
    <t>Actual</t>
  </si>
  <si>
    <t>Reg.</t>
  </si>
  <si>
    <t>OT</t>
  </si>
  <si>
    <t xml:space="preserve"> Total</t>
  </si>
  <si>
    <t>Monthly Budget</t>
  </si>
  <si>
    <t xml:space="preserve">Monthly Actual </t>
  </si>
  <si>
    <t>Variance Percent</t>
  </si>
  <si>
    <t>Delta Natural Gas Company, Inc.</t>
  </si>
  <si>
    <t>Case No. 2021-00185</t>
  </si>
  <si>
    <t>Monthly Payroll Variance Analysis</t>
  </si>
  <si>
    <t>Schedule J</t>
  </si>
  <si>
    <t>Workpaper Reference No.(s):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</si>
  <si>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</si>
  <si>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</si>
  <si>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</si>
  <si>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</si>
  <si>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</si>
  <si>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</si>
  <si>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</si>
  <si>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</si>
  <si>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</si>
  <si>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</si>
  <si>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</si>
  <si>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</si>
  <si>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 xml:space="preserve">Salary </t>
  </si>
  <si>
    <t>Hourly</t>
  </si>
  <si>
    <t>Total</t>
  </si>
  <si>
    <t>As of December 31,2020</t>
  </si>
  <si>
    <t>As of December 31,2019</t>
  </si>
  <si>
    <t>Hourly OT Labor</t>
  </si>
  <si>
    <t>Hourly ST Labor</t>
  </si>
  <si>
    <t>Salaried OT Labor</t>
  </si>
  <si>
    <t>Salaried ST Labor</t>
  </si>
  <si>
    <t>* Total Labor</t>
  </si>
  <si>
    <t>Activity Allocations</t>
  </si>
  <si>
    <t>Payroll Tax</t>
  </si>
  <si>
    <t>Benefits</t>
  </si>
  <si>
    <t>APIP/Incentive</t>
  </si>
  <si>
    <t>Variance
(01-12) 
(2019vs2020)</t>
  </si>
  <si>
    <t>CM PYTD
Actual
(01 - 12) 
(2019)</t>
  </si>
  <si>
    <t>CM CYTD
Actual
(01 - 12) 
(2020)</t>
  </si>
  <si>
    <t>Variance
(12)
(2019vs2020)</t>
  </si>
  <si>
    <t>CM PY
Actual
(12/2019)</t>
  </si>
  <si>
    <t>CM CY
Actual
(12/2020)</t>
  </si>
  <si>
    <t>Annual
Plan
(2020)</t>
  </si>
  <si>
    <t>Variance
(01 - 12) 
(2020)</t>
  </si>
  <si>
    <t>CM YTD
Plan
(01 - 12) 
(2020)</t>
  </si>
  <si>
    <t>CM YTD
Actual
(01 - 12) 
(2020)</t>
  </si>
  <si>
    <t>Variance
(12/2020)</t>
  </si>
  <si>
    <t>CM
Plan
(12/2020)</t>
  </si>
  <si>
    <t>CM
Actual
(12/2020)</t>
  </si>
  <si>
    <t/>
  </si>
  <si>
    <t>Variance
(01-11) 
(2019vs2020)</t>
  </si>
  <si>
    <t>CM PYTD
Actual
(01 - 11) 
(2019)</t>
  </si>
  <si>
    <t>CM CYTD
Actual
(01 - 11) 
(2020)</t>
  </si>
  <si>
    <t>Variance
(11)
(2019vs2020)</t>
  </si>
  <si>
    <t>CM PY
Actual
(11/2019)</t>
  </si>
  <si>
    <t>CM CY
Actual
(11/2020)</t>
  </si>
  <si>
    <t>Variance
(01 - 11) 
(2020)</t>
  </si>
  <si>
    <t>CM YTD
Plan
(01 - 11) 
(2020)</t>
  </si>
  <si>
    <t>CM YTD
Actual
(01 - 11) 
(2020)</t>
  </si>
  <si>
    <t>Variance
(11/2020)</t>
  </si>
  <si>
    <t>CM
Plan
(11/2020)</t>
  </si>
  <si>
    <t>CM
Actual
(11/2020)</t>
  </si>
  <si>
    <t>Variance
(01-10) 
(2019vs2020)</t>
  </si>
  <si>
    <t>CM PYTD
Actual
(01 - 10) 
(2019)</t>
  </si>
  <si>
    <t>CM CYTD
Actual
(01 - 10) 
(2020)</t>
  </si>
  <si>
    <t>Variance
(10)
(2019vs2020)</t>
  </si>
  <si>
    <t>CM PY
Actual
(10/2019)</t>
  </si>
  <si>
    <t>CM CY
Actual
(10/2020)</t>
  </si>
  <si>
    <t>Variance
(01 - 10) 
(2020)</t>
  </si>
  <si>
    <t>CM YTD
Plan
(01 - 10) 
(2020)</t>
  </si>
  <si>
    <t>CM YTD
Actual
(01 - 10) 
(2020)</t>
  </si>
  <si>
    <t>Variance
(10/2020)</t>
  </si>
  <si>
    <t>CM
Plan
(10/2020)</t>
  </si>
  <si>
    <t>CM
Actual
(10/2020)</t>
  </si>
  <si>
    <t>Variance
(01-09) 
(2019vs2020)</t>
  </si>
  <si>
    <t>CM PYTD
Actual
(01 - 09) 
(2019)</t>
  </si>
  <si>
    <t>CM CYTD
Actual
(01 - 09) 
(2020)</t>
  </si>
  <si>
    <t>Variance
(09)
(2019vs2020)</t>
  </si>
  <si>
    <t>CM PY
Actual
(09/2019)</t>
  </si>
  <si>
    <t>CM CY
Actual
(09/2020)</t>
  </si>
  <si>
    <t>Variance
(01 - 09) 
(2020)</t>
  </si>
  <si>
    <t>CM YTD
Plan
(01 - 09) 
(2020)</t>
  </si>
  <si>
    <t>CM YTD
Actual
(01 - 09) 
(2020)</t>
  </si>
  <si>
    <t>Variance
(09/2020)</t>
  </si>
  <si>
    <t>CM
Plan
(09/2020)</t>
  </si>
  <si>
    <t>CM
Actual
(09/2020)</t>
  </si>
  <si>
    <t>Variance
(01-08) 
(2019vs2020)</t>
  </si>
  <si>
    <t>CM PYTD
Actual
(01 - 08) 
(2019)</t>
  </si>
  <si>
    <t>CM CYTD
Actual
(01 - 08) 
(2020)</t>
  </si>
  <si>
    <t>Variance
(08)
(2019vs2020)</t>
  </si>
  <si>
    <t>CM PY
Actual
(08/2019)</t>
  </si>
  <si>
    <t>CM CY
Actual
(08/2020)</t>
  </si>
  <si>
    <t>Variance
(01 - 08) 
(2020)</t>
  </si>
  <si>
    <t>CM YTD
Plan
(01 - 08) 
(2020)</t>
  </si>
  <si>
    <t>CM YTD
Actual
(01 - 08) 
(2020)</t>
  </si>
  <si>
    <t>Variance
(08/2020)</t>
  </si>
  <si>
    <t>CM
Plan
(08/2020)</t>
  </si>
  <si>
    <t>CM
Actual
(08/2020)</t>
  </si>
  <si>
    <t>Variance
(01-07) 
(2019vs2020)</t>
  </si>
  <si>
    <t>CM PYTD
Actual
(01 - 07) 
(2019)</t>
  </si>
  <si>
    <t>CM CYTD
Actual
(01 - 07) 
(2020)</t>
  </si>
  <si>
    <t>Variance
(07)
(2019vs2020)</t>
  </si>
  <si>
    <t>CM PY
Actual
(07/2019)</t>
  </si>
  <si>
    <t>CM CY
Actual
(07/2020)</t>
  </si>
  <si>
    <t>Variance
(01 - 07) 
(2020)</t>
  </si>
  <si>
    <t>CM YTD
Plan
(01 - 07) 
(2020)</t>
  </si>
  <si>
    <t>CM YTD
Actual
(01 - 07) 
(2020)</t>
  </si>
  <si>
    <t>Variance
(07/2020)</t>
  </si>
  <si>
    <t>CM
Plan
(07/2020)</t>
  </si>
  <si>
    <t>CM
Actual
(07/2020)</t>
  </si>
  <si>
    <t>Variance
(01-06) 
(2019vs2020)</t>
  </si>
  <si>
    <t>CM PYTD
Actual
(01 - 06) 
(2019)</t>
  </si>
  <si>
    <t>CM CYTD
Actual
(01 - 06) 
(2020)</t>
  </si>
  <si>
    <t>Variance
(06)
(2019vs2020)</t>
  </si>
  <si>
    <t>CM PY
Actual
(06/2019)</t>
  </si>
  <si>
    <t>CM CY
Actual
(06/2020)</t>
  </si>
  <si>
    <t>Variance
(01 - 06) 
(2020)</t>
  </si>
  <si>
    <t>CM YTD
Plan
(01 - 06) 
(2020)</t>
  </si>
  <si>
    <t>CM YTD
Actual
(01 - 06) 
(2020)</t>
  </si>
  <si>
    <t>Variance
(06/2020)</t>
  </si>
  <si>
    <t>CM
Plan
(06/2020)</t>
  </si>
  <si>
    <t>CM
Actual
(06/2020)</t>
  </si>
  <si>
    <t>Variance
(01-05) 
(2019vs2020)</t>
  </si>
  <si>
    <t>CM PYTD
Actual
(01 - 05) 
(2019)</t>
  </si>
  <si>
    <t>CM CYTD
Actual
(01 - 05) 
(2020)</t>
  </si>
  <si>
    <t>Variance
(05)
(2019vs2020)</t>
  </si>
  <si>
    <t>CM PY
Actual
(05/2019)</t>
  </si>
  <si>
    <t>CM CY
Actual
(05/2020)</t>
  </si>
  <si>
    <t>Variance
(01 - 05) 
(2020)</t>
  </si>
  <si>
    <t>CM YTD
Plan
(01 - 05) 
(2020)</t>
  </si>
  <si>
    <t>CM YTD
Actual
(01 - 05) 
(2020)</t>
  </si>
  <si>
    <t>Variance
(05/2020)</t>
  </si>
  <si>
    <t>CM
Plan
(05/2020)</t>
  </si>
  <si>
    <t>CM
Actual
(05/2020)</t>
  </si>
  <si>
    <t>Variance
(01-04) 
(2019vs2020)</t>
  </si>
  <si>
    <t>CM PYTD
Actual
(01 - 04) 
(2019)</t>
  </si>
  <si>
    <t>CM CYTD
Actual
(01 - 04) 
(2020)</t>
  </si>
  <si>
    <t>Variance
(04)
(2019vs2020)</t>
  </si>
  <si>
    <t>CM PY
Actual
(04/2019)</t>
  </si>
  <si>
    <t>CM CY
Actual
(04/2020)</t>
  </si>
  <si>
    <t>Variance
(01 - 04) 
(2020)</t>
  </si>
  <si>
    <t>CM YTD
Plan
(01 - 04) 
(2020)</t>
  </si>
  <si>
    <t>CM YTD
Actual
(01 - 04) 
(2020)</t>
  </si>
  <si>
    <t>Variance
(04/2020)</t>
  </si>
  <si>
    <t>CM
Plan
(04/2020)</t>
  </si>
  <si>
    <t>CM
Actual
(04/2020)</t>
  </si>
  <si>
    <t>Variance
(01-03) 
(2019vs2020)</t>
  </si>
  <si>
    <t>CM PYTD
Actual
(01 - 03) 
(2019)</t>
  </si>
  <si>
    <t>CM CYTD
Actual
(01 - 03) 
(2020)</t>
  </si>
  <si>
    <t>Variance
(03)
(2019vs2020)</t>
  </si>
  <si>
    <t>CM PY
Actual
(03/2019)</t>
  </si>
  <si>
    <t>CM CY
Actual
(03/2020)</t>
  </si>
  <si>
    <t>Variance
(01 - 03) 
(2020)</t>
  </si>
  <si>
    <t>CM YTD
Plan
(01 - 03) 
(2020)</t>
  </si>
  <si>
    <t>CM YTD
Actual
(01 - 03) 
(2020)</t>
  </si>
  <si>
    <t>Variance
(03/2020)</t>
  </si>
  <si>
    <t>CM
Plan
(03/2020)</t>
  </si>
  <si>
    <t>CM
Actual
(03/2020)</t>
  </si>
  <si>
    <t>Variance
(01-02) 
(2019vs2020)</t>
  </si>
  <si>
    <t>CM PYTD
Actual
(01 - 02) 
(2019)</t>
  </si>
  <si>
    <t>CM CYTD
Actual
(01 - 02) 
(2020)</t>
  </si>
  <si>
    <t>Variance
(02)
(2019vs2020)</t>
  </si>
  <si>
    <t>CM PY
Actual
(02/2019)</t>
  </si>
  <si>
    <t>CM CY
Actual
(02/2020)</t>
  </si>
  <si>
    <t>Variance
(01 - 02) 
(2020)</t>
  </si>
  <si>
    <t>CM YTD
Plan
(01 - 02) 
(2020)</t>
  </si>
  <si>
    <t>CM YTD
Actual
(01 - 02) 
(2020)</t>
  </si>
  <si>
    <t>Variance
(02/2020)</t>
  </si>
  <si>
    <t>CM
Plan
(02/2020)</t>
  </si>
  <si>
    <t>CM
Actual
(02/2020)</t>
  </si>
  <si>
    <t>Variance
(01-01) 
(2017vs2020)</t>
  </si>
  <si>
    <t>CM PYTD
Actual
(01 - 01) 
(2019)</t>
  </si>
  <si>
    <t>CM CYTD
Actual
(01 - 01) 
(2020)</t>
  </si>
  <si>
    <t>Variance
(01)
(2017vs2020)</t>
  </si>
  <si>
    <t>CM PY
Actual
(01/2019)</t>
  </si>
  <si>
    <t>CM CY
Actual
(01/2020)</t>
  </si>
  <si>
    <t>Variance
(01 - 01) 
(2020)</t>
  </si>
  <si>
    <t>CM YTD
Plan
(01 - 01) 
(2020)</t>
  </si>
  <si>
    <t>CM YTD
Actual
(01 - 01) 
(2020)</t>
  </si>
  <si>
    <t>Variance
(01/2020)</t>
  </si>
  <si>
    <t>CM
Plan
(01/2020)</t>
  </si>
  <si>
    <t>CM
Actual
(01/2020)</t>
  </si>
  <si>
    <t>Peoples KY &amp; Delta Combined</t>
  </si>
  <si>
    <t>Variance
(01-12) 
(2018vs2019)</t>
  </si>
  <si>
    <t>CM PYTD
Actual
(01 - 12) 
(2018)</t>
  </si>
  <si>
    <t>CM CYTD
Actual
(01 - 12) 
(2019)</t>
  </si>
  <si>
    <t>Variance
(12)
(2018vs2019)</t>
  </si>
  <si>
    <t>CM PY
Actual
(12/2018)</t>
  </si>
  <si>
    <t>CM CY
Actual
(12/2019)</t>
  </si>
  <si>
    <t>Annual
Plan
(2019)</t>
  </si>
  <si>
    <t>Variance
(01 - 12) 
(2019)</t>
  </si>
  <si>
    <t>CM YTD
Plan
(01 - 12) 
(2019)</t>
  </si>
  <si>
    <t>CM YTD
Actual
(01 - 12) 
(2019)</t>
  </si>
  <si>
    <t>Variance
(12/2019)</t>
  </si>
  <si>
    <t>CM
Plan
(12/2019)</t>
  </si>
  <si>
    <t>CM
Actual
(12/2019)</t>
  </si>
  <si>
    <t>Variance
(01-11) 
(2018vs2019)</t>
  </si>
  <si>
    <t>CM PYTD
Actual
(01 - 11) 
(2018)</t>
  </si>
  <si>
    <t>CM CYTD
Actual
(01 - 11) 
(2019)</t>
  </si>
  <si>
    <t>Variance
(11)
(2018vs2019)</t>
  </si>
  <si>
    <t>CM PY
Actual
(11/2018)</t>
  </si>
  <si>
    <t>CM CY
Actual
(11/2019)</t>
  </si>
  <si>
    <t>Variance
(01 - 11) 
(2019)</t>
  </si>
  <si>
    <t>CM YTD
Plan
(01 - 11) 
(2019)</t>
  </si>
  <si>
    <t>CM YTD
Actual
(01 - 11) 
(2019)</t>
  </si>
  <si>
    <t>Variance
(11/2019)</t>
  </si>
  <si>
    <t>CM
Plan
(11/2019)</t>
  </si>
  <si>
    <t>CM
Actual
(11/2019)</t>
  </si>
  <si>
    <t>Variance
(01-10) 
(2018vs2019)</t>
  </si>
  <si>
    <t>CM PYTD
Actual
(01 - 10) 
(2018)</t>
  </si>
  <si>
    <t>CM CYTD
Actual
(01 - 10) 
(2019)</t>
  </si>
  <si>
    <t>Variance
(10)
(2018vs2019)</t>
  </si>
  <si>
    <t>CM PY
Actual
(10/2018)</t>
  </si>
  <si>
    <t>CM CY
Actual
(10/2019)</t>
  </si>
  <si>
    <t>Variance
(01 - 10) 
(2019)</t>
  </si>
  <si>
    <t>CM YTD
Plan
(01 - 10) 
(2019)</t>
  </si>
  <si>
    <t>CM YTD
Actual
(01 - 10) 
(2019)</t>
  </si>
  <si>
    <t>Variance
(10/2019)</t>
  </si>
  <si>
    <t>CM
Plan
(10/2019)</t>
  </si>
  <si>
    <t>CM
Actual
(10/2019)</t>
  </si>
  <si>
    <t>Variance
(01-09) 
(2018vs2019)</t>
  </si>
  <si>
    <t>CM PYTD
Actual
(01 - 09) 
(2018)</t>
  </si>
  <si>
    <t>CM CYTD
Actual
(01 - 09) 
(2019)</t>
  </si>
  <si>
    <t>Variance
(09)
(2018vs2019)</t>
  </si>
  <si>
    <t>CM PY
Actual
(09/2018)</t>
  </si>
  <si>
    <t>CM CY
Actual
(09/2019)</t>
  </si>
  <si>
    <t>Variance
(01 - 09) 
(2019)</t>
  </si>
  <si>
    <t>CM YTD
Plan
(01 - 09) 
(2019)</t>
  </si>
  <si>
    <t>CM YTD
Actual
(01 - 09) 
(2019)</t>
  </si>
  <si>
    <t>Variance
(09/2019)</t>
  </si>
  <si>
    <t>CM
Plan
(09/2019)</t>
  </si>
  <si>
    <t>CM
Actual
(09/2019)</t>
  </si>
  <si>
    <t>Variance
(01-08) 
(2018vs2019)</t>
  </si>
  <si>
    <t>CM PYTD
Actual
(01 - 08) 
(2018)</t>
  </si>
  <si>
    <t>CM CYTD
Actual
(01 - 08) 
(2019)</t>
  </si>
  <si>
    <t>Variance
(08)
(2018vs2019)</t>
  </si>
  <si>
    <t>CM PY
Actual
(08/2018)</t>
  </si>
  <si>
    <t>CM CY
Actual
(08/2019)</t>
  </si>
  <si>
    <t>Variance
(01 - 08) 
(2019)</t>
  </si>
  <si>
    <t>CM YTD
Plan
(01 - 08) 
(2019)</t>
  </si>
  <si>
    <t>CM YTD
Actual
(01 - 08) 
(2019)</t>
  </si>
  <si>
    <t>Variance
(08/2019)</t>
  </si>
  <si>
    <t>CM
Plan
(08/2019)</t>
  </si>
  <si>
    <t>CM
Actual
(08/2019)</t>
  </si>
  <si>
    <t>Variance
(01-07) 
(2018vs2019)</t>
  </si>
  <si>
    <t>CM PYTD
Actual
(01 - 07) 
(2018)</t>
  </si>
  <si>
    <t>CM CYTD
Actual
(01 - 07) 
(2019)</t>
  </si>
  <si>
    <t>Variance
(07)
(2018vs2019)</t>
  </si>
  <si>
    <t>CM PY
Actual
(07/2018)</t>
  </si>
  <si>
    <t>CM CY
Actual
(07/2019)</t>
  </si>
  <si>
    <t>Variance
(01 - 07) 
(2019)</t>
  </si>
  <si>
    <t>CM YTD
Plan
(01 - 07) 
(2019)</t>
  </si>
  <si>
    <t>CM YTD
Actual
(01 - 07) 
(2019)</t>
  </si>
  <si>
    <t>Variance
(07/2019)</t>
  </si>
  <si>
    <t>CM
Plan
(07/2019)</t>
  </si>
  <si>
    <t>CM
Actual
(07/2019)</t>
  </si>
  <si>
    <t>Variance
(01-06) 
(2018vs2019)</t>
  </si>
  <si>
    <t>CM PYTD
Actual
(01 - 06) 
(2018)</t>
  </si>
  <si>
    <t>CM CYTD
Actual
(01 - 06) 
(2019)</t>
  </si>
  <si>
    <t>Variance
(06)
(2018vs2019)</t>
  </si>
  <si>
    <t>CM PY
Actual
(06/2018)</t>
  </si>
  <si>
    <t>CM CY
Actual
(06/2019)</t>
  </si>
  <si>
    <t>Variance
(01 - 06) 
(2019)</t>
  </si>
  <si>
    <t>CM YTD
Plan
(01 - 06) 
(2019)</t>
  </si>
  <si>
    <t>CM YTD
Actual
(01 - 06) 
(2019)</t>
  </si>
  <si>
    <t>Variance
(06/2019)</t>
  </si>
  <si>
    <t>CM
Plan
(06/2019)</t>
  </si>
  <si>
    <t>CM
Actual
(06/2019)</t>
  </si>
  <si>
    <t>Variance
(01-05) 
(2018vs2019)</t>
  </si>
  <si>
    <t>CM PYTD
Actual
(01 - 05) 
(2018)</t>
  </si>
  <si>
    <t>CM CYTD
Actual
(01 - 05) 
(2019)</t>
  </si>
  <si>
    <t>Variance
(05)
(2018vs2019)</t>
  </si>
  <si>
    <t>CM PY
Actual
(05/2018)</t>
  </si>
  <si>
    <t>CM CY
Actual
(05/2019)</t>
  </si>
  <si>
    <t>Variance
(01 - 05) 
(2019)</t>
  </si>
  <si>
    <t>CM YTD
Plan
(01 - 05) 
(2019)</t>
  </si>
  <si>
    <t>CM YTD
Actual
(01 - 05) 
(2019)</t>
  </si>
  <si>
    <t>Variance
(05/2019)</t>
  </si>
  <si>
    <t>CM
Plan
(05/2019)</t>
  </si>
  <si>
    <t>CM
Actual
(05/2019)</t>
  </si>
  <si>
    <t>Variance
(01-04) 
(2018vs2019)</t>
  </si>
  <si>
    <t>CM PYTD
Actual
(01 - 04) 
(2018)</t>
  </si>
  <si>
    <t>CM CYTD
Actual
(01 - 04) 
(2019)</t>
  </si>
  <si>
    <t>Variance
(04)
(2018vs2019)</t>
  </si>
  <si>
    <t>CM PY
Actual
(04/2018)</t>
  </si>
  <si>
    <t>CM CY
Actual
(04/2019)</t>
  </si>
  <si>
    <t>Variance
(01 - 04) 
(2019)</t>
  </si>
  <si>
    <t>CM YTD
Plan
(01 - 04) 
(2019)</t>
  </si>
  <si>
    <t>CM YTD
Actual
(01 - 04) 
(2019)</t>
  </si>
  <si>
    <t>Variance
(04/2019)</t>
  </si>
  <si>
    <t>CM
Plan
(04/2019)</t>
  </si>
  <si>
    <t>CM
Actual
(04/2019)</t>
  </si>
  <si>
    <t>Variance
(01-03) 
(2018vs2019)</t>
  </si>
  <si>
    <t>CM PYTD
Actual
(01 - 03) 
(2018)</t>
  </si>
  <si>
    <t>CM CYTD
Actual
(01 - 03) 
(2019)</t>
  </si>
  <si>
    <t>Variance
(03)
(2018vs2019)</t>
  </si>
  <si>
    <t>CM PY
Actual
(03/2018)</t>
  </si>
  <si>
    <t>CM CY
Actual
(03/2019)</t>
  </si>
  <si>
    <t>Variance
(01 - 03) 
(2019)</t>
  </si>
  <si>
    <t>CM YTD
Plan
(01 - 03) 
(2019)</t>
  </si>
  <si>
    <t>CM YTD
Actual
(01 - 03) 
(2019)</t>
  </si>
  <si>
    <t>Variance
(03/2019)</t>
  </si>
  <si>
    <t>CM
Plan
(03/2019)</t>
  </si>
  <si>
    <t>CM
Actual
(03/2019)</t>
  </si>
  <si>
    <t>Variance
(01-02) 
(2018vs2019)</t>
  </si>
  <si>
    <t>CM PYTD
Actual
(01 - 02) 
(2018)</t>
  </si>
  <si>
    <t>CM CYTD
Actual
(01 - 02) 
(2019)</t>
  </si>
  <si>
    <t>Variance
(02)
(2018vs2019)</t>
  </si>
  <si>
    <t>CM PY
Actual
(02/2018)</t>
  </si>
  <si>
    <t>CM CY
Actual
(02/2019)</t>
  </si>
  <si>
    <t>Variance
(01 - 02) 
(2019)</t>
  </si>
  <si>
    <t>CM YTD
Plan
(01 - 02) 
(2019)</t>
  </si>
  <si>
    <t>CM YTD
Actual
(01 - 02) 
(2019)</t>
  </si>
  <si>
    <t>Variance
(02/2019)</t>
  </si>
  <si>
    <t>CM
Plan
(02/2019)</t>
  </si>
  <si>
    <t>CM
Actual
(02/2019)</t>
  </si>
  <si>
    <t>Variance
(01-01) 
(2018vs2019)</t>
  </si>
  <si>
    <t>CM PYTD
Actual
(01 - 01) 
(2018)</t>
  </si>
  <si>
    <t>CM CYTD
Actual
(01 - 01) 
(2019)</t>
  </si>
  <si>
    <t>Variance
(01)
(2018vs2019)</t>
  </si>
  <si>
    <t>CM PY
Actual
(01/2018)</t>
  </si>
  <si>
    <t>CM CY
Actual
(01/2019)</t>
  </si>
  <si>
    <t>Variance
(01 - 01) 
(2019)</t>
  </si>
  <si>
    <t>CM YTD
Plan
(01 - 01) 
(2019)</t>
  </si>
  <si>
    <t>CM YTD
Actual
(01 - 01) 
(2019)</t>
  </si>
  <si>
    <t>Variance
(01/2019)</t>
  </si>
  <si>
    <t>CM
Plan
(01/2019)</t>
  </si>
  <si>
    <t>CM
Actual
(01/2019)</t>
  </si>
  <si>
    <t>Part-time #</t>
  </si>
  <si>
    <t>Full-time</t>
  </si>
  <si>
    <t>Employee</t>
  </si>
  <si>
    <t>01/18/2019</t>
  </si>
  <si>
    <t>02/01/2019</t>
  </si>
  <si>
    <t>02/15/2019</t>
  </si>
  <si>
    <t>03/01/2019</t>
  </si>
  <si>
    <t>03/15/2019</t>
  </si>
  <si>
    <t>03/29/2019</t>
  </si>
  <si>
    <t>04/12/2019</t>
  </si>
  <si>
    <t>04/26/2019</t>
  </si>
  <si>
    <t>05/10/2019</t>
  </si>
  <si>
    <t>05/24/2019</t>
  </si>
  <si>
    <t>06/07/2019</t>
  </si>
  <si>
    <t>06/21/2019</t>
  </si>
  <si>
    <t>07/05/2019</t>
  </si>
  <si>
    <t>07/19/2019</t>
  </si>
  <si>
    <t>08/02/2019</t>
  </si>
  <si>
    <t>08/16/2019</t>
  </si>
  <si>
    <t>08/30/2019</t>
  </si>
  <si>
    <t>09/13/2019</t>
  </si>
  <si>
    <t>09/27/2019</t>
  </si>
  <si>
    <t>10/11/2019</t>
  </si>
  <si>
    <t>10/25/2019</t>
  </si>
  <si>
    <t>11/08/2019</t>
  </si>
  <si>
    <t>11/22/2019</t>
  </si>
  <si>
    <t>12/06/2019</t>
  </si>
  <si>
    <t>12/20/2019</t>
  </si>
  <si>
    <t>Average</t>
  </si>
  <si>
    <t>Source is provided by Eric Petrichevich</t>
  </si>
  <si>
    <t xml:space="preserve">EMPLOYEES PAID </t>
  </si>
  <si>
    <t>Total Employees</t>
  </si>
  <si>
    <t>Part-time</t>
  </si>
  <si>
    <t>AVERAGE</t>
  </si>
  <si>
    <t>Period Ending</t>
  </si>
  <si>
    <t>Pay Date</t>
  </si>
  <si>
    <t xml:space="preserve">Part-time </t>
  </si>
  <si>
    <t>01/03/2020</t>
  </si>
  <si>
    <t>01/11/2020</t>
  </si>
  <si>
    <t>01/17/2020</t>
  </si>
  <si>
    <t>01/25/2020</t>
  </si>
  <si>
    <t>01/31/2020</t>
  </si>
  <si>
    <t>02/08/2020</t>
  </si>
  <si>
    <t>02/14/2020</t>
  </si>
  <si>
    <t>02/22/2020</t>
  </si>
  <si>
    <t>02/28/2020</t>
  </si>
  <si>
    <t>03/07/2020</t>
  </si>
  <si>
    <t>03/13/2020</t>
  </si>
  <si>
    <t>03/21/2020</t>
  </si>
  <si>
    <t>03/27/2020</t>
  </si>
  <si>
    <t>04/04/2020</t>
  </si>
  <si>
    <t>04/09/2020</t>
  </si>
  <si>
    <t>04/18/2020</t>
  </si>
  <si>
    <t>04/24/2020</t>
  </si>
  <si>
    <t>05/02/2020</t>
  </si>
  <si>
    <t>05/08/2020</t>
  </si>
  <si>
    <t>05/16/2020</t>
  </si>
  <si>
    <t>05/22/2020</t>
  </si>
  <si>
    <t>05/30/2020</t>
  </si>
  <si>
    <t>06/05/2020</t>
  </si>
  <si>
    <t>06/13/2020</t>
  </si>
  <si>
    <t>06/19/2020</t>
  </si>
  <si>
    <t>06/27/2020</t>
  </si>
  <si>
    <t>07/02/2020</t>
  </si>
  <si>
    <t>07/11/2020</t>
  </si>
  <si>
    <t>07/17/2020</t>
  </si>
  <si>
    <t>07/25/2020</t>
  </si>
  <si>
    <t>07/31/2020</t>
  </si>
  <si>
    <t>08/08/2020</t>
  </si>
  <si>
    <t>08/14/2020</t>
  </si>
  <si>
    <t>08/22/2020</t>
  </si>
  <si>
    <t>08/28/2020</t>
  </si>
  <si>
    <t>09/05/2020</t>
  </si>
  <si>
    <t>09/11/2020</t>
  </si>
  <si>
    <t>09/19/2020</t>
  </si>
  <si>
    <t>09/25/2020</t>
  </si>
  <si>
    <t>10/03/2020</t>
  </si>
  <si>
    <t>10/09/2020</t>
  </si>
  <si>
    <t>10/17/2020</t>
  </si>
  <si>
    <t>10/23/2020</t>
  </si>
  <si>
    <t>10/31/2020</t>
  </si>
  <si>
    <t>11/06/2020</t>
  </si>
  <si>
    <t>11/14/2020</t>
  </si>
  <si>
    <t>11/20/2020</t>
  </si>
  <si>
    <t>11/28/2020</t>
  </si>
  <si>
    <t>12/04/2020</t>
  </si>
  <si>
    <t>12/12/2020</t>
  </si>
  <si>
    <t>12/18/2020</t>
  </si>
  <si>
    <t>12/26/2020</t>
  </si>
  <si>
    <t>12/31/2020</t>
  </si>
  <si>
    <t>Total:</t>
  </si>
  <si>
    <t>Original Transaction Amount</t>
  </si>
  <si>
    <t>2017</t>
  </si>
  <si>
    <t>2018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</si>
  <si>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</si>
  <si>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</si>
  <si>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</si>
  <si>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</si>
  <si>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</si>
  <si>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</si>
  <si>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</si>
  <si>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</si>
  <si>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</si>
  <si>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</si>
  <si>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</si>
  <si>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</si>
  <si>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175301000000000</t>
  </si>
  <si>
    <t xml:space="preserve">WELLS &amp; GATHERING PAYROLL                      </t>
  </si>
  <si>
    <t>175401000000000</t>
  </si>
  <si>
    <t xml:space="preserve">COMPRESSOR STATION PAYROLL                     </t>
  </si>
  <si>
    <t>176501000000000</t>
  </si>
  <si>
    <t xml:space="preserve">MNT COMPRESSOR STATION PAYROLL                 </t>
  </si>
  <si>
    <t>181601000000000</t>
  </si>
  <si>
    <t xml:space="preserve">CM WELLS EXPENSES - PAYROLL                    </t>
  </si>
  <si>
    <t>181801000000000</t>
  </si>
  <si>
    <t xml:space="preserve">CM COMPRESSOR STATION EXPENSES - PAYROLL       </t>
  </si>
  <si>
    <t>183401000000000</t>
  </si>
  <si>
    <t xml:space="preserve">CM MAINT OF COMPRESSOR STAT EQUIP - PAYROLL    </t>
  </si>
  <si>
    <t>183801000000000</t>
  </si>
  <si>
    <t xml:space="preserve">CM MAINT OF DEW POINT CONTROL UNIT - PAYROLL   </t>
  </si>
  <si>
    <t>188701000000000</t>
  </si>
  <si>
    <t xml:space="preserve">MNT TRANS &amp; DIST MAINS PAYROLL                 </t>
  </si>
  <si>
    <t>189301000000000</t>
  </si>
  <si>
    <t xml:space="preserve">MNT OF METERS &amp; REG PAYROLL                    </t>
  </si>
  <si>
    <t>189801000000000</t>
  </si>
  <si>
    <t xml:space="preserve">MNT - TRANSP EQUIP EXPENSE-PAYROLL             </t>
  </si>
  <si>
    <t>190001000000000</t>
  </si>
  <si>
    <t xml:space="preserve">TRANS &amp; DIST. PAYROLL                          </t>
  </si>
  <si>
    <t>190301000000000</t>
  </si>
  <si>
    <t xml:space="preserve">CASHERING PAYROLL                              </t>
  </si>
  <si>
    <t>192001000000000</t>
  </si>
  <si>
    <t xml:space="preserve">ADMINISTRATIVE PAYROLL                         </t>
  </si>
  <si>
    <t>192601000000000</t>
  </si>
  <si>
    <t xml:space="preserve">TIME OFF PAYROLL                               </t>
  </si>
  <si>
    <t>183201000000000</t>
  </si>
  <si>
    <t xml:space="preserve">CM MAINT OF RESERVOIRS AND WELLS - PAYROLL     </t>
  </si>
  <si>
    <t>189401000000000</t>
  </si>
  <si>
    <t xml:space="preserve">MNT OF OTHER EQUIPMENT PAYROLL                 </t>
  </si>
  <si>
    <t>176401000000000</t>
  </si>
  <si>
    <t xml:space="preserve">MNT WELLS &amp; GATHERING PAYROLL                  </t>
  </si>
  <si>
    <t>183501000000000</t>
  </si>
  <si>
    <t xml:space="preserve">CM MAINT OF MEAS &amp; REG STAT EQUIP - PAYROLL    </t>
  </si>
  <si>
    <t>Budget</t>
  </si>
  <si>
    <t>Favorable (Unfavorable) to Budget</t>
  </si>
  <si>
    <t># of Employees Budgeted (full time)</t>
  </si>
  <si>
    <t xml:space="preserve">Notes:  </t>
  </si>
  <si>
    <t>Ran acutal from Cognos General Ledger/CFO Analysis/ Labor by Month</t>
  </si>
  <si>
    <t>Input Budget from AS/400 budget system screen shots, tied fiscal 2018 to budget payroll worksheet</t>
  </si>
  <si>
    <t># employees---Counted from employee lists in Glenn's Organiztion book</t>
  </si>
  <si>
    <t>Source is provided by Eric Petrichevich (SAP BW report)</t>
  </si>
  <si>
    <t>Source is provided by John Brown</t>
  </si>
  <si>
    <t>CM
Actual
(01/2018)</t>
  </si>
  <si>
    <t>CM
Plan
(01/2018)</t>
  </si>
  <si>
    <t>Variance
(01/2018)</t>
  </si>
  <si>
    <t>CM YTD
Actual
(01 - 01) 
(2018)</t>
  </si>
  <si>
    <t>CM YTD
Plan
(01 - 01) 
(2018)</t>
  </si>
  <si>
    <t>Variance
(01 - 01) 
(2018)</t>
  </si>
  <si>
    <t>Annual
Plan
(2018)</t>
  </si>
  <si>
    <t>CM CY
Actual
(01/2018)</t>
  </si>
  <si>
    <t>CM PY
Actual
(01/2017)</t>
  </si>
  <si>
    <t>Variance
(01)
(2017vs2018)</t>
  </si>
  <si>
    <t>CM CYTD
Actual
(01 - 01) 
(2018)</t>
  </si>
  <si>
    <t>CM PYTD
Actual
(01 - 01) 
(2017)</t>
  </si>
  <si>
    <t>Variance
(01-01) 
(2017vs2018)</t>
  </si>
  <si>
    <t>CM
Actual
(02/2018)</t>
  </si>
  <si>
    <t>CM
Plan
(02/2018)</t>
  </si>
  <si>
    <t>Variance
(02/2018)</t>
  </si>
  <si>
    <t>CM YTD
Actual
(01 - 02) 
(2018)</t>
  </si>
  <si>
    <t>CM YTD
Plan
(01 - 02) 
(2018)</t>
  </si>
  <si>
    <t>Variance
(01 - 02) 
(2018)</t>
  </si>
  <si>
    <t>CM CY
Actual
(02/2018)</t>
  </si>
  <si>
    <t>CM PY
Actual
(02/2017)</t>
  </si>
  <si>
    <t>Variance
(02)
(2017vs2018)</t>
  </si>
  <si>
    <t>CM CYTD
Actual
(01 - 02) 
(2018)</t>
  </si>
  <si>
    <t>CM PYTD
Actual
(01 - 02) 
(2017)</t>
  </si>
  <si>
    <t>Variance
(01-02) 
(2017vs2018)</t>
  </si>
  <si>
    <t>CM
Actual
(03/2018)</t>
  </si>
  <si>
    <t>CM
Plan
(03/2018)</t>
  </si>
  <si>
    <t>Variance
(03/2018)</t>
  </si>
  <si>
    <t>CM YTD
Actual
(01 - 03) 
(2018)</t>
  </si>
  <si>
    <t>CM YTD
Plan
(01 - 03) 
(2018)</t>
  </si>
  <si>
    <t>Variance
(01 - 03) 
(2018)</t>
  </si>
  <si>
    <t>CM CY
Actual
(03/2018)</t>
  </si>
  <si>
    <t>CM PY
Actual
(03/2017)</t>
  </si>
  <si>
    <t>Variance
(03)
(2017vs2018)</t>
  </si>
  <si>
    <t>CM CYTD
Actual
(01 - 03) 
(2018)</t>
  </si>
  <si>
    <t>CM PYTD
Actual
(01 - 03) 
(2017)</t>
  </si>
  <si>
    <t>Variance
(01-03) 
(2017vs2018)</t>
  </si>
  <si>
    <t>CM
Actual
(04/2018)</t>
  </si>
  <si>
    <t>CM
Plan
(04/2018)</t>
  </si>
  <si>
    <t>Variance
(04/2018)</t>
  </si>
  <si>
    <t>CM YTD
Actual
(01 - 04) 
(2018)</t>
  </si>
  <si>
    <t>CM YTD
Plan
(01 - 04) 
(2018)</t>
  </si>
  <si>
    <t>Variance
(01 - 04) 
(2018)</t>
  </si>
  <si>
    <t>CM CY
Actual
(04/2018)</t>
  </si>
  <si>
    <t>CM PY
Actual
(04/2017)</t>
  </si>
  <si>
    <t>Variance
(04)
(2017vs2018)</t>
  </si>
  <si>
    <t>CM CYTD
Actual
(01 - 04) 
(2018)</t>
  </si>
  <si>
    <t>CM PYTD
Actual
(01 - 04) 
(2017)</t>
  </si>
  <si>
    <t>Variance
(01-04) 
(2017vs2018)</t>
  </si>
  <si>
    <t>CM
Actual
(05/2018)</t>
  </si>
  <si>
    <t>CM
Plan
(05/2018)</t>
  </si>
  <si>
    <t>Variance
(05/2018)</t>
  </si>
  <si>
    <t>CM YTD
Actual
(01 - 05) 
(2018)</t>
  </si>
  <si>
    <t>CM YTD
Plan
(01 - 05) 
(2018)</t>
  </si>
  <si>
    <t>Variance
(01 - 05) 
(2018)</t>
  </si>
  <si>
    <t>CM CY
Actual
(05/2018)</t>
  </si>
  <si>
    <t>CM PY
Actual
(05/2017)</t>
  </si>
  <si>
    <t>Variance
(05)
(2017vs2018)</t>
  </si>
  <si>
    <t>CM CYTD
Actual
(01 - 05) 
(2018)</t>
  </si>
  <si>
    <t>CM PYTD
Actual
(01 - 05) 
(2017)</t>
  </si>
  <si>
    <t>Variance
(01-05) 
(2017vs2018)</t>
  </si>
  <si>
    <t>CM
Actual
(06/2018)</t>
  </si>
  <si>
    <t>CM
Plan
(06/2018)</t>
  </si>
  <si>
    <t>Variance
(06/2018)</t>
  </si>
  <si>
    <t>CM YTD
Actual
(01 - 06) 
(2018)</t>
  </si>
  <si>
    <t>CM YTD
Plan
(01 - 06) 
(2018)</t>
  </si>
  <si>
    <t>Variance
(01 - 06) 
(2018)</t>
  </si>
  <si>
    <t>CM CY
Actual
(06/2018)</t>
  </si>
  <si>
    <t>CM PY
Actual
(06/2017)</t>
  </si>
  <si>
    <t>Variance
(06)
(2017vs2018)</t>
  </si>
  <si>
    <t>CM CYTD
Actual
(01 - 06) 
(2018)</t>
  </si>
  <si>
    <t>CM PYTD
Actual
(01 - 06) 
(2017)</t>
  </si>
  <si>
    <t>Variance
(01-06) 
(2017vs2018)</t>
  </si>
  <si>
    <t>CM
Actual
(07/2018)</t>
  </si>
  <si>
    <t>CM
Plan
(07/2018)</t>
  </si>
  <si>
    <t>Variance
(07/2018)</t>
  </si>
  <si>
    <t>CM YTD
Actual
(01 - 07) 
(2018)</t>
  </si>
  <si>
    <t>CM YTD
Plan
(01 - 07) 
(2018)</t>
  </si>
  <si>
    <t>Variance
(01 - 07) 
(2018)</t>
  </si>
  <si>
    <t>CM CY
Actual
(07/2018)</t>
  </si>
  <si>
    <t>CM PY
Actual
(07/2017)</t>
  </si>
  <si>
    <t>Variance
(07)
(2017vs2018)</t>
  </si>
  <si>
    <t>CM CYTD
Actual
(01 - 07) 
(2018)</t>
  </si>
  <si>
    <t>CM PYTD
Actual
(01 - 07) 
(2017)</t>
  </si>
  <si>
    <t>Variance
(01-07) 
(2017vs2018)</t>
  </si>
  <si>
    <t>CM
Actual
(08/2018)</t>
  </si>
  <si>
    <t>CM
Plan
(08/2018)</t>
  </si>
  <si>
    <t>Variance
(08/2018)</t>
  </si>
  <si>
    <t>CM YTD
Actual
(01 - 08) 
(2018)</t>
  </si>
  <si>
    <t>CM YTD
Plan
(01 - 08) 
(2018)</t>
  </si>
  <si>
    <t>Variance
(01 - 08) 
(2018)</t>
  </si>
  <si>
    <t>CM CY
Actual
(08/2018)</t>
  </si>
  <si>
    <t>CM PY
Actual
(08/2017)</t>
  </si>
  <si>
    <t>Variance
(08)
(2017vs2018)</t>
  </si>
  <si>
    <t>CM CYTD
Actual
(01 - 08) 
(2018)</t>
  </si>
  <si>
    <t>CM PYTD
Actual
(01 - 08) 
(2017)</t>
  </si>
  <si>
    <t>Variance
(01-08) 
(2017vs2018)</t>
  </si>
  <si>
    <t>CM
Actual
(09/2018)</t>
  </si>
  <si>
    <t>CM
Plan
(09/2018)</t>
  </si>
  <si>
    <t>Variance
(09/2018)</t>
  </si>
  <si>
    <t>CM YTD
Actual
(01 - 09) 
(2018)</t>
  </si>
  <si>
    <t>CM YTD
Plan
(01 - 09) 
(2018)</t>
  </si>
  <si>
    <t>Variance
(01 - 09) 
(2018)</t>
  </si>
  <si>
    <t>CM CY
Actual
(09/2018)</t>
  </si>
  <si>
    <t>CM PY
Actual
(09/2017)</t>
  </si>
  <si>
    <t>Variance
(09)
(2017vs2018)</t>
  </si>
  <si>
    <t>CM CYTD
Actual
(01 - 09) 
(2018)</t>
  </si>
  <si>
    <t>CM PYTD
Actual
(01 - 09) 
(2017)</t>
  </si>
  <si>
    <t>Variance
(01-09) 
(2017vs2018)</t>
  </si>
  <si>
    <t>CM
Actual
(10/2018)</t>
  </si>
  <si>
    <t>CM
Plan
(10/2018)</t>
  </si>
  <si>
    <t>Variance
(10/2018)</t>
  </si>
  <si>
    <t>CM YTD
Actual
(01 - 10) 
(2018)</t>
  </si>
  <si>
    <t>CM YTD
Plan
(01 - 10) 
(2018)</t>
  </si>
  <si>
    <t>Variance
(01 - 10) 
(2018)</t>
  </si>
  <si>
    <t>CM CY
Actual
(10/2018)</t>
  </si>
  <si>
    <t>CM PY
Actual
(10/2017)</t>
  </si>
  <si>
    <t>Variance
(10)
(2017vs2018)</t>
  </si>
  <si>
    <t>CM CYTD
Actual
(01 - 10) 
(2018)</t>
  </si>
  <si>
    <t>CM PYTD
Actual
(01 - 10) 
(2017)</t>
  </si>
  <si>
    <t>Variance
(01-10) 
(2017vs2018)</t>
  </si>
  <si>
    <t>CM
Actual
(11/2018)</t>
  </si>
  <si>
    <t>CM
Plan
(11/2018)</t>
  </si>
  <si>
    <t>Variance
(11/2018)</t>
  </si>
  <si>
    <t>CM YTD
Actual
(01 - 11) 
(2018)</t>
  </si>
  <si>
    <t>CM YTD
Plan
(01 - 11) 
(2018)</t>
  </si>
  <si>
    <t>Variance
(01 - 11) 
(2018)</t>
  </si>
  <si>
    <t>CM CY
Actual
(11/2018)</t>
  </si>
  <si>
    <t>CM PY
Actual
(11/2017)</t>
  </si>
  <si>
    <t>Variance
(11)
(2017vs2018)</t>
  </si>
  <si>
    <t>CM CYTD
Actual
(01 - 11) 
(2018)</t>
  </si>
  <si>
    <t>CM PYTD
Actual
(01 - 11) 
(2017)</t>
  </si>
  <si>
    <t>Variance
(01-11) 
(2017vs2018)</t>
  </si>
  <si>
    <t>CM
Actual
(12/2018)</t>
  </si>
  <si>
    <t>CM
Plan
(12/2018)</t>
  </si>
  <si>
    <t>Variance
(12/2018)</t>
  </si>
  <si>
    <t>CM YTD
Actual
(01 - 12) 
(2018)</t>
  </si>
  <si>
    <t>CM YTD
Plan
(01 - 12) 
(2018)</t>
  </si>
  <si>
    <t>Variance
(01 - 12) 
(2018)</t>
  </si>
  <si>
    <t>CM CY
Actual
(12/2018)</t>
  </si>
  <si>
    <t>CM PY
Actual
(12/2017)</t>
  </si>
  <si>
    <t>Variance
(12)
(2017vs2018)</t>
  </si>
  <si>
    <t>CM CYTD
Actual
(01 - 12) 
(2018)</t>
  </si>
  <si>
    <t>CM PYTD
Actual
(01 - 12) 
(2017)</t>
  </si>
  <si>
    <t>Variance
(01-12) 
(2017vs2018)</t>
  </si>
  <si>
    <t>Source is provided by Eric Petrichevich (SAP BW report).  Use Acutal amount column to report schedule J.   Refer page1_1 for Budget which is provided by John Brown.</t>
  </si>
  <si>
    <t>As of August 31,2021</t>
  </si>
  <si>
    <t>Part time</t>
  </si>
  <si>
    <t>* Total Operating Expenses</t>
  </si>
  <si>
    <t>Other (Income)/Expenses</t>
  </si>
  <si>
    <t>Other Taxes</t>
  </si>
  <si>
    <t>* Total O&amp;M Non Labor Expenses</t>
  </si>
  <si>
    <t>Service Company Billings/Intercompany</t>
  </si>
  <si>
    <t>Uncollectable Accounts</t>
  </si>
  <si>
    <t>Miscellaneous</t>
  </si>
  <si>
    <t>Vehicle/Fleet</t>
  </si>
  <si>
    <t>G&amp;A Surcharge</t>
  </si>
  <si>
    <t>Utilities</t>
  </si>
  <si>
    <t>Permits &amp; Fees</t>
  </si>
  <si>
    <t>Rent Expense</t>
  </si>
  <si>
    <t>Royalty Expenses</t>
  </si>
  <si>
    <t>Dues &amp; Subscriptions</t>
  </si>
  <si>
    <t>Injuries, Damage &amp; Insurance</t>
  </si>
  <si>
    <t>Gas &amp; Other Energy Used</t>
  </si>
  <si>
    <t>Materials &amp; Supplies Expense</t>
  </si>
  <si>
    <t>Outside Services</t>
  </si>
  <si>
    <t>Travel &amp; Entertainment</t>
  </si>
  <si>
    <t>Other Employee Related Expenses</t>
  </si>
  <si>
    <t>Total 2021</t>
  </si>
  <si>
    <t>012/2021
Plan</t>
  </si>
  <si>
    <t>011/2021
Plan</t>
  </si>
  <si>
    <t>010/2021
Plan</t>
  </si>
  <si>
    <t>009/2021
Plan</t>
  </si>
  <si>
    <t>008/2021
Plan</t>
  </si>
  <si>
    <t>007/2021
Plan</t>
  </si>
  <si>
    <t>006/2021
Plan</t>
  </si>
  <si>
    <t>005/2021
Plan</t>
  </si>
  <si>
    <t>004/2021
Plan</t>
  </si>
  <si>
    <t>003/2021
Plan</t>
  </si>
  <si>
    <t>002/2021
Plan</t>
  </si>
  <si>
    <t>001/2021
Planned</t>
  </si>
  <si>
    <t>Number of Employees</t>
  </si>
  <si>
    <t xml:space="preserve">G:\Peoples_Plans_Budgets\Budgets\2021 Budgets\Expense\O&amp;M Reports\Staffing\Staffing Variance\ </t>
  </si>
  <si>
    <t>See monthly staffing variance file.</t>
  </si>
  <si>
    <t>Budgeted # of employees for 2021</t>
  </si>
  <si>
    <t>For Delta</t>
  </si>
  <si>
    <t xml:space="preserve">For Ketucky </t>
  </si>
  <si>
    <t xml:space="preserve">Total </t>
  </si>
  <si>
    <t>As of December 31,2022</t>
  </si>
  <si>
    <t>Info is provided by Donna StonekIng</t>
  </si>
  <si>
    <t xml:space="preserve">Monthly </t>
  </si>
  <si>
    <t xml:space="preserve">Excerpt:  employee listing.  Due to the data has salary info, I did not attach the listing. </t>
  </si>
  <si>
    <t># of employess</t>
  </si>
  <si>
    <t>Buget HC</t>
  </si>
  <si>
    <t>Source provided by Eric Petrichevich</t>
  </si>
  <si>
    <t>Delta</t>
  </si>
  <si>
    <t>KY</t>
  </si>
  <si>
    <t xml:space="preserve">2020 budget </t>
  </si>
  <si>
    <t xml:space="preserve">monthly </t>
  </si>
  <si>
    <t># of Employees Budgeted -KY</t>
  </si>
  <si>
    <t># of Employees Budgeted -KY (Not included in the Delta Budget).  Due to rate case, we manually added the KY Plan headcount.</t>
  </si>
  <si>
    <t>FTE</t>
  </si>
  <si>
    <t>Source for HC 2018-2021: From Donna Stoneking</t>
  </si>
  <si>
    <t>KY (FTE)</t>
  </si>
  <si>
    <t>Total FTE</t>
  </si>
  <si>
    <t>Screen shot A:</t>
  </si>
  <si>
    <t>Screen shot B:</t>
  </si>
  <si>
    <t xml:space="preserve">Number of Part-Time Employees </t>
  </si>
  <si>
    <t>Number of Full-Time Employees</t>
  </si>
  <si>
    <t>As of December 31,2018</t>
  </si>
  <si>
    <t>Buget</t>
  </si>
  <si>
    <t>Est. monthly PT</t>
  </si>
  <si>
    <t>Part-Time employee</t>
  </si>
  <si>
    <t xml:space="preserve">Total HC </t>
  </si>
  <si>
    <t>PT</t>
  </si>
  <si>
    <t xml:space="preserve">Note: </t>
  </si>
  <si>
    <t>Forecasted Test Period</t>
  </si>
  <si>
    <t>(A)</t>
  </si>
  <si>
    <t>The last pay period of each month was used for the actual employee headcount number.</t>
  </si>
  <si>
    <t>(B)</t>
  </si>
  <si>
    <t>(C)</t>
  </si>
  <si>
    <t xml:space="preserve">Overtime is a function of unexpected emergencies/ projects and is difficult to accurately predict.  </t>
  </si>
  <si>
    <t>Actual Period Total</t>
  </si>
  <si>
    <t xml:space="preserve">Capitalized </t>
  </si>
  <si>
    <t>Capitalized Labor (Annual)</t>
  </si>
  <si>
    <t>Per pay period</t>
  </si>
  <si>
    <t>July-2018-June 2019</t>
  </si>
  <si>
    <t>Total Pay periods  (Jan- Jun 2019)</t>
  </si>
  <si>
    <t xml:space="preserve">Estimated overtime </t>
  </si>
  <si>
    <t>Expensed</t>
  </si>
  <si>
    <t>Note: 2 pay periods per month in 2018</t>
  </si>
  <si>
    <t>Reg. (Delta)</t>
  </si>
  <si>
    <t>OT (Delta)</t>
  </si>
  <si>
    <t>OT (PNG-KY)</t>
  </si>
  <si>
    <t>Reg.(PNG-KY)</t>
  </si>
  <si>
    <t>Budgeted (Delta)</t>
  </si>
  <si>
    <t>Actual(Delta)</t>
  </si>
  <si>
    <t>Budgeted (PNG-KY)</t>
  </si>
  <si>
    <t>Actual(PNG-KY)</t>
  </si>
  <si>
    <t>Est. PT (Expensed)</t>
  </si>
  <si>
    <r>
      <t xml:space="preserve">Total Pay periods  </t>
    </r>
    <r>
      <rPr>
        <b/>
        <sz val="11"/>
        <color indexed="8"/>
        <rFont val="Calibri"/>
        <family val="2"/>
      </rPr>
      <t>(Jul- Dec 2018)</t>
    </r>
  </si>
  <si>
    <t>2019 Payroll Schedule</t>
  </si>
  <si>
    <t xml:space="preserve">XWK - Delta </t>
  </si>
  <si>
    <t>Period</t>
  </si>
  <si>
    <t>Pay Period Beginning Sunday</t>
  </si>
  <si>
    <t>Pay Period Ending Saturday</t>
  </si>
  <si>
    <t>Time Entry Deadline on Monday at 1:00 PM</t>
  </si>
  <si>
    <t>Pay period/month</t>
  </si>
  <si>
    <t>Est. Overtime (Expensed)</t>
  </si>
  <si>
    <t>Est. Overtime (Cap.)</t>
  </si>
  <si>
    <t>Est. monthly OT ( 2 pay periods per month) (Jul-Dec 2018</t>
  </si>
  <si>
    <t>Per pay period in fiscal 2019</t>
  </si>
  <si>
    <t xml:space="preserve">900K Capital included Overtime </t>
  </si>
  <si>
    <t>Part-time employess (Expensed)</t>
  </si>
  <si>
    <t xml:space="preserve">Total Pay Periods </t>
  </si>
  <si>
    <t>Per Pay Period</t>
  </si>
  <si>
    <t xml:space="preserve">Overtime was higher than budget.  Overtime is a function of unexpected emergencies/ projects and is difficult to accurately predict.  </t>
  </si>
  <si>
    <r>
      <t xml:space="preserve">Monthly Budget - </t>
    </r>
    <r>
      <rPr>
        <sz val="11"/>
        <color indexed="10"/>
        <rFont val="Calibri"/>
        <family val="2"/>
      </rPr>
      <t xml:space="preserve">Expensed </t>
    </r>
  </si>
  <si>
    <r>
      <t xml:space="preserve">Monthly Budget - </t>
    </r>
    <r>
      <rPr>
        <sz val="11"/>
        <color indexed="10"/>
        <rFont val="Calibri"/>
        <family val="2"/>
      </rPr>
      <t>Capitalized</t>
    </r>
  </si>
  <si>
    <t>Phase 2:</t>
  </si>
  <si>
    <t xml:space="preserve">Monthly Budget -- Expensed </t>
  </si>
  <si>
    <t>Est. PT  per pay period</t>
  </si>
  <si>
    <t>Filter</t>
  </si>
  <si>
    <t>Table</t>
  </si>
  <si>
    <t>Business area</t>
  </si>
  <si>
    <t>Cost Element</t>
  </si>
  <si>
    <t>001/2019
Planned</t>
  </si>
  <si>
    <t>002/2019
Plan</t>
  </si>
  <si>
    <t>003/2019
Plan</t>
  </si>
  <si>
    <t>004/2019
Plan</t>
  </si>
  <si>
    <t>005/2019
Plan</t>
  </si>
  <si>
    <t>006/2019
Plan</t>
  </si>
  <si>
    <t>007/2019
Plan</t>
  </si>
  <si>
    <t>008/2019
Plan</t>
  </si>
  <si>
    <t>009/2019
Plan</t>
  </si>
  <si>
    <t>010/2019
Plan</t>
  </si>
  <si>
    <t>011/2019
Plan</t>
  </si>
  <si>
    <t>012/2019
Plan</t>
  </si>
  <si>
    <t>Total 2019</t>
  </si>
  <si>
    <t>CO Doc. Line Item</t>
  </si>
  <si>
    <t>5300110</t>
  </si>
  <si>
    <t>Sal-ST Wages</t>
  </si>
  <si>
    <t>CO Document Number</t>
  </si>
  <si>
    <t>5300111</t>
  </si>
  <si>
    <t>Sal-ST Wages -2200</t>
  </si>
  <si>
    <t>Company Code</t>
  </si>
  <si>
    <t>1300 PEOPLES GAS KY LLC</t>
  </si>
  <si>
    <t>5300120</t>
  </si>
  <si>
    <t>Sal-OT Wages</t>
  </si>
  <si>
    <t>Cost Center</t>
  </si>
  <si>
    <t>5300121</t>
  </si>
  <si>
    <t>Sal-OT Wages -2200</t>
  </si>
  <si>
    <t xml:space="preserve">5300110 ..5300281 </t>
  </si>
  <si>
    <t>5300130</t>
  </si>
  <si>
    <t>Sal-Supplement Pay</t>
  </si>
  <si>
    <t>Document Header Text</t>
  </si>
  <si>
    <t>5300150</t>
  </si>
  <si>
    <t>Sal-Vacation Accrual</t>
  </si>
  <si>
    <t>Fiscal year/period</t>
  </si>
  <si>
    <t>5300151</t>
  </si>
  <si>
    <t>Sal-VacaAccr 2200</t>
  </si>
  <si>
    <t>Fiscal year</t>
  </si>
  <si>
    <t>5300171</t>
  </si>
  <si>
    <t>Sal-Inc/Bonus 2200</t>
  </si>
  <si>
    <t>G/L Account</t>
  </si>
  <si>
    <t>5300180</t>
  </si>
  <si>
    <t>Sal-Annual Incen</t>
  </si>
  <si>
    <t>Key Figures</t>
  </si>
  <si>
    <t>,001/2019_x000D_
Planned,001/2019_x000D_
Actual,002/2019_x000D_
Plan,002/2019_x000D_
Actual,003/2019_x000D_
Plan,003/2019_x000D_
Actual,004/2019_x000D_
Plan...</t>
  </si>
  <si>
    <t>5300181</t>
  </si>
  <si>
    <t>Sal-Ann Incen -2200</t>
  </si>
  <si>
    <t>Partner object</t>
  </si>
  <si>
    <t>5300211</t>
  </si>
  <si>
    <t>Hrly-ST Wages - 2200</t>
  </si>
  <si>
    <t>Plant</t>
  </si>
  <si>
    <t>5300221</t>
  </si>
  <si>
    <t>Hrly-OT Wages - 2200</t>
  </si>
  <si>
    <t>Posting period</t>
  </si>
  <si>
    <t>5300251</t>
  </si>
  <si>
    <t>Hrly-Vaca Accr 2200</t>
  </si>
  <si>
    <t>Purchasing document</t>
  </si>
  <si>
    <t>5300270</t>
  </si>
  <si>
    <t>Hrly-Incentive/Bonus</t>
  </si>
  <si>
    <t>Sender/receiver</t>
  </si>
  <si>
    <t>5300271</t>
  </si>
  <si>
    <t>Hrly-Inc/Bonus 2200</t>
  </si>
  <si>
    <t>Struct.</t>
  </si>
  <si>
    <t>5300280</t>
  </si>
  <si>
    <t>Hrly-Annual Ince</t>
  </si>
  <si>
    <t>Text of CO Document</t>
  </si>
  <si>
    <t>5300281</t>
  </si>
  <si>
    <t>Hrly-Ann Ince 2200</t>
  </si>
  <si>
    <t>Value type</t>
  </si>
  <si>
    <t>Vendor</t>
  </si>
  <si>
    <t>Version</t>
  </si>
  <si>
    <t>Revised 2019 Budget - Provided by John Brown on 07/22/2021</t>
  </si>
  <si>
    <r>
      <t xml:space="preserve">Monthly Budget - </t>
    </r>
    <r>
      <rPr>
        <sz val="11"/>
        <rFont val="Calibri"/>
        <family val="2"/>
      </rPr>
      <t>Capitalized</t>
    </r>
  </si>
  <si>
    <t>$1,316,900 included OT.  That's why we need to exclude the OT.</t>
  </si>
  <si>
    <t>Expensed Labor (Annual)</t>
  </si>
  <si>
    <t xml:space="preserve">-Overtime </t>
  </si>
  <si>
    <t>-PT</t>
  </si>
  <si>
    <t xml:space="preserve">Monthly  Salary </t>
  </si>
  <si>
    <t>-capital</t>
  </si>
  <si>
    <t>Per Pay</t>
  </si>
  <si>
    <t>DO NOT PRINT BELOW</t>
  </si>
  <si>
    <t>Agree to the grand total.</t>
  </si>
  <si>
    <t>Agree to Field Capital Payroll</t>
  </si>
  <si>
    <t>Agree to Delta + PKY total Budget</t>
  </si>
  <si>
    <t>Agree to PKY budget</t>
  </si>
  <si>
    <t>Agree to Delta budget and back off the "field capital payroll"</t>
  </si>
  <si>
    <t>Salaries as of</t>
  </si>
  <si>
    <t>Projected</t>
  </si>
  <si>
    <t>New</t>
  </si>
  <si>
    <t>Estimated</t>
  </si>
  <si>
    <t xml:space="preserve">Call-out </t>
  </si>
  <si>
    <t>DEPARTMENTS</t>
  </si>
  <si>
    <t>06-01-2019</t>
  </si>
  <si>
    <t>Increase</t>
  </si>
  <si>
    <t>Salaries</t>
  </si>
  <si>
    <t>Positions</t>
  </si>
  <si>
    <t>Employees</t>
  </si>
  <si>
    <t>Overtime</t>
  </si>
  <si>
    <t>with OT</t>
  </si>
  <si>
    <t>w/o OT</t>
  </si>
  <si>
    <t>Adm (920.01)</t>
  </si>
  <si>
    <t>j</t>
  </si>
  <si>
    <t>CR (903.01)</t>
  </si>
  <si>
    <t>k</t>
  </si>
  <si>
    <t>Trans &amp; Dist (900.01)</t>
  </si>
  <si>
    <t>l</t>
  </si>
  <si>
    <t>Construction</t>
  </si>
  <si>
    <t>TOTAL w/o Officers</t>
  </si>
  <si>
    <t>Officers (920.01)</t>
  </si>
  <si>
    <t>TOTAL w/officers</t>
  </si>
  <si>
    <t>Rounded</t>
  </si>
  <si>
    <t>YEAR ACTUAL</t>
  </si>
  <si>
    <t>YEAR BUDGET</t>
  </si>
  <si>
    <t>MONTH ACTUAL</t>
  </si>
  <si>
    <t>MONTH BUDGET</t>
  </si>
  <si>
    <t>Field Payroll Exp (900.01)</t>
  </si>
  <si>
    <t>m</t>
  </si>
  <si>
    <t>Field Payroll Capital</t>
  </si>
  <si>
    <t>Field Employees</t>
  </si>
  <si>
    <t>%without OT</t>
  </si>
  <si>
    <t>Bud w/OT</t>
  </si>
  <si>
    <t>from above</t>
  </si>
  <si>
    <t>Expense (75%)</t>
  </si>
  <si>
    <t xml:space="preserve">Construction </t>
  </si>
  <si>
    <t>Capital (25%)</t>
  </si>
  <si>
    <t>2020 Payroll Schedule</t>
  </si>
  <si>
    <t xml:space="preserve">XWK (WK) - Delta Natural Gas </t>
  </si>
  <si>
    <t>Payroll Changes Due</t>
  </si>
  <si>
    <t>Time Entry Deadline on Monday at 11:00 AM</t>
  </si>
  <si>
    <t>Automatic SAP File Transfer at 12:00 AM</t>
  </si>
  <si>
    <t>ADP Processing Date at 11:00 AM</t>
  </si>
  <si>
    <t>3*</t>
  </si>
  <si>
    <t>16*</t>
  </si>
  <si>
    <t>Dates changed due to holiday</t>
  </si>
  <si>
    <t>-overtime</t>
  </si>
  <si>
    <t>O&amp;M Monthly Forecast Report</t>
  </si>
  <si>
    <t>Author</t>
  </si>
  <si>
    <t>JOH1931</t>
  </si>
  <si>
    <t>Status of Data</t>
  </si>
  <si>
    <t>7/21/2021 03:57:45</t>
  </si>
  <si>
    <t>Information</t>
  </si>
  <si>
    <t>Last Refreshed</t>
  </si>
  <si>
    <t>7/21/2021 17:55:47</t>
  </si>
  <si>
    <t>Current User</t>
  </si>
  <si>
    <t>ANG4010</t>
  </si>
  <si>
    <t>Key Date</t>
  </si>
  <si>
    <t>7/21/2021</t>
  </si>
  <si>
    <t>Last Changed by</t>
  </si>
  <si>
    <t>SAM1028</t>
  </si>
  <si>
    <t>Changed At</t>
  </si>
  <si>
    <t>3/23/2021 14:01:26</t>
  </si>
  <si>
    <t>InfoProvider</t>
  </si>
  <si>
    <t>ZCCA_MP01</t>
  </si>
  <si>
    <t>Query Technical Name</t>
  </si>
  <si>
    <t>Z_ZCCA_MP01_Q0026</t>
  </si>
  <si>
    <t>Relevance of Data (Date)</t>
  </si>
  <si>
    <t>Query Description</t>
  </si>
  <si>
    <t>Relevance of Data (Time)</t>
  </si>
  <si>
    <t>03:57:45</t>
  </si>
  <si>
    <t>001/2020
Planned</t>
  </si>
  <si>
    <t>002/2020
Plan</t>
  </si>
  <si>
    <t>003/2020
Plan</t>
  </si>
  <si>
    <t>004/2020
Plan</t>
  </si>
  <si>
    <t>005/2020
Plan</t>
  </si>
  <si>
    <t>006/2020
Plan</t>
  </si>
  <si>
    <t>007/2020
Plan</t>
  </si>
  <si>
    <t>008/2020
Plan</t>
  </si>
  <si>
    <t>009/2020
Plan</t>
  </si>
  <si>
    <t>010/2020
Plan</t>
  </si>
  <si>
    <t>011/2020
Plan</t>
  </si>
  <si>
    <t>012/2020
Plan</t>
  </si>
  <si>
    <t>Total 2020</t>
  </si>
  <si>
    <t>5300162</t>
  </si>
  <si>
    <t>Sal-Sev JE - 2200</t>
  </si>
  <si>
    <t>,001/2020_x000D_
Planned,001/2020_x000D_
Actual,002/2020_x000D_
Plan,002/2020_x000D_
Actual,003/2020_x000D_
Plan,003/2020_x000D_
Actual,004/2020_x000D_
Plan...</t>
  </si>
  <si>
    <t>5300230</t>
  </si>
  <si>
    <t>Hrly-Supplement Pay</t>
  </si>
  <si>
    <t>5300250</t>
  </si>
  <si>
    <t>Hrly-Vacation Accr</t>
  </si>
  <si>
    <t>7/22/2021</t>
  </si>
  <si>
    <t>7/22/2021 04:42:14</t>
  </si>
  <si>
    <t>04:42:14</t>
  </si>
  <si>
    <t>1300 PEOPLES GAS KY LLC, 1600 DELTA NATURAL GAS COMPANY</t>
  </si>
  <si>
    <t>,001/2021_x000D_
Planned,001/2021_x000D_
Actual,002/2021_x000D_
Plan,002/2021_x000D_
Actual,003/2021_x000D_
Plan,003/2021_x000D_
Actual,004/2021_x000D_
Plan...</t>
  </si>
  <si>
    <t>5301010</t>
  </si>
  <si>
    <t>Emp Ben - Medical</t>
  </si>
  <si>
    <t>5301011</t>
  </si>
  <si>
    <t>Emp Ben - MedicalHSA</t>
  </si>
  <si>
    <t>5301020</t>
  </si>
  <si>
    <t>Emp Ben-Dntal/Vision</t>
  </si>
  <si>
    <t>5301030</t>
  </si>
  <si>
    <t>Emp Ben - Life Insur</t>
  </si>
  <si>
    <t>5301040</t>
  </si>
  <si>
    <t>Emp Ben - Disability</t>
  </si>
  <si>
    <t>5301060</t>
  </si>
  <si>
    <t>Emp Ben - OPEB</t>
  </si>
  <si>
    <t>7/22/2021 15:51:34</t>
  </si>
  <si>
    <t>5301070</t>
  </si>
  <si>
    <t>Emp Ben - OPEB Def</t>
  </si>
  <si>
    <t>5301080</t>
  </si>
  <si>
    <t>Emp Ben-NSCBeneRec</t>
  </si>
  <si>
    <t>5301090</t>
  </si>
  <si>
    <t>Emp Ben Plan - Admin</t>
  </si>
  <si>
    <t>5301110</t>
  </si>
  <si>
    <t>Employee Pensions</t>
  </si>
  <si>
    <t>5301130</t>
  </si>
  <si>
    <t>Emp Ben-Savings Plan</t>
  </si>
  <si>
    <t>5301192</t>
  </si>
  <si>
    <t>EmBenMed/Den/Vis2200</t>
  </si>
  <si>
    <t>5301990</t>
  </si>
  <si>
    <t>Other Emp Ben - Misc</t>
  </si>
  <si>
    <t>5301991</t>
  </si>
  <si>
    <t>OthEmpBen-Misc2200</t>
  </si>
  <si>
    <t>5703100</t>
  </si>
  <si>
    <t>Payroll Taxes</t>
  </si>
  <si>
    <t>5703101</t>
  </si>
  <si>
    <t>Payroll Taxes - 2200</t>
  </si>
  <si>
    <t>8203000</t>
  </si>
  <si>
    <t>PLANNED PROJ LABOR</t>
  </si>
  <si>
    <t>5302110</t>
  </si>
  <si>
    <t>Recruiting Expenses</t>
  </si>
  <si>
    <t>5302920</t>
  </si>
  <si>
    <t>Tuition Reimbursment</t>
  </si>
  <si>
    <t>5302930</t>
  </si>
  <si>
    <t>Employee Relations</t>
  </si>
  <si>
    <t>5302940</t>
  </si>
  <si>
    <t>Safety Functions</t>
  </si>
  <si>
    <t>5302990</t>
  </si>
  <si>
    <t>Misc Emp Related Exp</t>
  </si>
  <si>
    <t>5302991</t>
  </si>
  <si>
    <t>Misc EmpRel Exp 2200</t>
  </si>
  <si>
    <t>5302010</t>
  </si>
  <si>
    <t>Travel Expense</t>
  </si>
  <si>
    <t>5302015</t>
  </si>
  <si>
    <t>TravMeals 50%Non-Ded</t>
  </si>
  <si>
    <t>5302020</t>
  </si>
  <si>
    <t>Entertainment Expnse</t>
  </si>
  <si>
    <t>5302021</t>
  </si>
  <si>
    <t>Entrtain Exp Non-Ded</t>
  </si>
  <si>
    <t>5302091</t>
  </si>
  <si>
    <t>Travel &amp;Ent Exp 2200</t>
  </si>
  <si>
    <t>5303010</t>
  </si>
  <si>
    <t>Contractor Labor-ST</t>
  </si>
  <si>
    <t>5303020</t>
  </si>
  <si>
    <t>Contractor Materials</t>
  </si>
  <si>
    <t>5303030</t>
  </si>
  <si>
    <t>Contractor Services</t>
  </si>
  <si>
    <t>5303035</t>
  </si>
  <si>
    <t>Contractr Svc - Rest</t>
  </si>
  <si>
    <t>5303040</t>
  </si>
  <si>
    <t>Environment Services</t>
  </si>
  <si>
    <t>5303110</t>
  </si>
  <si>
    <t>Office Equip Maint</t>
  </si>
  <si>
    <t>5303120</t>
  </si>
  <si>
    <t>Comp &amp; Sftware Maint</t>
  </si>
  <si>
    <t>5303130</t>
  </si>
  <si>
    <t>Building/Grds Maint</t>
  </si>
  <si>
    <t>5303140</t>
  </si>
  <si>
    <t>Security Equip Maint</t>
  </si>
  <si>
    <t>5303150</t>
  </si>
  <si>
    <t>Comm Equip Maint</t>
  </si>
  <si>
    <t>5303190</t>
  </si>
  <si>
    <t>Misc Repairs/Maint</t>
  </si>
  <si>
    <t>5303210</t>
  </si>
  <si>
    <t>Actg/Auditing Svcs</t>
  </si>
  <si>
    <t>5303220</t>
  </si>
  <si>
    <t>Legal Services</t>
  </si>
  <si>
    <t>5303310</t>
  </si>
  <si>
    <t>Consultant Services</t>
  </si>
  <si>
    <t>5303315</t>
  </si>
  <si>
    <t>IT/Tele Contr Svc</t>
  </si>
  <si>
    <t>5303320</t>
  </si>
  <si>
    <t>Training Services</t>
  </si>
  <si>
    <t>5303325</t>
  </si>
  <si>
    <t>Prof/Temp Labor</t>
  </si>
  <si>
    <t>5303820</t>
  </si>
  <si>
    <t>Collection Agencies</t>
  </si>
  <si>
    <t>5303830</t>
  </si>
  <si>
    <t>Advertising</t>
  </si>
  <si>
    <t>5303840</t>
  </si>
  <si>
    <t>Securty&amp;Invstgtn Svc</t>
  </si>
  <si>
    <t>5303850</t>
  </si>
  <si>
    <t>Testing Services</t>
  </si>
  <si>
    <t>5303890</t>
  </si>
  <si>
    <t>Misc. Outside Svcs</t>
  </si>
  <si>
    <t>5303991</t>
  </si>
  <si>
    <t>MiscOutsideSvcs 2200</t>
  </si>
  <si>
    <t>5304100</t>
  </si>
  <si>
    <t>Material Exp-Stock</t>
  </si>
  <si>
    <t>5304200</t>
  </si>
  <si>
    <t>Material Exp-Non Stk</t>
  </si>
  <si>
    <t>5304310</t>
  </si>
  <si>
    <t>Office Supplies</t>
  </si>
  <si>
    <t>5304320</t>
  </si>
  <si>
    <t>Pstge/Shppng/Frght</t>
  </si>
  <si>
    <t>5304340</t>
  </si>
  <si>
    <t>Sftwr/Hrdwr Purchase</t>
  </si>
  <si>
    <t>5304350</t>
  </si>
  <si>
    <t>Office Furn &amp; Equip</t>
  </si>
  <si>
    <t>5304360</t>
  </si>
  <si>
    <t>Promotion Supplies</t>
  </si>
  <si>
    <t>5304370</t>
  </si>
  <si>
    <t>Tool &amp; Work Equip</t>
  </si>
  <si>
    <t>5304390</t>
  </si>
  <si>
    <t>Misc Supplies</t>
  </si>
  <si>
    <t>5304991</t>
  </si>
  <si>
    <t>MiscMat&amp;Supplies2200</t>
  </si>
  <si>
    <t>8400000</t>
  </si>
  <si>
    <t>MATERIAL OVERHEAD</t>
  </si>
  <si>
    <t>8400001</t>
  </si>
  <si>
    <t>BIN STK/UNDER 2 IN O</t>
  </si>
  <si>
    <t>5305010</t>
  </si>
  <si>
    <t>Injury Expenses</t>
  </si>
  <si>
    <t>5305020</t>
  </si>
  <si>
    <t>Damages - Property</t>
  </si>
  <si>
    <t>5305050</t>
  </si>
  <si>
    <t>Workers Comp Claim</t>
  </si>
  <si>
    <t>5306010</t>
  </si>
  <si>
    <t>Ins-Dir&amp;Officers</t>
  </si>
  <si>
    <t>5306020</t>
  </si>
  <si>
    <t>Ins-Excss Liab/Surty</t>
  </si>
  <si>
    <t>5306060</t>
  </si>
  <si>
    <t>Ins-General Property</t>
  </si>
  <si>
    <t>5306070</t>
  </si>
  <si>
    <t>Ins-Worker's Comp</t>
  </si>
  <si>
    <t>5306099</t>
  </si>
  <si>
    <t>Ins-Other</t>
  </si>
  <si>
    <t>5308010</t>
  </si>
  <si>
    <t>Subscriptions</t>
  </si>
  <si>
    <t>5308020</t>
  </si>
  <si>
    <t>Professional Dues</t>
  </si>
  <si>
    <t>5308040</t>
  </si>
  <si>
    <t>Industry Assoc Dues</t>
  </si>
  <si>
    <t>5308090</t>
  </si>
  <si>
    <t>Other Dues&amp;Membershp</t>
  </si>
  <si>
    <t>5307010</t>
  </si>
  <si>
    <t>Rent Exp-Buildings</t>
  </si>
  <si>
    <t>5307030</t>
  </si>
  <si>
    <t>Rent Exp-Equipment</t>
  </si>
  <si>
    <t>5307050</t>
  </si>
  <si>
    <t>Rent Exp-Land &amp; Rght</t>
  </si>
  <si>
    <t>5307090</t>
  </si>
  <si>
    <t>Rent Exp-Misc</t>
  </si>
  <si>
    <t>5310010</t>
  </si>
  <si>
    <t>Operating Permits</t>
  </si>
  <si>
    <t>5310020</t>
  </si>
  <si>
    <t>Licensing Fees</t>
  </si>
  <si>
    <t>5310030</t>
  </si>
  <si>
    <t>Reg Fees/Assessments</t>
  </si>
  <si>
    <t>5310040</t>
  </si>
  <si>
    <t>Directors Fees and E</t>
  </si>
  <si>
    <t>5310050</t>
  </si>
  <si>
    <t>Environmental Fees</t>
  </si>
  <si>
    <t>5310080</t>
  </si>
  <si>
    <t>Bank Fees</t>
  </si>
  <si>
    <t>5310090</t>
  </si>
  <si>
    <t>Miscellaneous Fees</t>
  </si>
  <si>
    <t>5320140</t>
  </si>
  <si>
    <t>Land Rts &amp; RW Fees</t>
  </si>
  <si>
    <t>5309010</t>
  </si>
  <si>
    <t>Utils-Electric/Gas</t>
  </si>
  <si>
    <t>5309020</t>
  </si>
  <si>
    <t>Utilities - Phone</t>
  </si>
  <si>
    <t>5309021</t>
  </si>
  <si>
    <t>Utilities - Wireless</t>
  </si>
  <si>
    <t>5309030</t>
  </si>
  <si>
    <t>Utilities - Water</t>
  </si>
  <si>
    <t>5309040</t>
  </si>
  <si>
    <t>Utilities - Other</t>
  </si>
  <si>
    <t>8402004</t>
  </si>
  <si>
    <t>PROJ G&amp;A SURCHARGE</t>
  </si>
  <si>
    <t>5303170</t>
  </si>
  <si>
    <t>Auto Repairs/Maint</t>
  </si>
  <si>
    <t>5304510</t>
  </si>
  <si>
    <t>Gasoline</t>
  </si>
  <si>
    <t>5399070</t>
  </si>
  <si>
    <t>Vehicle Exp-Maint</t>
  </si>
  <si>
    <t>8203001</t>
  </si>
  <si>
    <t>PLANNED VEHICLE COST</t>
  </si>
  <si>
    <t>5399200</t>
  </si>
  <si>
    <t>Penalties- Operating</t>
  </si>
  <si>
    <t>5399900</t>
  </si>
  <si>
    <t>Miscellaneous Exp</t>
  </si>
  <si>
    <t>8402014</t>
  </si>
  <si>
    <t>5311010</t>
  </si>
  <si>
    <t>Uncollect Accts Exp</t>
  </si>
  <si>
    <t>5998501</t>
  </si>
  <si>
    <t>Svcs-Ess Svs-2200</t>
  </si>
  <si>
    <t>5999058</t>
  </si>
  <si>
    <t>I/C-OperExp-1700-DLG</t>
  </si>
  <si>
    <t>5702100</t>
  </si>
  <si>
    <t>Property Taxes</t>
  </si>
  <si>
    <t>5706100</t>
  </si>
  <si>
    <t>Sales and Use Tax</t>
  </si>
  <si>
    <t>6201010</t>
  </si>
  <si>
    <t>Donations Charity</t>
  </si>
  <si>
    <t>6201040</t>
  </si>
  <si>
    <t>Donations-Comm N501</t>
  </si>
  <si>
    <t>6201070</t>
  </si>
  <si>
    <t>Donations-Energy Shr</t>
  </si>
  <si>
    <t>6202020</t>
  </si>
  <si>
    <t>Civic/Politic Actvty</t>
  </si>
  <si>
    <t>6299100</t>
  </si>
  <si>
    <t>OthExp - NSCBeneRec</t>
  </si>
  <si>
    <t>001/2018
Planned</t>
  </si>
  <si>
    <t>002/2018
Plan</t>
  </si>
  <si>
    <t>003/2018
Plan</t>
  </si>
  <si>
    <t>004/2018
Plan</t>
  </si>
  <si>
    <t>005/2018
Plan</t>
  </si>
  <si>
    <t>006/2018
Plan</t>
  </si>
  <si>
    <t>007/2018
Plan</t>
  </si>
  <si>
    <t>008/2018
Plan</t>
  </si>
  <si>
    <t>009/2018
Plan</t>
  </si>
  <si>
    <t>010/2018
Plan</t>
  </si>
  <si>
    <t>011/2018
Plan</t>
  </si>
  <si>
    <t>012/2018
Plan</t>
  </si>
  <si>
    <t>Total 2018</t>
  </si>
  <si>
    <t>5300170</t>
  </si>
  <si>
    <t>Sal-Incentive/Bonus</t>
  </si>
  <si>
    <t>2021 Payroll Schedule</t>
  </si>
  <si>
    <t>15*</t>
  </si>
  <si>
    <t>26*</t>
  </si>
  <si>
    <t>*3rd Pay</t>
  </si>
  <si>
    <t xml:space="preserve">We do not break out of hourly vs. salary at that level of detail. </t>
  </si>
  <si>
    <t xml:space="preserve">Base Period </t>
  </si>
  <si>
    <t>Actual (A)</t>
  </si>
  <si>
    <t xml:space="preserve">Reg. </t>
  </si>
  <si>
    <t>OT (B)</t>
  </si>
  <si>
    <t>Average employee</t>
  </si>
  <si>
    <t>Actual payroll was consistently lower than budget because several executives left after the budget was prepared. One left in late 2017 earning $17,250/month. Another earning $13,500 per month left in June, and two earning $57,167 per month left in late September. These changes explain $419,000 of the $698,123 budget to actual variance for the year</t>
  </si>
  <si>
    <t>Monthly Actual</t>
  </si>
  <si>
    <t>( C )</t>
  </si>
  <si>
    <t>Actual was relatively consistently close to the average of 6% under budget for the entire year.</t>
  </si>
  <si>
    <t>Drop in actual payroll January 2021 resulted from several retirements/resignations at yearend and having difficulty backfilling positions in a timely manner.</t>
  </si>
  <si>
    <t>( B )</t>
  </si>
  <si>
    <t>( A )</t>
  </si>
  <si>
    <t>7 Mo 3/31</t>
  </si>
  <si>
    <t>SEP 2020</t>
  </si>
  <si>
    <t>OCT 2020</t>
  </si>
  <si>
    <t>NOV 2020</t>
  </si>
  <si>
    <t>DEC 2020</t>
  </si>
  <si>
    <t>JAN 2021</t>
  </si>
  <si>
    <t>FEB 2021</t>
  </si>
  <si>
    <t>MAR 2021</t>
  </si>
  <si>
    <t>7 Month Total</t>
  </si>
  <si>
    <t>APR 2021</t>
  </si>
  <si>
    <t>MAY 2021</t>
  </si>
  <si>
    <t>JUN 2021</t>
  </si>
  <si>
    <t>JUL 2021</t>
  </si>
  <si>
    <t>AUG 2021</t>
  </si>
  <si>
    <t>5 Month Total</t>
  </si>
  <si>
    <t>7 + 5</t>
  </si>
  <si>
    <t>Straight</t>
  </si>
  <si>
    <t>Incentive</t>
  </si>
  <si>
    <t>Corp Alloc</t>
  </si>
  <si>
    <t>Non-recurring vacation accrual</t>
  </si>
  <si>
    <t>Incent</t>
  </si>
  <si>
    <t xml:space="preserve">Non-recurring </t>
  </si>
  <si>
    <t>7 MONTH</t>
  </si>
  <si>
    <t>Non-recurring</t>
  </si>
  <si>
    <t>5 Month</t>
  </si>
  <si>
    <t>****</t>
  </si>
  <si>
    <t>5300110 Salaried - Straight-Time Wages</t>
  </si>
  <si>
    <t>5300111 Salaried - Straight-Time Wages-2200</t>
  </si>
  <si>
    <t>5300120 Salaried - Overtime Wages</t>
  </si>
  <si>
    <t>5300121 Salaried - Overtime Wages-2200</t>
  </si>
  <si>
    <t>1300</t>
  </si>
  <si>
    <t>5300130 Salaried - Supplemental Pay</t>
  </si>
  <si>
    <t>5300150 Salaried - Vacation Accrual</t>
  </si>
  <si>
    <t>5300151 Salaried - Vacation Accrual 2200</t>
  </si>
  <si>
    <t>5300162 Salaried - Severance JE - 2200</t>
  </si>
  <si>
    <t>1600</t>
  </si>
  <si>
    <t>5300170 Salaried - Incentives / Bonuses</t>
  </si>
  <si>
    <t>5300171 Salaried - Incentives / Bonuses 2200</t>
  </si>
  <si>
    <t>5300180 Salaried - Annual Incentive</t>
  </si>
  <si>
    <t>5300181 Salaried - Annual Incentive - 2200</t>
  </si>
  <si>
    <t>5300186</t>
  </si>
  <si>
    <t>5300186 Performance Share Unit Amortization</t>
  </si>
  <si>
    <t>5300187</t>
  </si>
  <si>
    <t>5300187 Restricted Stock Unit Amortization</t>
  </si>
  <si>
    <t>5300211 Hourly - Straight-Time Wages - 2200</t>
  </si>
  <si>
    <t>Per Bud/Act</t>
  </si>
  <si>
    <t>5300221 Hourly - Overtime Wages - 2200</t>
  </si>
  <si>
    <t>5300271 Hourly - Incentives / Bonuses 2200</t>
  </si>
  <si>
    <t>5300281 Hourly - Annual Incentive - 2200</t>
  </si>
  <si>
    <t>Total Wages</t>
  </si>
  <si>
    <t>Prior Year</t>
  </si>
  <si>
    <t>7 MO Act</t>
  </si>
  <si>
    <t>5 MO Budget</t>
  </si>
  <si>
    <t>Total Base</t>
  </si>
  <si>
    <t>5300999</t>
  </si>
  <si>
    <t>5300999 Capitalized Labor &amp; Benefits-PROJ SETTLMT USE ONLY</t>
  </si>
  <si>
    <t>Subtotal</t>
  </si>
  <si>
    <t>Average capitalization percentage</t>
  </si>
  <si>
    <t xml:space="preserve">Reg </t>
  </si>
  <si>
    <t xml:space="preserve">OT </t>
  </si>
  <si>
    <t>Sep 20 - Mar 21</t>
  </si>
  <si>
    <t>Apr - Aug 21</t>
  </si>
  <si>
    <t xml:space="preserve">April </t>
  </si>
  <si>
    <t>June</t>
  </si>
  <si>
    <t>July</t>
  </si>
  <si>
    <t>August</t>
  </si>
  <si>
    <t>Reg.( C )</t>
  </si>
  <si>
    <t>(C )</t>
  </si>
  <si>
    <t>Base Year Assumption Budget</t>
  </si>
  <si>
    <t>Test Year Assumption</t>
  </si>
  <si>
    <t>April  - Aug have 11 pay periods</t>
  </si>
  <si>
    <t>Sept- Mar 21 have 15 pay periods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</si>
</sst>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\$\ #,##0.00"/>
    <numFmt numFmtId="165" formatCode="0.0%"/>
    <numFmt numFmtId="166" formatCode="_(* #,##0_);_(* \(#,##0\);_(* &quot;-&quot;??_);_(@_)"/>
    <numFmt numFmtId="167" formatCode="\$\ #,##0.00;\$\ \-\ #,##0.00"/>
    <numFmt numFmtId="168" formatCode="mm/dd/yyyy"/>
    <numFmt numFmtId="169" formatCode="_(&quot;$&quot;* #,##0_);_(&quot;$&quot;* \(#,##0\);_(&quot;$&quot;* &quot;-&quot;??_);_(@_)"/>
    <numFmt numFmtId="170" formatCode="General_)"/>
  </numFmts>
  <fonts count="55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indexed="6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Arial"/>
      <family val="2"/>
    </font>
    <font>
      <sz val="8"/>
      <color rgb="FF333333"/>
      <name val="Arial"/>
      <family val="2"/>
    </font>
    <font>
      <sz val="8"/>
      <color rgb="FF454545"/>
      <name val="Arial"/>
      <family val="2"/>
    </font>
    <font>
      <b/>
      <sz val="8"/>
      <color theme="1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u/>
      <sz val="11"/>
      <color theme="1"/>
      <name val="Calibri"/>
      <family val="2"/>
      <scheme val="minor"/>
    </font>
    <font>
      <u/>
      <sz val="8"/>
      <color theme="1"/>
      <name val="Arial"/>
      <family val="2"/>
    </font>
    <font>
      <u val="singleAccounting"/>
      <sz val="8"/>
      <color theme="1"/>
      <name val="Arial"/>
      <family val="2"/>
    </font>
    <font>
      <u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8"/>
      <color rgb="FF444444"/>
      <name val="Arial"/>
      <family val="2"/>
    </font>
    <font>
      <b/>
      <sz val="16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name val="Arial Narrow"/>
      <family val="2"/>
    </font>
    <font>
      <sz val="11"/>
      <name val="Arial Narrow"/>
      <family val="2"/>
    </font>
    <font>
      <sz val="14"/>
      <name val="Wingdings 2"/>
      <family val="1"/>
      <charset val="2"/>
    </font>
    <font>
      <sz val="14"/>
      <color theme="3" tint="0.39997558519241921"/>
      <name val="Arial Narrow"/>
      <family val="2"/>
    </font>
    <font>
      <sz val="14"/>
      <color rgb="FFFF0000"/>
      <name val="Arial Narrow"/>
      <family val="2"/>
    </font>
    <font>
      <b/>
      <sz val="14"/>
      <name val="Arial Narrow"/>
      <family val="2"/>
    </font>
    <font>
      <sz val="14"/>
      <color theme="0"/>
      <name val="Arial Narrow"/>
      <family val="2"/>
    </font>
    <font>
      <sz val="10"/>
      <name val="Courier"/>
      <family val="3"/>
    </font>
    <font>
      <b/>
      <u/>
      <sz val="14"/>
      <name val="Arial Narrow"/>
      <family val="2"/>
    </font>
    <font>
      <sz val="12"/>
      <name val="Arial Narrow"/>
      <family val="2"/>
    </font>
    <font>
      <sz val="12"/>
      <name val="Wingdings 2"/>
      <family val="1"/>
      <charset val="2"/>
    </font>
    <font>
      <i/>
      <sz val="9"/>
      <name val="Arial Narrow"/>
      <family val="2"/>
    </font>
    <font>
      <b/>
      <sz val="8"/>
      <name val="Arial"/>
      <family val="2"/>
    </font>
    <font>
      <b/>
      <sz val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theme="1"/>
      <name val="Arial Narrow"/>
      <family val="2"/>
    </font>
    <font>
      <b/>
      <i/>
      <sz val="8"/>
      <color indexed="63"/>
      <name val="Arial Narrow"/>
      <family val="2"/>
    </font>
    <font>
      <b/>
      <i/>
      <sz val="8"/>
      <color indexed="8"/>
      <name val="Arial Narrow"/>
      <family val="2"/>
    </font>
    <font>
      <sz val="8"/>
      <color rgb="FF000000"/>
      <name val="Arial Narrow"/>
      <family val="2"/>
    </font>
    <font>
      <sz val="8"/>
      <color indexed="63"/>
      <name val="Arial Narrow"/>
      <family val="2"/>
    </font>
    <font>
      <sz val="8"/>
      <color indexed="8"/>
      <name val="Arial Narrow"/>
      <family val="2"/>
    </font>
    <font>
      <u val="singleAccounting"/>
      <sz val="8"/>
      <color theme="1"/>
      <name val="Arial Narrow"/>
      <family val="2"/>
    </font>
    <font>
      <u/>
      <sz val="8"/>
      <color theme="1"/>
      <name val="Arial Narrow"/>
      <family val="2"/>
    </font>
    <font>
      <u val="doubleAccounting"/>
      <sz val="8"/>
      <color theme="1"/>
      <name val="Arial Narrow"/>
      <family val="2"/>
    </font>
  </fonts>
  <fills count="24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7E5E5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7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60"/>
      </patternFill>
    </fill>
    <fill>
      <patternFill patternType="solid">
        <fgColor indexed="61"/>
      </patternFill>
    </fill>
    <fill>
      <patternFill patternType="solid">
        <fgColor indexed="58"/>
      </patternFill>
    </fill>
    <fill>
      <patternFill patternType="solid">
        <fgColor rgb="FFC6EFCE"/>
      </patternFill>
    </fill>
  </fills>
  <borders count="70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/>
      <right/>
      <top style="medium">
        <color rgb="FFC0C0C0"/>
      </top>
      <bottom style="medium">
        <color rgb="FFC0C0C0"/>
      </bottom>
      <diagonal/>
    </border>
    <border>
      <left style="medium">
        <color rgb="FFC0C0C0"/>
      </left>
      <right/>
      <top/>
      <bottom/>
      <diagonal/>
    </border>
    <border>
      <left style="thin">
        <color indexed="54"/>
      </left>
      <right style="thin">
        <color indexed="54"/>
      </right>
      <top style="thin">
        <color indexed="54"/>
      </top>
      <bottom/>
      <diagonal/>
    </border>
    <border>
      <left style="thin">
        <color indexed="54"/>
      </left>
      <right style="thin">
        <color indexed="54"/>
      </right>
      <top/>
      <bottom/>
      <diagonal/>
    </border>
    <border>
      <left style="thin">
        <color indexed="54"/>
      </left>
      <right style="thin">
        <color indexed="54"/>
      </right>
      <top/>
      <bottom style="thin">
        <color indexed="5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40"/>
      </left>
      <right/>
      <top style="thin">
        <color indexed="22"/>
      </top>
      <bottom style="thin">
        <color indexed="2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54"/>
      </top>
      <bottom/>
      <diagonal/>
    </border>
    <border>
      <left/>
      <right style="thin">
        <color indexed="54"/>
      </right>
      <top style="thin">
        <color indexed="54"/>
      </top>
      <bottom/>
      <diagonal/>
    </border>
    <border>
      <left style="thin">
        <color indexed="54"/>
      </left>
      <right/>
      <top/>
      <bottom/>
      <diagonal/>
    </border>
    <border>
      <left/>
      <right style="thin">
        <color indexed="54"/>
      </right>
      <top/>
      <bottom/>
      <diagonal/>
    </border>
    <border>
      <left style="thin">
        <color indexed="54"/>
      </left>
      <right/>
      <top/>
      <bottom style="thin">
        <color indexed="54"/>
      </bottom>
      <diagonal/>
    </border>
    <border>
      <left/>
      <right/>
      <top/>
      <bottom style="thin">
        <color indexed="54"/>
      </bottom>
      <diagonal/>
    </border>
    <border>
      <left/>
      <right style="thin">
        <color indexed="54"/>
      </right>
      <top/>
      <bottom style="thin">
        <color indexed="5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32"/>
      </right>
      <top style="thin">
        <color indexed="3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64"/>
      </left>
      <right style="thin">
        <color indexed="32"/>
      </right>
      <top/>
      <bottom style="thin">
        <color indexed="32"/>
      </bottom>
      <diagonal/>
    </border>
    <border>
      <left style="thin">
        <color indexed="32"/>
      </left>
      <right style="thin">
        <color indexed="32"/>
      </right>
      <top/>
      <bottom style="thin">
        <color indexed="32"/>
      </bottom>
      <diagonal/>
    </border>
    <border>
      <left style="thin">
        <color indexed="32"/>
      </left>
      <right style="thin">
        <color indexed="64"/>
      </right>
      <top/>
      <bottom style="thin">
        <color indexed="32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32"/>
      </left>
      <right style="thin">
        <color indexed="64"/>
      </right>
      <top style="thin">
        <color indexed="32"/>
      </top>
      <bottom/>
      <diagonal/>
    </border>
  </borders>
  <cellStyleXfs count="51">
    <xf numFmtId="0" fontId="0" fillId="0" borderId="0"/>
    <xf numFmtId="43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" fillId="0" borderId="0"/>
    <xf numFmtId="0" fontId="9" fillId="0" borderId="0"/>
    <xf numFmtId="9" fontId="8" fillId="0" borderId="0" applyFont="0" applyFill="0" applyBorder="0" applyAlignment="0" applyProtection="0"/>
    <xf numFmtId="4" fontId="1" fillId="2" borderId="1" applyNumberFormat="0" applyProtection="0">
      <alignment horizontal="left" vertical="center" indent="1"/>
    </xf>
    <xf numFmtId="0" fontId="1" fillId="3" borderId="2" applyNumberFormat="0" applyProtection="0">
      <alignment horizontal="left" vertical="top" indent="1"/>
    </xf>
    <xf numFmtId="4" fontId="1" fillId="0" borderId="1" applyNumberFormat="0" applyProtection="0">
      <alignment horizontal="right" vertical="center"/>
    </xf>
    <xf numFmtId="4" fontId="2" fillId="4" borderId="1" applyNumberFormat="0" applyProtection="0">
      <alignment horizontal="right" vertical="center"/>
    </xf>
    <xf numFmtId="4" fontId="1" fillId="2" borderId="1" applyNumberFormat="0" applyProtection="0">
      <alignment horizontal="left" vertical="center" indent="1"/>
    </xf>
    <xf numFmtId="44" fontId="8" fillId="0" borderId="0" applyFont="0" applyFill="0" applyBorder="0" applyAlignment="0" applyProtection="0"/>
    <xf numFmtId="0" fontId="30" fillId="10" borderId="0" applyNumberFormat="0" applyBorder="0" applyAlignment="0" applyProtection="0"/>
    <xf numFmtId="170" fontId="38" fillId="0" borderId="0"/>
    <xf numFmtId="0" fontId="1" fillId="20" borderId="0"/>
    <xf numFmtId="0" fontId="43" fillId="3" borderId="43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5" fillId="23" borderId="0" applyNumberFormat="0" applyBorder="0" applyAlignment="0" applyProtection="0"/>
  </cellStyleXfs>
  <cellXfs count="526">
    <xf numFmtId="0" fontId="0" fillId="0" borderId="0" xfId="0"/>
    <xf numFmtId="0" fontId="0" fillId="5" borderId="3" xfId="0" applyFill="1" applyBorder="1"/>
    <xf numFmtId="0" fontId="0" fillId="5" borderId="4" xfId="0" applyFill="1" applyBorder="1"/>
    <xf numFmtId="0" fontId="0" fillId="5" borderId="5" xfId="0" applyFill="1" applyBorder="1" applyAlignment="1">
      <alignment horizontal="right"/>
    </xf>
    <xf numFmtId="0" fontId="0" fillId="5" borderId="6" xfId="0" applyFill="1" applyBorder="1"/>
    <xf numFmtId="0" fontId="0" fillId="5" borderId="0" xfId="0" applyFill="1" applyBorder="1"/>
    <xf numFmtId="0" fontId="0" fillId="5" borderId="7" xfId="0" applyFill="1" applyBorder="1"/>
    <xf numFmtId="0" fontId="0" fillId="5" borderId="6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17" fontId="0" fillId="0" borderId="0" xfId="0" quotePrefix="1" applyNumberFormat="1"/>
    <xf numFmtId="43" fontId="0" fillId="0" borderId="0" xfId="0" applyNumberFormat="1"/>
    <xf numFmtId="164" fontId="1" fillId="0" borderId="1" xfId="8" applyNumberFormat="1">
      <alignment horizontal="right" vertical="center"/>
    </xf>
    <xf numFmtId="9" fontId="8" fillId="0" borderId="0" xfId="5" applyFont="1"/>
    <xf numFmtId="165" fontId="8" fillId="0" borderId="0" xfId="5" applyNumberFormat="1" applyFont="1"/>
    <xf numFmtId="166" fontId="8" fillId="0" borderId="0" xfId="1" applyNumberFormat="1" applyFont="1"/>
    <xf numFmtId="166" fontId="0" fillId="0" borderId="0" xfId="0" applyNumberFormat="1"/>
    <xf numFmtId="166" fontId="0" fillId="0" borderId="10" xfId="0" applyNumberFormat="1" applyBorder="1"/>
    <xf numFmtId="164" fontId="1" fillId="0" borderId="1" xfId="8" applyNumberFormat="1" applyFill="1">
      <alignment horizontal="right" vertical="center"/>
    </xf>
    <xf numFmtId="0" fontId="0" fillId="5" borderId="3" xfId="0" applyFont="1" applyFill="1" applyBorder="1"/>
    <xf numFmtId="0" fontId="0" fillId="5" borderId="4" xfId="0" applyFont="1" applyFill="1" applyBorder="1"/>
    <xf numFmtId="0" fontId="0" fillId="5" borderId="5" xfId="0" applyFont="1" applyFill="1" applyBorder="1" applyAlignment="1">
      <alignment horizontal="right"/>
    </xf>
    <xf numFmtId="0" fontId="0" fillId="0" borderId="0" xfId="0" applyFont="1"/>
    <xf numFmtId="0" fontId="0" fillId="5" borderId="6" xfId="0" applyFont="1" applyFill="1" applyBorder="1"/>
    <xf numFmtId="0" fontId="0" fillId="5" borderId="0" xfId="0" applyFont="1" applyFill="1" applyBorder="1"/>
    <xf numFmtId="0" fontId="0" fillId="5" borderId="7" xfId="0" applyFont="1" applyFill="1" applyBorder="1"/>
    <xf numFmtId="0" fontId="0" fillId="5" borderId="6" xfId="0" applyFont="1" applyFill="1" applyBorder="1" applyAlignment="1">
      <alignment horizontal="center"/>
    </xf>
    <xf numFmtId="0" fontId="0" fillId="5" borderId="0" xfId="0" applyFont="1" applyFill="1" applyBorder="1" applyAlignment="1">
      <alignment horizontal="center"/>
    </xf>
    <xf numFmtId="0" fontId="0" fillId="5" borderId="7" xfId="0" applyFont="1" applyFill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166" fontId="12" fillId="0" borderId="0" xfId="1" applyNumberFormat="1" applyFont="1" applyFill="1" applyBorder="1" applyAlignment="1">
      <alignment horizontal="right" vertical="center"/>
    </xf>
    <xf numFmtId="166" fontId="0" fillId="0" borderId="0" xfId="0" applyNumberFormat="1" applyFont="1"/>
    <xf numFmtId="0" fontId="0" fillId="0" borderId="0" xfId="0" applyFill="1"/>
    <xf numFmtId="43" fontId="8" fillId="0" borderId="0" xfId="1" applyFont="1" applyFill="1"/>
    <xf numFmtId="164" fontId="2" fillId="4" borderId="1" xfId="9" applyNumberFormat="1">
      <alignment horizontal="right" vertical="center"/>
    </xf>
    <xf numFmtId="164" fontId="2" fillId="0" borderId="1" xfId="9" applyNumberFormat="1" applyFill="1">
      <alignment horizontal="right" vertical="center"/>
    </xf>
    <xf numFmtId="0" fontId="1" fillId="2" borderId="1" xfId="10" quotePrefix="1" applyNumberFormat="1">
      <alignment horizontal="left" vertical="center" indent="1"/>
    </xf>
    <xf numFmtId="0" fontId="1" fillId="2" borderId="1" xfId="10" quotePrefix="1" applyNumberFormat="1" applyAlignment="1">
      <alignment horizontal="left" vertical="center" wrapText="1" indent="1"/>
    </xf>
    <xf numFmtId="0" fontId="1" fillId="0" borderId="1" xfId="10" quotePrefix="1" applyNumberFormat="1" applyFill="1" applyAlignment="1">
      <alignment horizontal="left" vertical="center" wrapText="1" indent="1"/>
    </xf>
    <xf numFmtId="0" fontId="1" fillId="2" borderId="1" xfId="6" quotePrefix="1" applyNumberFormat="1">
      <alignment horizontal="left" vertical="center" indent="1"/>
    </xf>
    <xf numFmtId="0" fontId="0" fillId="0" borderId="0" xfId="0" applyAlignment="1">
      <alignment horizontal="center"/>
    </xf>
    <xf numFmtId="0" fontId="0" fillId="0" borderId="0" xfId="0" quotePrefix="1"/>
    <xf numFmtId="0" fontId="0" fillId="0" borderId="0" xfId="0" quotePrefix="1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right"/>
    </xf>
    <xf numFmtId="1" fontId="0" fillId="0" borderId="0" xfId="0" applyNumberFormat="1" applyFill="1" applyAlignment="1">
      <alignment horizontal="center"/>
    </xf>
    <xf numFmtId="0" fontId="11" fillId="0" borderId="0" xfId="0" applyFont="1"/>
    <xf numFmtId="0" fontId="3" fillId="0" borderId="0" xfId="3"/>
    <xf numFmtId="0" fontId="3" fillId="0" borderId="0" xfId="3" applyAlignment="1">
      <alignment horizontal="center"/>
    </xf>
    <xf numFmtId="0" fontId="3" fillId="0" borderId="0" xfId="3" applyFont="1" applyAlignment="1">
      <alignment horizontal="center"/>
    </xf>
    <xf numFmtId="14" fontId="3" fillId="0" borderId="0" xfId="3" applyNumberFormat="1"/>
    <xf numFmtId="0" fontId="3" fillId="0" borderId="0" xfId="3" applyFill="1" applyAlignment="1">
      <alignment horizontal="center"/>
    </xf>
    <xf numFmtId="4" fontId="3" fillId="0" borderId="0" xfId="3" applyNumberFormat="1"/>
    <xf numFmtId="1" fontId="3" fillId="0" borderId="0" xfId="3" applyNumberFormat="1" applyAlignment="1">
      <alignment horizontal="center"/>
    </xf>
    <xf numFmtId="14" fontId="0" fillId="0" borderId="0" xfId="0" applyNumberFormat="1" applyAlignment="1">
      <alignment horizontal="center"/>
    </xf>
    <xf numFmtId="14" fontId="0" fillId="0" borderId="0" xfId="0" quotePrefix="1" applyNumberFormat="1" applyAlignment="1">
      <alignment horizontal="center"/>
    </xf>
    <xf numFmtId="0" fontId="0" fillId="0" borderId="0" xfId="0" quotePrefix="1" applyAlignment="1">
      <alignment horizontal="center"/>
    </xf>
    <xf numFmtId="1" fontId="0" fillId="0" borderId="0" xfId="0" applyNumberFormat="1"/>
    <xf numFmtId="0" fontId="0" fillId="5" borderId="0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166" fontId="11" fillId="0" borderId="0" xfId="1" applyNumberFormat="1" applyFont="1"/>
    <xf numFmtId="165" fontId="11" fillId="0" borderId="0" xfId="5" applyNumberFormat="1" applyFont="1"/>
    <xf numFmtId="0" fontId="0" fillId="0" borderId="10" xfId="0" applyBorder="1"/>
    <xf numFmtId="0" fontId="0" fillId="0" borderId="0" xfId="0" applyAlignment="1">
      <alignment horizontal="right"/>
    </xf>
    <xf numFmtId="0" fontId="0" fillId="0" borderId="0" xfId="0" applyBorder="1"/>
    <xf numFmtId="166" fontId="8" fillId="0" borderId="0" xfId="1" applyNumberFormat="1" applyFont="1" applyBorder="1"/>
    <xf numFmtId="166" fontId="0" fillId="0" borderId="0" xfId="0" applyNumberFormat="1" applyBorder="1"/>
    <xf numFmtId="0" fontId="13" fillId="0" borderId="0" xfId="4" applyFont="1"/>
    <xf numFmtId="0" fontId="13" fillId="6" borderId="32" xfId="4" applyFont="1" applyFill="1" applyBorder="1"/>
    <xf numFmtId="0" fontId="14" fillId="6" borderId="33" xfId="4" applyFont="1" applyFill="1" applyBorder="1" applyAlignment="1">
      <alignment vertical="top"/>
    </xf>
    <xf numFmtId="43" fontId="15" fillId="0" borderId="34" xfId="2" applyFont="1" applyBorder="1" applyAlignment="1">
      <alignment horizontal="right" vertical="top"/>
    </xf>
    <xf numFmtId="43" fontId="13" fillId="0" borderId="0" xfId="2" applyFont="1"/>
    <xf numFmtId="43" fontId="13" fillId="0" borderId="34" xfId="2" applyFont="1" applyBorder="1"/>
    <xf numFmtId="0" fontId="16" fillId="0" borderId="0" xfId="4" applyFont="1" applyAlignment="1">
      <alignment horizontal="center"/>
    </xf>
    <xf numFmtId="0" fontId="17" fillId="2" borderId="1" xfId="10" quotePrefix="1" applyNumberFormat="1" applyFont="1" applyAlignment="1">
      <alignment horizontal="left" vertical="center" wrapText="1" indent="1"/>
    </xf>
    <xf numFmtId="164" fontId="17" fillId="0" borderId="1" xfId="8" applyNumberFormat="1" applyFont="1">
      <alignment horizontal="right" vertical="center"/>
    </xf>
    <xf numFmtId="3" fontId="1" fillId="0" borderId="1" xfId="8" applyNumberFormat="1">
      <alignment horizontal="right" vertical="center"/>
    </xf>
    <xf numFmtId="164" fontId="17" fillId="4" borderId="1" xfId="9" applyNumberFormat="1" applyFont="1">
      <alignment horizontal="right" vertical="center"/>
    </xf>
    <xf numFmtId="0" fontId="0" fillId="5" borderId="3" xfId="0" applyFill="1" applyBorder="1" applyAlignment="1">
      <alignment horizontal="left"/>
    </xf>
    <xf numFmtId="0" fontId="0" fillId="5" borderId="6" xfId="0" applyFill="1" applyBorder="1" applyAlignment="1">
      <alignment horizontal="left"/>
    </xf>
    <xf numFmtId="17" fontId="0" fillId="0" borderId="0" xfId="0" quotePrefix="1" applyNumberFormat="1" applyAlignment="1">
      <alignment horizontal="left"/>
    </xf>
    <xf numFmtId="17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12" fillId="0" borderId="0" xfId="0" applyFont="1"/>
    <xf numFmtId="167" fontId="1" fillId="0" borderId="1" xfId="8" applyNumberFormat="1">
      <alignment horizontal="right" vertical="center"/>
    </xf>
    <xf numFmtId="0" fontId="1" fillId="3" borderId="2" xfId="7" quotePrefix="1">
      <alignment horizontal="left" vertical="top" indent="1"/>
    </xf>
    <xf numFmtId="0" fontId="1" fillId="3" borderId="2" xfId="7" quotePrefix="1" applyAlignment="1">
      <alignment horizontal="left" vertical="top" wrapText="1" inden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17" fontId="0" fillId="0" borderId="13" xfId="0" applyNumberFormat="1" applyBorder="1" applyAlignment="1">
      <alignment horizontal="left"/>
    </xf>
    <xf numFmtId="0" fontId="0" fillId="0" borderId="13" xfId="0" applyBorder="1"/>
    <xf numFmtId="165" fontId="8" fillId="0" borderId="13" xfId="5" applyNumberFormat="1" applyFont="1" applyBorder="1"/>
    <xf numFmtId="165" fontId="12" fillId="0" borderId="13" xfId="5" applyNumberFormat="1" applyFont="1" applyBorder="1"/>
    <xf numFmtId="17" fontId="12" fillId="0" borderId="13" xfId="0" applyNumberFormat="1" applyFont="1" applyBorder="1" applyAlignment="1">
      <alignment horizontal="left"/>
    </xf>
    <xf numFmtId="0" fontId="11" fillId="0" borderId="13" xfId="0" applyFont="1" applyBorder="1"/>
    <xf numFmtId="0" fontId="12" fillId="0" borderId="13" xfId="0" applyFont="1" applyBorder="1"/>
    <xf numFmtId="0" fontId="0" fillId="5" borderId="13" xfId="0" applyFill="1" applyBorder="1" applyAlignment="1"/>
    <xf numFmtId="166" fontId="8" fillId="5" borderId="13" xfId="1" applyNumberFormat="1" applyFont="1" applyFill="1" applyBorder="1" applyAlignment="1"/>
    <xf numFmtId="166" fontId="0" fillId="5" borderId="13" xfId="0" applyNumberFormat="1" applyFill="1" applyBorder="1" applyAlignment="1"/>
    <xf numFmtId="0" fontId="10" fillId="0" borderId="0" xfId="0" applyFont="1"/>
    <xf numFmtId="0" fontId="10" fillId="0" borderId="0" xfId="0" applyFont="1" applyFill="1"/>
    <xf numFmtId="0" fontId="11" fillId="0" borderId="0" xfId="0" applyFont="1" applyAlignment="1">
      <alignment horizontal="center"/>
    </xf>
    <xf numFmtId="0" fontId="11" fillId="0" borderId="0" xfId="0" applyFont="1" applyFill="1" applyAlignment="1">
      <alignment horizontal="center"/>
    </xf>
    <xf numFmtId="0" fontId="18" fillId="0" borderId="0" xfId="3" applyFont="1" applyFill="1" applyAlignment="1">
      <alignment horizontal="center"/>
    </xf>
    <xf numFmtId="0" fontId="18" fillId="0" borderId="0" xfId="3" applyFont="1" applyAlignment="1">
      <alignment horizontal="center"/>
    </xf>
    <xf numFmtId="0" fontId="13" fillId="0" borderId="0" xfId="4" applyFont="1"/>
    <xf numFmtId="0" fontId="19" fillId="0" borderId="0" xfId="0" applyFont="1"/>
    <xf numFmtId="43" fontId="13" fillId="0" borderId="3" xfId="2" applyFont="1" applyBorder="1"/>
    <xf numFmtId="43" fontId="13" fillId="0" borderId="4" xfId="2" applyFont="1" applyBorder="1"/>
    <xf numFmtId="0" fontId="13" fillId="0" borderId="5" xfId="4" applyFont="1" applyBorder="1"/>
    <xf numFmtId="43" fontId="13" fillId="0" borderId="6" xfId="2" applyFont="1" applyBorder="1"/>
    <xf numFmtId="43" fontId="13" fillId="0" borderId="0" xfId="2" applyFont="1" applyBorder="1"/>
    <xf numFmtId="0" fontId="13" fillId="0" borderId="7" xfId="4" applyFont="1" applyBorder="1"/>
    <xf numFmtId="0" fontId="13" fillId="0" borderId="6" xfId="4" applyFont="1" applyBorder="1"/>
    <xf numFmtId="0" fontId="13" fillId="0" borderId="0" xfId="4" applyFont="1" applyBorder="1"/>
    <xf numFmtId="0" fontId="20" fillId="0" borderId="7" xfId="4" applyFont="1" applyBorder="1" applyAlignment="1">
      <alignment horizontal="right"/>
    </xf>
    <xf numFmtId="166" fontId="13" fillId="0" borderId="7" xfId="4" applyNumberFormat="1" applyFont="1" applyBorder="1"/>
    <xf numFmtId="0" fontId="13" fillId="0" borderId="14" xfId="4" applyFont="1" applyBorder="1"/>
    <xf numFmtId="0" fontId="13" fillId="0" borderId="15" xfId="4" applyFont="1" applyBorder="1"/>
    <xf numFmtId="0" fontId="13" fillId="0" borderId="16" xfId="4" applyFont="1" applyBorder="1"/>
    <xf numFmtId="0" fontId="16" fillId="0" borderId="0" xfId="4" applyFont="1"/>
    <xf numFmtId="166" fontId="13" fillId="0" borderId="0" xfId="1" applyNumberFormat="1" applyFont="1"/>
    <xf numFmtId="0" fontId="13" fillId="0" borderId="3" xfId="4" applyFont="1" applyBorder="1"/>
    <xf numFmtId="0" fontId="13" fillId="0" borderId="4" xfId="4" applyFont="1" applyBorder="1"/>
    <xf numFmtId="0" fontId="13" fillId="0" borderId="0" xfId="4" applyFont="1" applyBorder="1" applyAlignment="1">
      <alignment horizontal="right"/>
    </xf>
    <xf numFmtId="0" fontId="13" fillId="0" borderId="0" xfId="4" applyFont="1" applyBorder="1" applyAlignment="1">
      <alignment horizontal="left"/>
    </xf>
    <xf numFmtId="166" fontId="13" fillId="0" borderId="0" xfId="1" applyNumberFormat="1" applyFont="1" applyBorder="1"/>
    <xf numFmtId="166" fontId="13" fillId="0" borderId="0" xfId="1" applyNumberFormat="1" applyFont="1" applyBorder="1" applyAlignment="1">
      <alignment horizontal="right"/>
    </xf>
    <xf numFmtId="9" fontId="13" fillId="0" borderId="0" xfId="5" applyFont="1" applyBorder="1"/>
    <xf numFmtId="166" fontId="20" fillId="0" borderId="0" xfId="1" applyNumberFormat="1" applyFont="1" applyBorder="1"/>
    <xf numFmtId="166" fontId="13" fillId="0" borderId="0" xfId="4" applyNumberFormat="1" applyFont="1" applyBorder="1"/>
    <xf numFmtId="0" fontId="17" fillId="0" borderId="0" xfId="4" applyFont="1"/>
    <xf numFmtId="43" fontId="21" fillId="0" borderId="0" xfId="2" applyFont="1"/>
    <xf numFmtId="1" fontId="12" fillId="0" borderId="0" xfId="0" applyNumberFormat="1" applyFont="1" applyFill="1"/>
    <xf numFmtId="0" fontId="12" fillId="0" borderId="0" xfId="0" applyFont="1" applyFill="1"/>
    <xf numFmtId="0" fontId="0" fillId="0" borderId="0" xfId="0" applyFill="1" applyBorder="1" applyAlignment="1"/>
    <xf numFmtId="166" fontId="13" fillId="0" borderId="0" xfId="4" applyNumberFormat="1" applyFont="1"/>
    <xf numFmtId="1" fontId="0" fillId="0" borderId="0" xfId="0" applyNumberFormat="1" applyFont="1"/>
    <xf numFmtId="0" fontId="22" fillId="0" borderId="0" xfId="0" applyFont="1"/>
    <xf numFmtId="0" fontId="23" fillId="0" borderId="0" xfId="0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14" xfId="0" applyBorder="1" applyAlignment="1">
      <alignment horizontal="right"/>
    </xf>
    <xf numFmtId="0" fontId="0" fillId="0" borderId="15" xfId="0" applyBorder="1"/>
    <xf numFmtId="0" fontId="0" fillId="0" borderId="16" xfId="0" applyBorder="1"/>
    <xf numFmtId="0" fontId="4" fillId="0" borderId="0" xfId="3" applyFont="1"/>
    <xf numFmtId="0" fontId="0" fillId="7" borderId="0" xfId="0" applyFill="1"/>
    <xf numFmtId="0" fontId="13" fillId="0" borderId="0" xfId="4" applyFont="1"/>
    <xf numFmtId="43" fontId="16" fillId="0" borderId="0" xfId="2" applyFont="1"/>
    <xf numFmtId="43" fontId="24" fillId="0" borderId="0" xfId="2" applyFont="1"/>
    <xf numFmtId="43" fontId="24" fillId="0" borderId="0" xfId="2" applyFont="1" applyAlignment="1">
      <alignment horizontal="center" wrapText="1"/>
    </xf>
    <xf numFmtId="9" fontId="12" fillId="0" borderId="0" xfId="5" applyFont="1"/>
    <xf numFmtId="1" fontId="12" fillId="0" borderId="10" xfId="0" applyNumberFormat="1" applyFont="1" applyFill="1" applyBorder="1"/>
    <xf numFmtId="0" fontId="0" fillId="0" borderId="0" xfId="0" applyFont="1" applyFill="1"/>
    <xf numFmtId="43" fontId="8" fillId="0" borderId="0" xfId="1" applyNumberFormat="1" applyFont="1"/>
    <xf numFmtId="9" fontId="8" fillId="0" borderId="0" xfId="5" applyNumberFormat="1" applyFont="1"/>
    <xf numFmtId="9" fontId="12" fillId="0" borderId="0" xfId="5" applyNumberFormat="1" applyFont="1"/>
    <xf numFmtId="9" fontId="8" fillId="0" borderId="10" xfId="5" applyNumberFormat="1" applyFont="1" applyBorder="1"/>
    <xf numFmtId="0" fontId="0" fillId="0" borderId="8" xfId="0" applyFont="1" applyBorder="1" applyAlignment="1">
      <alignment horizontal="center"/>
    </xf>
    <xf numFmtId="43" fontId="13" fillId="7" borderId="0" xfId="2" applyFont="1" applyFill="1"/>
    <xf numFmtId="0" fontId="0" fillId="0" borderId="0" xfId="0" applyAlignment="1">
      <alignment vertical="top"/>
    </xf>
    <xf numFmtId="0" fontId="0" fillId="7" borderId="0" xfId="0" applyFont="1" applyFill="1"/>
    <xf numFmtId="0" fontId="0" fillId="0" borderId="0" xfId="0" applyFont="1" applyAlignment="1">
      <alignment vertical="top"/>
    </xf>
    <xf numFmtId="166" fontId="8" fillId="7" borderId="0" xfId="1" applyNumberFormat="1" applyFont="1" applyFill="1"/>
    <xf numFmtId="0" fontId="0" fillId="0" borderId="0" xfId="0" applyNumberFormat="1" applyFill="1"/>
    <xf numFmtId="0" fontId="0" fillId="0" borderId="0" xfId="0" applyNumberFormat="1"/>
    <xf numFmtId="166" fontId="0" fillId="0" borderId="0" xfId="0" applyNumberFormat="1" applyFill="1"/>
    <xf numFmtId="166" fontId="8" fillId="0" borderId="0" xfId="1" applyNumberFormat="1" applyFont="1" applyFill="1"/>
    <xf numFmtId="43" fontId="8" fillId="0" borderId="0" xfId="1" applyNumberFormat="1" applyFont="1" applyFill="1"/>
    <xf numFmtId="0" fontId="0" fillId="0" borderId="10" xfId="0" applyFill="1" applyBorder="1"/>
    <xf numFmtId="166" fontId="8" fillId="0" borderId="10" xfId="1" applyNumberFormat="1" applyFont="1" applyFill="1" applyBorder="1"/>
    <xf numFmtId="43" fontId="8" fillId="0" borderId="10" xfId="1" applyNumberFormat="1" applyFont="1" applyFill="1" applyBorder="1"/>
    <xf numFmtId="0" fontId="0" fillId="0" borderId="8" xfId="0" applyFill="1" applyBorder="1" applyAlignment="1">
      <alignment horizontal="center"/>
    </xf>
    <xf numFmtId="1" fontId="0" fillId="0" borderId="0" xfId="0" applyNumberFormat="1" applyFont="1" applyFill="1"/>
    <xf numFmtId="166" fontId="0" fillId="0" borderId="0" xfId="0" applyNumberFormat="1" applyFont="1" applyFill="1"/>
    <xf numFmtId="0" fontId="0" fillId="0" borderId="10" xfId="0" applyFont="1" applyFill="1" applyBorder="1"/>
    <xf numFmtId="166" fontId="0" fillId="0" borderId="10" xfId="0" applyNumberFormat="1" applyFont="1" applyFill="1" applyBorder="1"/>
    <xf numFmtId="166" fontId="0" fillId="0" borderId="0" xfId="0" applyNumberFormat="1" applyFont="1" applyFill="1" applyBorder="1"/>
    <xf numFmtId="1" fontId="0" fillId="0" borderId="0" xfId="0" applyNumberFormat="1" applyFill="1"/>
    <xf numFmtId="0" fontId="0" fillId="5" borderId="0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0" xfId="0" applyFill="1" applyBorder="1" applyAlignment="1">
      <alignment horizontal="center"/>
    </xf>
    <xf numFmtId="166" fontId="8" fillId="0" borderId="0" xfId="1" applyNumberFormat="1" applyFont="1"/>
    <xf numFmtId="165" fontId="8" fillId="0" borderId="0" xfId="5" applyNumberFormat="1" applyFont="1"/>
    <xf numFmtId="166" fontId="8" fillId="0" borderId="10" xfId="1" applyNumberFormat="1" applyFont="1" applyBorder="1"/>
    <xf numFmtId="166" fontId="8" fillId="0" borderId="0" xfId="1" applyNumberFormat="1" applyFont="1" applyBorder="1"/>
    <xf numFmtId="166" fontId="8" fillId="0" borderId="17" xfId="1" applyNumberFormat="1" applyFont="1" applyFill="1" applyBorder="1"/>
    <xf numFmtId="166" fontId="8" fillId="0" borderId="18" xfId="1" applyNumberFormat="1" applyFont="1" applyFill="1" applyBorder="1"/>
    <xf numFmtId="166" fontId="8" fillId="0" borderId="19" xfId="1" applyNumberFormat="1" applyFont="1" applyFill="1" applyBorder="1"/>
    <xf numFmtId="166" fontId="8" fillId="0" borderId="20" xfId="1" applyNumberFormat="1" applyFont="1" applyFill="1" applyBorder="1"/>
    <xf numFmtId="166" fontId="8" fillId="0" borderId="21" xfId="1" applyNumberFormat="1" applyFont="1" applyFill="1" applyBorder="1"/>
    <xf numFmtId="166" fontId="8" fillId="0" borderId="22" xfId="1" applyNumberFormat="1" applyFont="1" applyFill="1" applyBorder="1"/>
    <xf numFmtId="0" fontId="26" fillId="0" borderId="23" xfId="0" applyFont="1" applyFill="1" applyBorder="1" applyAlignment="1">
      <alignment vertical="center" wrapText="1"/>
    </xf>
    <xf numFmtId="0" fontId="10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168" fontId="0" fillId="0" borderId="13" xfId="0" applyNumberFormat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168" fontId="0" fillId="0" borderId="13" xfId="0" applyNumberForma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 wrapText="1"/>
    </xf>
    <xf numFmtId="0" fontId="0" fillId="0" borderId="24" xfId="0" applyNumberFormat="1" applyFill="1" applyBorder="1" applyAlignment="1">
      <alignment horizontal="center" vertical="center"/>
    </xf>
    <xf numFmtId="0" fontId="12" fillId="0" borderId="25" xfId="0" applyFont="1" applyFill="1" applyBorder="1" applyAlignment="1">
      <alignment horizontal="center" vertical="center"/>
    </xf>
    <xf numFmtId="168" fontId="0" fillId="0" borderId="25" xfId="0" applyNumberFormat="1" applyBorder="1" applyAlignment="1">
      <alignment horizontal="center" vertical="center"/>
    </xf>
    <xf numFmtId="0" fontId="0" fillId="0" borderId="25" xfId="0" applyNumberFormat="1" applyFill="1" applyBorder="1" applyAlignment="1">
      <alignment horizontal="center" vertical="center"/>
    </xf>
    <xf numFmtId="166" fontId="8" fillId="0" borderId="0" xfId="1" applyNumberFormat="1" applyFont="1"/>
    <xf numFmtId="43" fontId="8" fillId="0" borderId="0" xfId="1" applyNumberFormat="1" applyFont="1"/>
    <xf numFmtId="166" fontId="10" fillId="0" borderId="0" xfId="1" applyNumberFormat="1" applyFont="1"/>
    <xf numFmtId="9" fontId="13" fillId="0" borderId="0" xfId="5" applyFont="1"/>
    <xf numFmtId="0" fontId="13" fillId="0" borderId="10" xfId="4" applyFont="1" applyBorder="1"/>
    <xf numFmtId="9" fontId="13" fillId="0" borderId="4" xfId="4" applyNumberFormat="1" applyFont="1" applyBorder="1"/>
    <xf numFmtId="0" fontId="27" fillId="0" borderId="0" xfId="0" applyFont="1"/>
    <xf numFmtId="43" fontId="27" fillId="0" borderId="0" xfId="1" applyNumberFormat="1" applyFont="1"/>
    <xf numFmtId="166" fontId="10" fillId="0" borderId="0" xfId="0" applyNumberFormat="1" applyFont="1"/>
    <xf numFmtId="10" fontId="8" fillId="0" borderId="0" xfId="5" applyNumberFormat="1" applyFont="1" applyFill="1"/>
    <xf numFmtId="0" fontId="13" fillId="0" borderId="0" xfId="4" applyFont="1"/>
    <xf numFmtId="0" fontId="0" fillId="5" borderId="0" xfId="0" applyFont="1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0" xfId="0" applyFont="1" applyFill="1" applyBorder="1"/>
    <xf numFmtId="0" fontId="0" fillId="0" borderId="21" xfId="0" applyFont="1" applyFill="1" applyBorder="1"/>
    <xf numFmtId="0" fontId="0" fillId="0" borderId="22" xfId="0" applyFont="1" applyFill="1" applyBorder="1"/>
    <xf numFmtId="166" fontId="0" fillId="0" borderId="20" xfId="0" applyNumberFormat="1" applyFont="1" applyFill="1" applyBorder="1"/>
    <xf numFmtId="166" fontId="0" fillId="0" borderId="21" xfId="0" applyNumberFormat="1" applyFont="1" applyFill="1" applyBorder="1"/>
    <xf numFmtId="166" fontId="0" fillId="0" borderId="22" xfId="0" applyNumberFormat="1" applyFont="1" applyFill="1" applyBorder="1"/>
    <xf numFmtId="0" fontId="4" fillId="9" borderId="0" xfId="0" applyFont="1" applyFill="1"/>
    <xf numFmtId="49" fontId="0" fillId="4" borderId="37" xfId="0" applyNumberFormat="1" applyFill="1" applyBorder="1"/>
    <xf numFmtId="49" fontId="0" fillId="4" borderId="38" xfId="0" applyNumberFormat="1" applyFill="1" applyBorder="1"/>
    <xf numFmtId="0" fontId="17" fillId="2" borderId="1" xfId="10" quotePrefix="1" applyNumberFormat="1" applyFont="1">
      <alignment horizontal="left" vertical="center" indent="1"/>
    </xf>
    <xf numFmtId="49" fontId="0" fillId="4" borderId="39" xfId="0" applyNumberFormat="1" applyFill="1" applyBorder="1"/>
    <xf numFmtId="166" fontId="0" fillId="0" borderId="0" xfId="1" applyNumberFormat="1" applyFont="1" applyFill="1"/>
    <xf numFmtId="166" fontId="0" fillId="0" borderId="10" xfId="1" applyNumberFormat="1" applyFont="1" applyFill="1" applyBorder="1"/>
    <xf numFmtId="1" fontId="12" fillId="0" borderId="0" xfId="0" applyNumberFormat="1" applyFont="1" applyFill="1" applyBorder="1"/>
    <xf numFmtId="166" fontId="0" fillId="0" borderId="0" xfId="1" applyNumberFormat="1" applyFont="1" applyFill="1" applyBorder="1"/>
    <xf numFmtId="43" fontId="8" fillId="0" borderId="0" xfId="1" applyFont="1" applyFill="1" applyBorder="1"/>
    <xf numFmtId="166" fontId="0" fillId="0" borderId="17" xfId="0" applyNumberFormat="1" applyFont="1" applyFill="1" applyBorder="1"/>
    <xf numFmtId="166" fontId="0" fillId="0" borderId="18" xfId="0" applyNumberFormat="1" applyFont="1" applyFill="1" applyBorder="1"/>
    <xf numFmtId="166" fontId="0" fillId="0" borderId="19" xfId="0" applyNumberFormat="1" applyFont="1" applyFill="1" applyBorder="1"/>
    <xf numFmtId="43" fontId="0" fillId="0" borderId="0" xfId="1" applyFont="1"/>
    <xf numFmtId="166" fontId="0" fillId="0" borderId="0" xfId="1" applyNumberFormat="1" applyFont="1"/>
    <xf numFmtId="0" fontId="0" fillId="0" borderId="0" xfId="0" quotePrefix="1" applyAlignment="1">
      <alignment horizontal="right"/>
    </xf>
    <xf numFmtId="166" fontId="0" fillId="0" borderId="40" xfId="0" applyNumberFormat="1" applyBorder="1"/>
    <xf numFmtId="0" fontId="13" fillId="0" borderId="0" xfId="0" applyFont="1" applyAlignment="1">
      <alignment horizontal="right"/>
    </xf>
    <xf numFmtId="0" fontId="13" fillId="0" borderId="0" xfId="0" quotePrefix="1" applyFont="1" applyAlignment="1">
      <alignment horizontal="right"/>
    </xf>
    <xf numFmtId="43" fontId="13" fillId="0" borderId="0" xfId="1" applyFont="1"/>
    <xf numFmtId="166" fontId="13" fillId="0" borderId="40" xfId="0" applyNumberFormat="1" applyFont="1" applyBorder="1"/>
    <xf numFmtId="43" fontId="13" fillId="0" borderId="0" xfId="4" applyNumberFormat="1" applyFont="1"/>
    <xf numFmtId="166" fontId="0" fillId="0" borderId="17" xfId="1" applyNumberFormat="1" applyFont="1" applyFill="1" applyBorder="1"/>
    <xf numFmtId="166" fontId="0" fillId="0" borderId="18" xfId="1" applyNumberFormat="1" applyFont="1" applyFill="1" applyBorder="1"/>
    <xf numFmtId="166" fontId="0" fillId="0" borderId="19" xfId="1" applyNumberFormat="1" applyFont="1" applyFill="1" applyBorder="1"/>
    <xf numFmtId="166" fontId="12" fillId="0" borderId="19" xfId="1" applyNumberFormat="1" applyFont="1" applyFill="1" applyBorder="1" applyAlignment="1">
      <alignment horizontal="right" vertical="center"/>
    </xf>
    <xf numFmtId="166" fontId="12" fillId="0" borderId="10" xfId="1" applyNumberFormat="1" applyFont="1" applyFill="1" applyBorder="1" applyAlignment="1">
      <alignment horizontal="right" vertical="center"/>
    </xf>
    <xf numFmtId="166" fontId="0" fillId="0" borderId="0" xfId="0" applyNumberFormat="1" applyAlignment="1"/>
    <xf numFmtId="9" fontId="12" fillId="0" borderId="17" xfId="5" applyFont="1" applyBorder="1"/>
    <xf numFmtId="9" fontId="12" fillId="0" borderId="18" xfId="5" applyFont="1" applyBorder="1"/>
    <xf numFmtId="9" fontId="8" fillId="0" borderId="20" xfId="5" applyFont="1" applyBorder="1"/>
    <xf numFmtId="9" fontId="8" fillId="0" borderId="21" xfId="5" applyFont="1" applyBorder="1"/>
    <xf numFmtId="9" fontId="8" fillId="0" borderId="10" xfId="5" applyFont="1" applyBorder="1"/>
    <xf numFmtId="0" fontId="0" fillId="0" borderId="17" xfId="0" applyFill="1" applyBorder="1"/>
    <xf numFmtId="0" fontId="0" fillId="0" borderId="18" xfId="0" applyFill="1" applyBorder="1"/>
    <xf numFmtId="1" fontId="12" fillId="0" borderId="18" xfId="0" applyNumberFormat="1" applyFont="1" applyFill="1" applyBorder="1"/>
    <xf numFmtId="0" fontId="12" fillId="0" borderId="18" xfId="0" applyFont="1" applyFill="1" applyBorder="1"/>
    <xf numFmtId="1" fontId="12" fillId="0" borderId="19" xfId="0" applyNumberFormat="1" applyFont="1" applyFill="1" applyBorder="1"/>
    <xf numFmtId="0" fontId="0" fillId="0" borderId="8" xfId="0" applyFont="1" applyFill="1" applyBorder="1" applyAlignment="1">
      <alignment horizontal="center"/>
    </xf>
    <xf numFmtId="166" fontId="25" fillId="0" borderId="0" xfId="1" applyNumberFormat="1" applyFont="1" applyFill="1" applyBorder="1" applyAlignment="1">
      <alignment horizontal="right" vertical="center"/>
    </xf>
    <xf numFmtId="9" fontId="8" fillId="0" borderId="17" xfId="5" applyFont="1" applyBorder="1"/>
    <xf numFmtId="9" fontId="8" fillId="0" borderId="18" xfId="5" applyFont="1" applyBorder="1"/>
    <xf numFmtId="9" fontId="8" fillId="0" borderId="22" xfId="5" applyFont="1" applyBorder="1"/>
    <xf numFmtId="0" fontId="31" fillId="0" borderId="13" xfId="0" applyFont="1" applyBorder="1"/>
    <xf numFmtId="0" fontId="31" fillId="11" borderId="13" xfId="0" applyFont="1" applyFill="1" applyBorder="1"/>
    <xf numFmtId="165" fontId="31" fillId="0" borderId="13" xfId="5" quotePrefix="1" applyNumberFormat="1" applyFont="1" applyBorder="1" applyAlignment="1">
      <alignment horizontal="center"/>
    </xf>
    <xf numFmtId="169" fontId="31" fillId="0" borderId="13" xfId="11" applyNumberFormat="1" applyFont="1" applyBorder="1"/>
    <xf numFmtId="0" fontId="31" fillId="0" borderId="13" xfId="0" applyFont="1" applyFill="1" applyBorder="1"/>
    <xf numFmtId="0" fontId="31" fillId="0" borderId="13" xfId="0" quotePrefix="1" applyFont="1" applyBorder="1"/>
    <xf numFmtId="9" fontId="31" fillId="0" borderId="13" xfId="5" applyFont="1" applyBorder="1" applyAlignment="1">
      <alignment horizontal="center"/>
    </xf>
    <xf numFmtId="169" fontId="31" fillId="0" borderId="13" xfId="11" applyNumberFormat="1" applyFont="1" applyFill="1" applyBorder="1"/>
    <xf numFmtId="0" fontId="32" fillId="0" borderId="23" xfId="0" applyFont="1" applyFill="1" applyBorder="1" applyAlignment="1"/>
    <xf numFmtId="0" fontId="33" fillId="12" borderId="13" xfId="0" applyFont="1" applyFill="1" applyBorder="1" applyAlignment="1">
      <alignment horizontal="center"/>
    </xf>
    <xf numFmtId="169" fontId="34" fillId="0" borderId="13" xfId="11" applyNumberFormat="1" applyFont="1" applyBorder="1"/>
    <xf numFmtId="44" fontId="31" fillId="13" borderId="13" xfId="11" applyFont="1" applyFill="1" applyBorder="1"/>
    <xf numFmtId="44" fontId="31" fillId="0" borderId="13" xfId="11" applyFont="1" applyFill="1" applyBorder="1"/>
    <xf numFmtId="0" fontId="32" fillId="0" borderId="13" xfId="0" applyFont="1" applyFill="1" applyBorder="1" applyAlignment="1"/>
    <xf numFmtId="0" fontId="33" fillId="0" borderId="13" xfId="0" applyFont="1" applyFill="1" applyBorder="1" applyAlignment="1">
      <alignment horizontal="center"/>
    </xf>
    <xf numFmtId="169" fontId="35" fillId="0" borderId="13" xfId="11" applyNumberFormat="1" applyFont="1" applyBorder="1"/>
    <xf numFmtId="0" fontId="32" fillId="0" borderId="13" xfId="0" applyFont="1" applyFill="1" applyBorder="1" applyAlignment="1">
      <alignment horizontal="right"/>
    </xf>
    <xf numFmtId="0" fontId="36" fillId="0" borderId="13" xfId="0" applyFont="1" applyBorder="1"/>
    <xf numFmtId="169" fontId="31" fillId="14" borderId="13" xfId="11" applyNumberFormat="1" applyFont="1" applyFill="1" applyBorder="1"/>
    <xf numFmtId="0" fontId="31" fillId="14" borderId="13" xfId="0" applyFont="1" applyFill="1" applyBorder="1"/>
    <xf numFmtId="169" fontId="31" fillId="15" borderId="13" xfId="11" applyNumberFormat="1" applyFont="1" applyFill="1" applyBorder="1"/>
    <xf numFmtId="0" fontId="31" fillId="15" borderId="13" xfId="0" applyFont="1" applyFill="1" applyBorder="1"/>
    <xf numFmtId="169" fontId="37" fillId="16" borderId="13" xfId="11" applyNumberFormat="1" applyFont="1" applyFill="1" applyBorder="1"/>
    <xf numFmtId="0" fontId="37" fillId="16" borderId="13" xfId="0" applyFont="1" applyFill="1" applyBorder="1"/>
    <xf numFmtId="169" fontId="31" fillId="16" borderId="13" xfId="11" applyNumberFormat="1" applyFont="1" applyFill="1" applyBorder="1"/>
    <xf numFmtId="169" fontId="37" fillId="0" borderId="13" xfId="11" applyNumberFormat="1" applyFont="1" applyFill="1" applyBorder="1"/>
    <xf numFmtId="0" fontId="37" fillId="0" borderId="13" xfId="0" applyFont="1" applyFill="1" applyBorder="1"/>
    <xf numFmtId="3" fontId="32" fillId="0" borderId="13" xfId="12" applyNumberFormat="1" applyFont="1" applyFill="1" applyBorder="1" applyAlignment="1">
      <alignment horizontal="center"/>
    </xf>
    <xf numFmtId="3" fontId="39" fillId="0" borderId="13" xfId="13" applyNumberFormat="1" applyFont="1" applyFill="1" applyBorder="1" applyAlignment="1">
      <alignment horizontal="center"/>
    </xf>
    <xf numFmtId="3" fontId="31" fillId="0" borderId="13" xfId="13" applyNumberFormat="1" applyFont="1" applyFill="1" applyBorder="1" applyAlignment="1">
      <alignment horizontal="center"/>
    </xf>
    <xf numFmtId="169" fontId="40" fillId="0" borderId="13" xfId="11" applyNumberFormat="1" applyFont="1" applyBorder="1"/>
    <xf numFmtId="169" fontId="40" fillId="17" borderId="13" xfId="11" applyNumberFormat="1" applyFont="1" applyFill="1" applyBorder="1" applyAlignment="1">
      <alignment horizontal="center"/>
    </xf>
    <xf numFmtId="0" fontId="40" fillId="0" borderId="13" xfId="0" applyFont="1" applyBorder="1"/>
    <xf numFmtId="169" fontId="40" fillId="18" borderId="13" xfId="11" applyNumberFormat="1" applyFont="1" applyFill="1" applyBorder="1"/>
    <xf numFmtId="169" fontId="40" fillId="7" borderId="13" xfId="11" applyNumberFormat="1" applyFont="1" applyFill="1" applyBorder="1"/>
    <xf numFmtId="0" fontId="41" fillId="0" borderId="13" xfId="0" applyFont="1" applyBorder="1" applyAlignment="1">
      <alignment horizontal="left"/>
    </xf>
    <xf numFmtId="169" fontId="40" fillId="7" borderId="13" xfId="11" applyNumberFormat="1" applyFont="1" applyFill="1" applyBorder="1" applyAlignment="1">
      <alignment horizontal="center"/>
    </xf>
    <xf numFmtId="0" fontId="32" fillId="0" borderId="13" xfId="12" applyFont="1" applyFill="1" applyBorder="1"/>
    <xf numFmtId="169" fontId="32" fillId="0" borderId="13" xfId="11" applyNumberFormat="1" applyFont="1" applyFill="1" applyBorder="1"/>
    <xf numFmtId="0" fontId="32" fillId="0" borderId="13" xfId="0" applyFont="1" applyFill="1" applyBorder="1"/>
    <xf numFmtId="170" fontId="31" fillId="0" borderId="13" xfId="13" applyFont="1" applyBorder="1"/>
    <xf numFmtId="169" fontId="31" fillId="14" borderId="13" xfId="11" quotePrefix="1" applyNumberFormat="1" applyFont="1" applyFill="1" applyBorder="1" applyAlignment="1">
      <alignment horizontal="center"/>
    </xf>
    <xf numFmtId="169" fontId="33" fillId="17" borderId="13" xfId="11" applyNumberFormat="1" applyFont="1" applyFill="1" applyBorder="1" applyAlignment="1">
      <alignment horizontal="center"/>
    </xf>
    <xf numFmtId="3" fontId="36" fillId="14" borderId="13" xfId="13" applyNumberFormat="1" applyFont="1" applyFill="1" applyBorder="1" applyAlignment="1">
      <alignment horizontal="center"/>
    </xf>
    <xf numFmtId="169" fontId="31" fillId="14" borderId="13" xfId="11" applyNumberFormat="1" applyFont="1" applyFill="1" applyBorder="1" applyAlignment="1">
      <alignment horizontal="center"/>
    </xf>
    <xf numFmtId="3" fontId="31" fillId="14" borderId="13" xfId="13" applyNumberFormat="1" applyFont="1" applyFill="1" applyBorder="1" applyAlignment="1">
      <alignment horizontal="left" indent="1"/>
    </xf>
    <xf numFmtId="0" fontId="42" fillId="14" borderId="13" xfId="0" applyFont="1" applyFill="1" applyBorder="1"/>
    <xf numFmtId="44" fontId="31" fillId="14" borderId="13" xfId="11" applyNumberFormat="1" applyFont="1" applyFill="1" applyBorder="1"/>
    <xf numFmtId="169" fontId="31" fillId="7" borderId="13" xfId="11" applyNumberFormat="1" applyFont="1" applyFill="1" applyBorder="1" applyAlignment="1">
      <alignment horizontal="left"/>
    </xf>
    <xf numFmtId="169" fontId="31" fillId="7" borderId="13" xfId="11" applyNumberFormat="1" applyFont="1" applyFill="1" applyBorder="1"/>
    <xf numFmtId="0" fontId="0" fillId="0" borderId="17" xfId="0" applyBorder="1"/>
    <xf numFmtId="0" fontId="0" fillId="0" borderId="18" xfId="0" applyBorder="1"/>
    <xf numFmtId="0" fontId="12" fillId="0" borderId="18" xfId="0" applyFont="1" applyBorder="1"/>
    <xf numFmtId="0" fontId="0" fillId="0" borderId="19" xfId="0" applyBorder="1"/>
    <xf numFmtId="9" fontId="8" fillId="0" borderId="0" xfId="5" applyNumberFormat="1" applyFont="1" applyBorder="1"/>
    <xf numFmtId="0" fontId="0" fillId="0" borderId="0" xfId="0"/>
    <xf numFmtId="0" fontId="10" fillId="0" borderId="13" xfId="0" applyFont="1" applyBorder="1" applyAlignment="1">
      <alignment horizontal="center" vertical="center" wrapText="1"/>
    </xf>
    <xf numFmtId="0" fontId="0" fillId="0" borderId="23" xfId="0" applyBorder="1"/>
    <xf numFmtId="0" fontId="0" fillId="0" borderId="29" xfId="0" applyBorder="1"/>
    <xf numFmtId="0" fontId="29" fillId="0" borderId="29" xfId="0" applyFont="1" applyBorder="1" applyAlignment="1">
      <alignment vertical="center"/>
    </xf>
    <xf numFmtId="0" fontId="29" fillId="0" borderId="30" xfId="0" applyFont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168" fontId="0" fillId="0" borderId="13" xfId="0" applyNumberFormat="1" applyFont="1" applyBorder="1" applyAlignment="1">
      <alignment horizontal="center" vertical="center"/>
    </xf>
    <xf numFmtId="168" fontId="0" fillId="7" borderId="13" xfId="0" applyNumberFormat="1" applyFont="1" applyFill="1" applyBorder="1" applyAlignment="1">
      <alignment horizontal="center" vertical="center"/>
    </xf>
    <xf numFmtId="168" fontId="0" fillId="0" borderId="13" xfId="0" applyNumberFormat="1" applyFont="1" applyFill="1" applyBorder="1" applyAlignment="1">
      <alignment horizontal="center" vertical="center"/>
    </xf>
    <xf numFmtId="0" fontId="0" fillId="7" borderId="0" xfId="0" applyFill="1"/>
    <xf numFmtId="169" fontId="0" fillId="0" borderId="0" xfId="0" applyNumberFormat="1"/>
    <xf numFmtId="44" fontId="0" fillId="0" borderId="0" xfId="0" applyNumberFormat="1"/>
    <xf numFmtId="0" fontId="1" fillId="20" borderId="0" xfId="14"/>
    <xf numFmtId="0" fontId="1" fillId="20" borderId="0" xfId="14" applyAlignment="1"/>
    <xf numFmtId="0" fontId="1" fillId="20" borderId="0" xfId="14" quotePrefix="1" applyAlignment="1"/>
    <xf numFmtId="0" fontId="1" fillId="21" borderId="41" xfId="14" applyFill="1" applyBorder="1"/>
    <xf numFmtId="0" fontId="1" fillId="21" borderId="41" xfId="14" applyFill="1" applyBorder="1" applyAlignment="1">
      <alignment vertical="center"/>
    </xf>
    <xf numFmtId="0" fontId="43" fillId="21" borderId="41" xfId="14" applyFont="1" applyFill="1" applyBorder="1" applyAlignment="1">
      <alignment horizontal="right" vertical="center"/>
    </xf>
    <xf numFmtId="0" fontId="1" fillId="21" borderId="41" xfId="14" quotePrefix="1" applyFill="1" applyBorder="1" applyAlignment="1">
      <alignment vertical="center"/>
    </xf>
    <xf numFmtId="0" fontId="1" fillId="21" borderId="42" xfId="14" applyFill="1" applyBorder="1"/>
    <xf numFmtId="0" fontId="4" fillId="22" borderId="43" xfId="15" applyFont="1" applyFill="1" applyBorder="1"/>
    <xf numFmtId="0" fontId="43" fillId="22" borderId="44" xfId="15" applyFill="1" applyBorder="1"/>
    <xf numFmtId="0" fontId="43" fillId="22" borderId="45" xfId="15" applyFill="1" applyBorder="1"/>
    <xf numFmtId="0" fontId="1" fillId="20" borderId="0" xfId="14" applyBorder="1"/>
    <xf numFmtId="0" fontId="1" fillId="20" borderId="0" xfId="14" applyFont="1" applyBorder="1"/>
    <xf numFmtId="0" fontId="1" fillId="4" borderId="43" xfId="14" applyFill="1" applyBorder="1"/>
    <xf numFmtId="0" fontId="1" fillId="4" borderId="44" xfId="14" quotePrefix="1" applyFill="1" applyBorder="1"/>
    <xf numFmtId="0" fontId="1" fillId="4" borderId="44" xfId="14" applyFill="1" applyBorder="1"/>
    <xf numFmtId="0" fontId="1" fillId="4" borderId="45" xfId="14" quotePrefix="1" applyFill="1" applyBorder="1"/>
    <xf numFmtId="0" fontId="1" fillId="4" borderId="46" xfId="14" applyFill="1" applyBorder="1"/>
    <xf numFmtId="0" fontId="1" fillId="4" borderId="0" xfId="14" quotePrefix="1" applyFill="1" applyBorder="1"/>
    <xf numFmtId="0" fontId="1" fillId="4" borderId="0" xfId="14" applyFill="1" applyBorder="1"/>
    <xf numFmtId="0" fontId="1" fillId="4" borderId="47" xfId="14" quotePrefix="1" applyFill="1" applyBorder="1"/>
    <xf numFmtId="0" fontId="1" fillId="4" borderId="48" xfId="14" applyFill="1" applyBorder="1"/>
    <xf numFmtId="0" fontId="1" fillId="4" borderId="49" xfId="14" quotePrefix="1" applyFill="1" applyBorder="1"/>
    <xf numFmtId="0" fontId="1" fillId="4" borderId="49" xfId="14" applyFill="1" applyBorder="1"/>
    <xf numFmtId="0" fontId="1" fillId="4" borderId="50" xfId="14" quotePrefix="1" applyFill="1" applyBorder="1"/>
    <xf numFmtId="0" fontId="4" fillId="9" borderId="0" xfId="14" applyFont="1" applyFill="1"/>
    <xf numFmtId="49" fontId="1" fillId="4" borderId="37" xfId="14" applyNumberFormat="1" applyFill="1" applyBorder="1"/>
    <xf numFmtId="49" fontId="1" fillId="4" borderId="38" xfId="14" applyNumberFormat="1" applyFill="1" applyBorder="1"/>
    <xf numFmtId="0" fontId="1" fillId="7" borderId="1" xfId="10" quotePrefix="1" applyNumberFormat="1" applyFill="1">
      <alignment horizontal="left" vertical="center" indent="1"/>
    </xf>
    <xf numFmtId="49" fontId="1" fillId="4" borderId="39" xfId="14" applyNumberFormat="1" applyFill="1" applyBorder="1"/>
    <xf numFmtId="3" fontId="2" fillId="4" borderId="1" xfId="9" applyNumberFormat="1">
      <alignment horizontal="right" vertical="center"/>
    </xf>
    <xf numFmtId="167" fontId="2" fillId="4" borderId="1" xfId="9" applyNumberFormat="1">
      <alignment horizontal="right" vertical="center"/>
    </xf>
    <xf numFmtId="166" fontId="0" fillId="0" borderId="21" xfId="1" applyNumberFormat="1" applyFont="1" applyFill="1" applyBorder="1"/>
    <xf numFmtId="166" fontId="8" fillId="0" borderId="0" xfId="1" applyNumberFormat="1" applyFont="1" applyFill="1" applyBorder="1"/>
    <xf numFmtId="0" fontId="1" fillId="0" borderId="0" xfId="0" applyFont="1" applyBorder="1"/>
    <xf numFmtId="0" fontId="0" fillId="4" borderId="43" xfId="0" applyFill="1" applyBorder="1"/>
    <xf numFmtId="0" fontId="0" fillId="4" borderId="44" xfId="0" quotePrefix="1" applyFill="1" applyBorder="1"/>
    <xf numFmtId="0" fontId="0" fillId="4" borderId="44" xfId="0" applyFill="1" applyBorder="1"/>
    <xf numFmtId="0" fontId="0" fillId="4" borderId="45" xfId="0" quotePrefix="1" applyFill="1" applyBorder="1"/>
    <xf numFmtId="0" fontId="0" fillId="4" borderId="46" xfId="0" applyFill="1" applyBorder="1"/>
    <xf numFmtId="0" fontId="0" fillId="4" borderId="0" xfId="0" quotePrefix="1" applyFill="1" applyBorder="1"/>
    <xf numFmtId="0" fontId="0" fillId="4" borderId="0" xfId="0" applyFill="1" applyBorder="1"/>
    <xf numFmtId="0" fontId="0" fillId="4" borderId="47" xfId="0" quotePrefix="1" applyFill="1" applyBorder="1"/>
    <xf numFmtId="0" fontId="0" fillId="4" borderId="48" xfId="0" applyFill="1" applyBorder="1"/>
    <xf numFmtId="0" fontId="0" fillId="4" borderId="49" xfId="0" quotePrefix="1" applyFill="1" applyBorder="1"/>
    <xf numFmtId="0" fontId="0" fillId="4" borderId="49" xfId="0" applyFill="1" applyBorder="1"/>
    <xf numFmtId="0" fontId="0" fillId="4" borderId="50" xfId="0" quotePrefix="1" applyFill="1" applyBorder="1"/>
    <xf numFmtId="166" fontId="8" fillId="0" borderId="13" xfId="1" applyNumberFormat="1" applyFont="1" applyFill="1" applyBorder="1"/>
    <xf numFmtId="166" fontId="11" fillId="0" borderId="13" xfId="1" applyNumberFormat="1" applyFont="1" applyFill="1" applyBorder="1"/>
    <xf numFmtId="0" fontId="0" fillId="0" borderId="0" xfId="0" applyAlignment="1"/>
    <xf numFmtId="0" fontId="0" fillId="0" borderId="0" xfId="0" quotePrefix="1" applyAlignment="1"/>
    <xf numFmtId="0" fontId="0" fillId="21" borderId="41" xfId="0" applyFill="1" applyBorder="1"/>
    <xf numFmtId="0" fontId="0" fillId="21" borderId="41" xfId="0" applyFill="1" applyBorder="1" applyAlignment="1">
      <alignment vertical="center"/>
    </xf>
    <xf numFmtId="0" fontId="43" fillId="21" borderId="41" xfId="0" applyFont="1" applyFill="1" applyBorder="1" applyAlignment="1">
      <alignment horizontal="right" vertical="center"/>
    </xf>
    <xf numFmtId="0" fontId="0" fillId="21" borderId="41" xfId="0" quotePrefix="1" applyFill="1" applyBorder="1" applyAlignment="1">
      <alignment vertical="center"/>
    </xf>
    <xf numFmtId="0" fontId="0" fillId="21" borderId="42" xfId="0" applyFill="1" applyBorder="1"/>
    <xf numFmtId="164" fontId="1" fillId="7" borderId="1" xfId="8" applyNumberFormat="1" applyFill="1">
      <alignment horizontal="right" vertical="center"/>
    </xf>
    <xf numFmtId="166" fontId="8" fillId="0" borderId="13" xfId="1" applyNumberFormat="1" applyFont="1" applyFill="1" applyBorder="1" applyAlignment="1"/>
    <xf numFmtId="9" fontId="8" fillId="0" borderId="0" xfId="5" applyFont="1" applyBorder="1"/>
    <xf numFmtId="9" fontId="8" fillId="0" borderId="19" xfId="5" applyFont="1" applyBorder="1"/>
    <xf numFmtId="164" fontId="43" fillId="0" borderId="1" xfId="8" applyNumberFormat="1" applyFont="1">
      <alignment horizontal="right" vertical="center"/>
    </xf>
    <xf numFmtId="9" fontId="44" fillId="0" borderId="0" xfId="5" applyFont="1"/>
    <xf numFmtId="9" fontId="10" fillId="0" borderId="0" xfId="5" applyNumberFormat="1" applyFont="1"/>
    <xf numFmtId="0" fontId="0" fillId="5" borderId="0" xfId="0" applyFill="1" applyBorder="1" applyAlignment="1">
      <alignment horizontal="center"/>
    </xf>
    <xf numFmtId="1" fontId="0" fillId="0" borderId="0" xfId="0" applyNumberFormat="1" applyAlignment="1">
      <alignment horizontal="right"/>
    </xf>
    <xf numFmtId="9" fontId="12" fillId="5" borderId="0" xfId="5" applyFont="1" applyFill="1" applyBorder="1"/>
    <xf numFmtId="166" fontId="12" fillId="0" borderId="18" xfId="1" applyNumberFormat="1" applyFont="1" applyFill="1" applyBorder="1" applyAlignment="1">
      <alignment horizontal="right" vertical="center"/>
    </xf>
    <xf numFmtId="9" fontId="8" fillId="5" borderId="0" xfId="5" applyFont="1" applyFill="1"/>
    <xf numFmtId="0" fontId="0" fillId="0" borderId="11" xfId="0" applyFont="1" applyBorder="1" applyAlignment="1">
      <alignment horizontal="center"/>
    </xf>
    <xf numFmtId="0" fontId="46" fillId="0" borderId="0" xfId="0" applyFont="1" applyFill="1"/>
    <xf numFmtId="166" fontId="46" fillId="0" borderId="0" xfId="1" applyNumberFormat="1" applyFont="1" applyFill="1"/>
    <xf numFmtId="166" fontId="47" fillId="0" borderId="53" xfId="1" applyNumberFormat="1" applyFont="1" applyFill="1" applyBorder="1" applyAlignment="1">
      <alignment horizontal="center" vertical="center"/>
    </xf>
    <xf numFmtId="166" fontId="47" fillId="0" borderId="53" xfId="1" applyNumberFormat="1" applyFont="1" applyFill="1" applyBorder="1" applyAlignment="1">
      <alignment horizontal="center" wrapText="1"/>
    </xf>
    <xf numFmtId="166" fontId="48" fillId="0" borderId="53" xfId="1" applyNumberFormat="1" applyFont="1" applyFill="1" applyBorder="1" applyAlignment="1">
      <alignment horizontal="center" vertical="center"/>
    </xf>
    <xf numFmtId="166" fontId="48" fillId="0" borderId="53" xfId="1" applyNumberFormat="1" applyFont="1" applyFill="1" applyBorder="1" applyAlignment="1">
      <alignment horizontal="center" vertical="center" wrapText="1"/>
    </xf>
    <xf numFmtId="166" fontId="46" fillId="0" borderId="0" xfId="1" applyNumberFormat="1" applyFont="1" applyFill="1" applyAlignment="1">
      <alignment horizontal="center"/>
    </xf>
    <xf numFmtId="166" fontId="46" fillId="0" borderId="0" xfId="0" applyNumberFormat="1" applyFont="1" applyFill="1" applyAlignment="1">
      <alignment horizontal="center"/>
    </xf>
    <xf numFmtId="166" fontId="46" fillId="0" borderId="0" xfId="0" applyNumberFormat="1" applyFont="1" applyFill="1" applyAlignment="1">
      <alignment horizontal="center" wrapText="1"/>
    </xf>
    <xf numFmtId="166" fontId="46" fillId="0" borderId="0" xfId="0" applyNumberFormat="1" applyFont="1" applyFill="1"/>
    <xf numFmtId="49" fontId="49" fillId="0" borderId="54" xfId="0" applyNumberFormat="1" applyFont="1" applyFill="1" applyBorder="1"/>
    <xf numFmtId="49" fontId="49" fillId="0" borderId="55" xfId="0" applyNumberFormat="1" applyFont="1" applyFill="1" applyBorder="1"/>
    <xf numFmtId="166" fontId="49" fillId="0" borderId="55" xfId="1" applyNumberFormat="1" applyFont="1" applyFill="1" applyBorder="1"/>
    <xf numFmtId="166" fontId="50" fillId="0" borderId="53" xfId="1" applyNumberFormat="1" applyFont="1" applyFill="1" applyBorder="1" applyAlignment="1">
      <alignment horizontal="right"/>
    </xf>
    <xf numFmtId="166" fontId="51" fillId="0" borderId="53" xfId="1" applyNumberFormat="1" applyFont="1" applyFill="1" applyBorder="1" applyAlignment="1">
      <alignment horizontal="right"/>
    </xf>
    <xf numFmtId="49" fontId="49" fillId="0" borderId="56" xfId="0" applyNumberFormat="1" applyFont="1" applyFill="1" applyBorder="1"/>
    <xf numFmtId="49" fontId="49" fillId="0" borderId="57" xfId="0" applyNumberFormat="1" applyFont="1" applyFill="1" applyBorder="1"/>
    <xf numFmtId="166" fontId="49" fillId="0" borderId="57" xfId="1" applyNumberFormat="1" applyFont="1" applyFill="1" applyBorder="1"/>
    <xf numFmtId="166" fontId="50" fillId="0" borderId="58" xfId="1" applyNumberFormat="1" applyFont="1" applyFill="1" applyBorder="1" applyAlignment="1">
      <alignment horizontal="right"/>
    </xf>
    <xf numFmtId="166" fontId="49" fillId="0" borderId="59" xfId="1" applyNumberFormat="1" applyFont="1" applyFill="1" applyBorder="1"/>
    <xf numFmtId="166" fontId="50" fillId="0" borderId="60" xfId="1" applyNumberFormat="1" applyFont="1" applyFill="1" applyBorder="1" applyAlignment="1">
      <alignment horizontal="right"/>
    </xf>
    <xf numFmtId="166" fontId="51" fillId="0" borderId="61" xfId="1" applyNumberFormat="1" applyFont="1" applyFill="1" applyBorder="1" applyAlignment="1">
      <alignment horizontal="right"/>
    </xf>
    <xf numFmtId="166" fontId="45" fillId="0" borderId="0" xfId="50" applyNumberFormat="1" applyFill="1"/>
    <xf numFmtId="166" fontId="49" fillId="0" borderId="62" xfId="1" applyNumberFormat="1" applyFont="1" applyFill="1" applyBorder="1"/>
    <xf numFmtId="166" fontId="49" fillId="0" borderId="63" xfId="1" applyNumberFormat="1" applyFont="1" applyFill="1" applyBorder="1"/>
    <xf numFmtId="166" fontId="51" fillId="0" borderId="13" xfId="1" applyNumberFormat="1" applyFont="1" applyFill="1" applyBorder="1" applyAlignment="1">
      <alignment horizontal="right"/>
    </xf>
    <xf numFmtId="166" fontId="51" fillId="0" borderId="64" xfId="1" applyNumberFormat="1" applyFont="1" applyFill="1" applyBorder="1" applyAlignment="1">
      <alignment horizontal="right"/>
    </xf>
    <xf numFmtId="166" fontId="49" fillId="0" borderId="18" xfId="1" applyNumberFormat="1" applyFont="1" applyFill="1" applyBorder="1"/>
    <xf numFmtId="166" fontId="49" fillId="0" borderId="0" xfId="1" applyNumberFormat="1" applyFont="1" applyFill="1" applyBorder="1"/>
    <xf numFmtId="165" fontId="51" fillId="0" borderId="13" xfId="5" applyNumberFormat="1" applyFont="1" applyFill="1" applyBorder="1" applyAlignment="1">
      <alignment horizontal="right"/>
    </xf>
    <xf numFmtId="165" fontId="51" fillId="0" borderId="64" xfId="5" applyNumberFormat="1" applyFont="1" applyFill="1" applyBorder="1" applyAlignment="1">
      <alignment horizontal="right"/>
    </xf>
    <xf numFmtId="165" fontId="51" fillId="0" borderId="0" xfId="5" applyNumberFormat="1" applyFont="1" applyFill="1" applyBorder="1" applyAlignment="1">
      <alignment horizontal="right"/>
    </xf>
    <xf numFmtId="0" fontId="46" fillId="7" borderId="0" xfId="0" applyFont="1" applyFill="1"/>
    <xf numFmtId="49" fontId="49" fillId="0" borderId="57" xfId="0" applyNumberFormat="1" applyFont="1" applyFill="1" applyBorder="1" applyAlignment="1">
      <alignment wrapText="1"/>
    </xf>
    <xf numFmtId="166" fontId="50" fillId="0" borderId="65" xfId="1" applyNumberFormat="1" applyFont="1" applyFill="1" applyBorder="1" applyAlignment="1">
      <alignment horizontal="right"/>
    </xf>
    <xf numFmtId="166" fontId="50" fillId="0" borderId="66" xfId="1" applyNumberFormat="1" applyFont="1" applyFill="1" applyBorder="1" applyAlignment="1">
      <alignment horizontal="right"/>
    </xf>
    <xf numFmtId="166" fontId="50" fillId="0" borderId="67" xfId="1" applyNumberFormat="1" applyFont="1" applyFill="1" applyBorder="1" applyAlignment="1">
      <alignment horizontal="right"/>
    </xf>
    <xf numFmtId="166" fontId="46" fillId="7" borderId="0" xfId="0" applyNumberFormat="1" applyFont="1" applyFill="1"/>
    <xf numFmtId="166" fontId="49" fillId="0" borderId="68" xfId="1" applyNumberFormat="1" applyFont="1" applyFill="1" applyBorder="1"/>
    <xf numFmtId="166" fontId="50" fillId="0" borderId="69" xfId="1" applyNumberFormat="1" applyFont="1" applyFill="1" applyBorder="1" applyAlignment="1">
      <alignment horizontal="right"/>
    </xf>
    <xf numFmtId="166" fontId="51" fillId="0" borderId="58" xfId="1" applyNumberFormat="1" applyFont="1" applyFill="1" applyBorder="1" applyAlignment="1">
      <alignment horizontal="right"/>
    </xf>
    <xf numFmtId="166" fontId="52" fillId="7" borderId="0" xfId="0" applyNumberFormat="1" applyFont="1" applyFill="1"/>
    <xf numFmtId="165" fontId="46" fillId="0" borderId="13" xfId="5" applyNumberFormat="1" applyFont="1" applyFill="1" applyBorder="1"/>
    <xf numFmtId="166" fontId="50" fillId="0" borderId="13" xfId="1" applyNumberFormat="1" applyFont="1" applyFill="1" applyBorder="1" applyAlignment="1">
      <alignment horizontal="right"/>
    </xf>
    <xf numFmtId="166" fontId="53" fillId="7" borderId="0" xfId="0" applyNumberFormat="1" applyFont="1" applyFill="1"/>
    <xf numFmtId="166" fontId="54" fillId="7" borderId="0" xfId="0" applyNumberFormat="1" applyFont="1" applyFill="1"/>
    <xf numFmtId="165" fontId="8" fillId="0" borderId="10" xfId="5" applyNumberFormat="1" applyFont="1" applyBorder="1"/>
    <xf numFmtId="9" fontId="8" fillId="0" borderId="17" xfId="5" applyFont="1" applyBorder="1" applyAlignment="1">
      <alignment horizontal="right"/>
    </xf>
    <xf numFmtId="9" fontId="8" fillId="0" borderId="18" xfId="5" applyFont="1" applyBorder="1" applyAlignment="1">
      <alignment horizontal="right"/>
    </xf>
    <xf numFmtId="9" fontId="8" fillId="0" borderId="19" xfId="5" applyFont="1" applyBorder="1" applyAlignment="1">
      <alignment horizontal="right"/>
    </xf>
    <xf numFmtId="9" fontId="8" fillId="0" borderId="0" xfId="5" applyFont="1" applyAlignment="1">
      <alignment horizontal="right"/>
    </xf>
    <xf numFmtId="0" fontId="0" fillId="0" borderId="0" xfId="0" applyFont="1" applyAlignment="1">
      <alignment horizontal="right"/>
    </xf>
    <xf numFmtId="166" fontId="0" fillId="0" borderId="10" xfId="0" applyNumberFormat="1" applyFill="1" applyBorder="1"/>
    <xf numFmtId="166" fontId="10" fillId="0" borderId="0" xfId="0" applyNumberFormat="1" applyFont="1" applyFill="1"/>
    <xf numFmtId="166" fontId="10" fillId="0" borderId="0" xfId="1" applyNumberFormat="1" applyFont="1" applyFill="1"/>
    <xf numFmtId="43" fontId="0" fillId="0" borderId="0" xfId="0" applyNumberFormat="1" applyFill="1"/>
    <xf numFmtId="1" fontId="0" fillId="0" borderId="0" xfId="0" applyNumberFormat="1" applyAlignment="1">
      <alignment horizontal="center"/>
    </xf>
    <xf numFmtId="0" fontId="0" fillId="0" borderId="0" xfId="0" applyAlignment="1">
      <alignment horizontal="left" wrapText="1"/>
    </xf>
    <xf numFmtId="9" fontId="12" fillId="0" borderId="19" xfId="5" applyFont="1" applyBorder="1" applyAlignment="1">
      <alignment horizontal="center"/>
    </xf>
    <xf numFmtId="9" fontId="12" fillId="0" borderId="22" xfId="5" applyFont="1" applyBorder="1" applyAlignment="1">
      <alignment horizontal="center"/>
    </xf>
    <xf numFmtId="9" fontId="12" fillId="0" borderId="18" xfId="5" applyFont="1" applyBorder="1" applyAlignment="1">
      <alignment horizontal="center"/>
    </xf>
    <xf numFmtId="9" fontId="12" fillId="0" borderId="21" xfId="5" applyFont="1" applyBorder="1" applyAlignment="1">
      <alignment horizontal="center"/>
    </xf>
    <xf numFmtId="0" fontId="0" fillId="0" borderId="0" xfId="0" applyAlignment="1">
      <alignment vertical="top"/>
    </xf>
    <xf numFmtId="0" fontId="0" fillId="0" borderId="13" xfId="0" applyBorder="1" applyAlignment="1">
      <alignment horizontal="center" wrapText="1"/>
    </xf>
    <xf numFmtId="0" fontId="0" fillId="5" borderId="6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5" borderId="6" xfId="0" applyFont="1" applyFill="1" applyBorder="1" applyAlignment="1">
      <alignment horizontal="center"/>
    </xf>
    <xf numFmtId="0" fontId="0" fillId="5" borderId="0" xfId="0" applyFont="1" applyFill="1" applyBorder="1" applyAlignment="1">
      <alignment horizontal="center"/>
    </xf>
    <xf numFmtId="0" fontId="0" fillId="5" borderId="7" xfId="0" applyFont="1" applyFill="1" applyBorder="1" applyAlignment="1">
      <alignment horizontal="center"/>
    </xf>
    <xf numFmtId="0" fontId="0" fillId="0" borderId="27" xfId="0" applyFont="1" applyBorder="1" applyAlignment="1">
      <alignment horizontal="center"/>
    </xf>
    <xf numFmtId="0" fontId="0" fillId="0" borderId="28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166" fontId="0" fillId="0" borderId="0" xfId="0" applyNumberFormat="1" applyAlignment="1">
      <alignment horizontal="left" wrapText="1"/>
    </xf>
    <xf numFmtId="166" fontId="0" fillId="0" borderId="0" xfId="0" applyNumberFormat="1" applyAlignment="1">
      <alignment horizontal="center" wrapText="1"/>
    </xf>
    <xf numFmtId="0" fontId="0" fillId="0" borderId="13" xfId="0" applyFont="1" applyBorder="1" applyAlignment="1">
      <alignment horizontal="center" wrapText="1"/>
    </xf>
    <xf numFmtId="0" fontId="0" fillId="0" borderId="23" xfId="0" applyFont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0" fillId="0" borderId="30" xfId="0" applyFont="1" applyBorder="1" applyAlignment="1">
      <alignment horizontal="center"/>
    </xf>
    <xf numFmtId="0" fontId="0" fillId="0" borderId="26" xfId="0" applyFont="1" applyBorder="1" applyAlignment="1">
      <alignment horizontal="center"/>
    </xf>
    <xf numFmtId="0" fontId="0" fillId="0" borderId="27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11" xfId="0" applyBorder="1" applyAlignment="1">
      <alignment horizontal="center"/>
    </xf>
    <xf numFmtId="0" fontId="0" fillId="0" borderId="28" xfId="0" applyBorder="1" applyAlignment="1">
      <alignment horizontal="left"/>
    </xf>
    <xf numFmtId="0" fontId="26" fillId="8" borderId="23" xfId="0" applyFont="1" applyFill="1" applyBorder="1" applyAlignment="1">
      <alignment horizontal="center" vertical="center"/>
    </xf>
    <xf numFmtId="0" fontId="26" fillId="8" borderId="29" xfId="0" applyFont="1" applyFill="1" applyBorder="1" applyAlignment="1">
      <alignment horizontal="center" vertical="center"/>
    </xf>
    <xf numFmtId="0" fontId="26" fillId="8" borderId="30" xfId="0" applyFont="1" applyFill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13" fillId="0" borderId="0" xfId="4" applyFont="1"/>
    <xf numFmtId="0" fontId="14" fillId="6" borderId="33" xfId="4" applyFont="1" applyFill="1" applyBorder="1" applyAlignment="1">
      <alignment vertical="top"/>
    </xf>
    <xf numFmtId="0" fontId="13" fillId="6" borderId="35" xfId="4" applyFont="1" applyFill="1" applyBorder="1"/>
    <xf numFmtId="0" fontId="13" fillId="6" borderId="32" xfId="4" applyFont="1" applyFill="1" applyBorder="1"/>
    <xf numFmtId="0" fontId="14" fillId="6" borderId="36" xfId="4" applyFont="1" applyFill="1" applyBorder="1" applyAlignment="1">
      <alignment vertical="top"/>
    </xf>
    <xf numFmtId="0" fontId="14" fillId="6" borderId="0" xfId="4" applyFont="1" applyFill="1" applyBorder="1" applyAlignment="1">
      <alignment vertical="top"/>
    </xf>
    <xf numFmtId="0" fontId="29" fillId="0" borderId="23" xfId="0" applyFont="1" applyBorder="1" applyAlignment="1">
      <alignment horizontal="center"/>
    </xf>
    <xf numFmtId="0" fontId="29" fillId="0" borderId="29" xfId="0" applyFont="1" applyBorder="1" applyAlignment="1">
      <alignment horizontal="center"/>
    </xf>
    <xf numFmtId="0" fontId="29" fillId="0" borderId="30" xfId="0" applyFont="1" applyBorder="1" applyAlignment="1">
      <alignment horizontal="center"/>
    </xf>
    <xf numFmtId="0" fontId="29" fillId="8" borderId="23" xfId="0" applyFont="1" applyFill="1" applyBorder="1" applyAlignment="1">
      <alignment horizontal="center" vertical="center" wrapText="1"/>
    </xf>
    <xf numFmtId="0" fontId="29" fillId="8" borderId="29" xfId="0" applyFont="1" applyFill="1" applyBorder="1" applyAlignment="1">
      <alignment horizontal="center" vertical="center" wrapText="1"/>
    </xf>
    <xf numFmtId="0" fontId="29" fillId="8" borderId="30" xfId="0" applyFont="1" applyFill="1" applyBorder="1" applyAlignment="1">
      <alignment horizontal="center" vertical="center" wrapText="1"/>
    </xf>
    <xf numFmtId="0" fontId="26" fillId="19" borderId="23" xfId="0" applyFont="1" applyFill="1" applyBorder="1" applyAlignment="1">
      <alignment horizontal="center" vertical="center"/>
    </xf>
    <xf numFmtId="0" fontId="26" fillId="19" borderId="29" xfId="0" applyFont="1" applyFill="1" applyBorder="1" applyAlignment="1">
      <alignment horizontal="center" vertical="center"/>
    </xf>
    <xf numFmtId="0" fontId="26" fillId="19" borderId="30" xfId="0" applyFont="1" applyFill="1" applyBorder="1" applyAlignment="1">
      <alignment horizontal="center" vertical="center"/>
    </xf>
    <xf numFmtId="0" fontId="3" fillId="0" borderId="0" xfId="3" applyAlignment="1">
      <alignment horizontal="center"/>
    </xf>
  </cellXfs>
  <cellStyles count="51">
    <cellStyle name="Accent4" xfId="12" builtinId="41"/>
    <cellStyle name="Comma" xfId="1" builtinId="3"/>
    <cellStyle name="Comma 2" xfId="2"/>
    <cellStyle name="Currency" xfId="11" builtinId="4"/>
    <cellStyle name="Good" xfId="50" builtinId="26"/>
    <cellStyle name="Normal" xfId="0" builtinId="0"/>
    <cellStyle name="Normal 2" xfId="3"/>
    <cellStyle name="Normal 2 2" xfId="13"/>
    <cellStyle name="Normal 3" xfId="4"/>
    <cellStyle name="Normal 4" xfId="14"/>
    <cellStyle name="Percent" xfId="5" builtinId="5"/>
    <cellStyle name="SAPBEXaggData" xfId="16"/>
    <cellStyle name="SAPBEXaggDataEmph" xfId="17"/>
    <cellStyle name="SAPBEXaggItem" xfId="18"/>
    <cellStyle name="SAPBEXaggItemX" xfId="19"/>
    <cellStyle name="SAPBEXchaText" xfId="6"/>
    <cellStyle name="SAPBEXexcBad7" xfId="20"/>
    <cellStyle name="SAPBEXexcBad8" xfId="21"/>
    <cellStyle name="SAPBEXexcBad9" xfId="22"/>
    <cellStyle name="SAPBEXexcCritical4" xfId="23"/>
    <cellStyle name="SAPBEXexcCritical5" xfId="24"/>
    <cellStyle name="SAPBEXexcCritical6" xfId="25"/>
    <cellStyle name="SAPBEXexcGood1" xfId="26"/>
    <cellStyle name="SAPBEXexcGood2" xfId="27"/>
    <cellStyle name="SAPBEXexcGood3" xfId="28"/>
    <cellStyle name="SAPBEXfilterDrill" xfId="29"/>
    <cellStyle name="SAPBEXfilterItem" xfId="30"/>
    <cellStyle name="SAPBEXfilterText" xfId="31"/>
    <cellStyle name="SAPBEXformats" xfId="32"/>
    <cellStyle name="SAPBEXheaderItem" xfId="33"/>
    <cellStyle name="SAPBEXheaderText" xfId="34"/>
    <cellStyle name="SAPBEXHLevel0" xfId="35"/>
    <cellStyle name="SAPBEXHLevel0X" xfId="7"/>
    <cellStyle name="SAPBEXHLevel1" xfId="36"/>
    <cellStyle name="SAPBEXHLevel1X" xfId="37"/>
    <cellStyle name="SAPBEXHLevel2" xfId="38"/>
    <cellStyle name="SAPBEXHLevel2X" xfId="39"/>
    <cellStyle name="SAPBEXHLevel3" xfId="40"/>
    <cellStyle name="SAPBEXHLevel3X" xfId="41"/>
    <cellStyle name="SAPBEXinputData" xfId="42"/>
    <cellStyle name="SAPBEXItemHeader" xfId="15"/>
    <cellStyle name="SAPBEXresData" xfId="43"/>
    <cellStyle name="SAPBEXresDataEmph" xfId="44"/>
    <cellStyle name="SAPBEXresItem" xfId="45"/>
    <cellStyle name="SAPBEXresItemX" xfId="46"/>
    <cellStyle name="SAPBEXstdData" xfId="8"/>
    <cellStyle name="SAPBEXstdDataEmph" xfId="9"/>
    <cellStyle name="SAPBEXstdItem" xfId="10"/>
    <cellStyle name="SAPBEXstdItemX" xfId="47"/>
    <cellStyle name="SAPBEXtitle" xfId="48"/>
    <cellStyle name="SAPBEXundefined" xfId="49"/>
  </cellStyles>
  <dxfs count="3">
    <dxf>
      <fill>
        <patternFill patternType="solid">
          <fgColor rgb="FFFF0000"/>
          <bgColor rgb="FFFFFFFF"/>
        </patternFill>
      </fill>
    </dxf>
    <dxf>
      <fill>
        <patternFill patternType="solid">
          <fgColor rgb="FFFF0000"/>
          <bgColor rgb="FFFFFFFF"/>
        </patternFill>
      </fill>
    </dxf>
    <dxf>
      <fill>
        <patternFill patternType="solid">
          <fgColor rgb="FFFF0000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4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6.png"/><Relationship Id="rId10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211825</xdr:colOff>
      <xdr:row>27</xdr:row>
      <xdr:rowOff>123825</xdr:rowOff>
    </xdr:from>
    <xdr:to>
      <xdr:col>31</xdr:col>
      <xdr:colOff>332076</xdr:colOff>
      <xdr:row>49</xdr:row>
      <xdr:rowOff>94637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4F5B0D-3D6B-4380-A4AA-742E1D3D9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03875" y="5915025"/>
          <a:ext cx="8816576" cy="41618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3</xdr:row>
      <xdr:rowOff>9525</xdr:rowOff>
    </xdr:from>
    <xdr:ext cx="47625" cy="47625"/>
    <xdr:pic>
      <xdr:nvPicPr>
        <xdr:cNvPr id="2" name="BExMO7VFCN4EL59982UR4AJ25JNJ" descr="XX6TINEJADZGKR0CTM7ZRT0RA" hidden="1">
          <a:extLst>
            <a:ext uri="{FF2B5EF4-FFF2-40B4-BE49-F238E27FC236}">
              <a16:creationId xmlns:a16="http://schemas.microsoft.com/office/drawing/2014/main" id="{A4CB57B2-02A4-4956-865A-ECD9257B2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3</xdr:row>
      <xdr:rowOff>85725</xdr:rowOff>
    </xdr:from>
    <xdr:ext cx="47625" cy="47625"/>
    <xdr:pic>
      <xdr:nvPicPr>
        <xdr:cNvPr id="3" name="BExU3EX5JJCXCII4YKUJBFBGIJR2" descr="OF5ZI9PI5WH36VPANJ2DYLNMI" hidden="1">
          <a:extLst>
            <a:ext uri="{FF2B5EF4-FFF2-40B4-BE49-F238E27FC236}">
              <a16:creationId xmlns:a16="http://schemas.microsoft.com/office/drawing/2014/main" id="{DDB30D61-3D9B-4CC7-9CD0-2F16BB531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3</xdr:row>
      <xdr:rowOff>9525</xdr:rowOff>
    </xdr:from>
    <xdr:ext cx="47625" cy="47625"/>
    <xdr:pic>
      <xdr:nvPicPr>
        <xdr:cNvPr id="4" name="BEx1KD7H6UB1VYCJ7O61P562EIUY" descr="IQGV9140X0K0UPBL8OGU3I44J" hidden="1">
          <a:extLst>
            <a:ext uri="{FF2B5EF4-FFF2-40B4-BE49-F238E27FC236}">
              <a16:creationId xmlns:a16="http://schemas.microsoft.com/office/drawing/2014/main" id="{CA04CF1D-BEC3-49F7-AC56-00C2ED047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3</xdr:row>
      <xdr:rowOff>85725</xdr:rowOff>
    </xdr:from>
    <xdr:ext cx="47625" cy="47625"/>
    <xdr:pic>
      <xdr:nvPicPr>
        <xdr:cNvPr id="5" name="BEx5BJQWS6YWHH4ZMSUAMD641V6Y" descr="ZTMFMXCIQSECDX38ALEFHUB00" hidden="1">
          <a:extLst>
            <a:ext uri="{FF2B5EF4-FFF2-40B4-BE49-F238E27FC236}">
              <a16:creationId xmlns:a16="http://schemas.microsoft.com/office/drawing/2014/main" id="{1151E382-B638-4411-8B6E-3161ADDFA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3</xdr:row>
      <xdr:rowOff>9525</xdr:rowOff>
    </xdr:from>
    <xdr:ext cx="47625" cy="47625"/>
    <xdr:pic>
      <xdr:nvPicPr>
        <xdr:cNvPr id="6" name="BExVTO5Q8G2M7BPL4B2584LQS0R0" descr="OB6Q8NA4LZFE4GM9Y3V56BPMQ" hidden="1">
          <a:extLst>
            <a:ext uri="{FF2B5EF4-FFF2-40B4-BE49-F238E27FC236}">
              <a16:creationId xmlns:a16="http://schemas.microsoft.com/office/drawing/2014/main" id="{3D87C4AB-1408-4B6F-9FB4-0307E23B3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28900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3</xdr:row>
      <xdr:rowOff>85725</xdr:rowOff>
    </xdr:from>
    <xdr:ext cx="47625" cy="47625"/>
    <xdr:pic>
      <xdr:nvPicPr>
        <xdr:cNvPr id="7" name="BExIFSCLN1G86X78PFLTSMRP0US5" descr="9JK4SPV4DG7VTCZIILWHXQU5J" hidden="1">
          <a:extLst>
            <a:ext uri="{FF2B5EF4-FFF2-40B4-BE49-F238E27FC236}">
              <a16:creationId xmlns:a16="http://schemas.microsoft.com/office/drawing/2014/main" id="{3822EFBC-E605-424F-A2BF-BDF8E0C76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28900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3</xdr:row>
      <xdr:rowOff>9525</xdr:rowOff>
    </xdr:from>
    <xdr:ext cx="47625" cy="47625"/>
    <xdr:pic>
      <xdr:nvPicPr>
        <xdr:cNvPr id="8" name="BEx1I152WN2D3A85O2XN0DGXCWHN" descr="KHBZFMANRA4UMJR1AB4M5NJNT" hidden="1">
          <a:extLst>
            <a:ext uri="{FF2B5EF4-FFF2-40B4-BE49-F238E27FC236}">
              <a16:creationId xmlns:a16="http://schemas.microsoft.com/office/drawing/2014/main" id="{9C2247AC-2ACD-47EE-9E67-C9AF8940D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3</xdr:row>
      <xdr:rowOff>85725</xdr:rowOff>
    </xdr:from>
    <xdr:ext cx="47625" cy="47625"/>
    <xdr:pic>
      <xdr:nvPicPr>
        <xdr:cNvPr id="9" name="BExW9676P0SKCVKK25QCGHPA3PAD" descr="9A4PWZ20RMSRF0PNECCDM75CA" hidden="1">
          <a:extLst>
            <a:ext uri="{FF2B5EF4-FFF2-40B4-BE49-F238E27FC236}">
              <a16:creationId xmlns:a16="http://schemas.microsoft.com/office/drawing/2014/main" id="{3CCAEE40-04E0-490D-A448-C65999A38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5</xdr:row>
      <xdr:rowOff>0</xdr:rowOff>
    </xdr:from>
    <xdr:ext cx="123825" cy="123825"/>
    <xdr:pic>
      <xdr:nvPicPr>
        <xdr:cNvPr id="10" name="BExW253QPOZK9KW8BJC3LBXGCG2N" descr="Y5HX37BEUWSN1NEFJKZJXI3SX" hidden="1">
          <a:extLst>
            <a:ext uri="{FF2B5EF4-FFF2-40B4-BE49-F238E27FC236}">
              <a16:creationId xmlns:a16="http://schemas.microsoft.com/office/drawing/2014/main" id="{5DA78653-66DB-44B6-97D6-C5BF4B2BE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1095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3</xdr:row>
      <xdr:rowOff>9525</xdr:rowOff>
    </xdr:from>
    <xdr:ext cx="47625" cy="47625"/>
    <xdr:pic>
      <xdr:nvPicPr>
        <xdr:cNvPr id="11" name="BExS5CPQ8P8JOQPK7ANNKHLSGOKU" hidden="1">
          <a:extLst>
            <a:ext uri="{FF2B5EF4-FFF2-40B4-BE49-F238E27FC236}">
              <a16:creationId xmlns:a16="http://schemas.microsoft.com/office/drawing/2014/main" id="{722512FC-14B1-464A-815E-54618BBFC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3</xdr:row>
      <xdr:rowOff>85725</xdr:rowOff>
    </xdr:from>
    <xdr:ext cx="47625" cy="47625"/>
    <xdr:pic>
      <xdr:nvPicPr>
        <xdr:cNvPr id="12" name="BExMM0AVUAIRNJLXB1FW8R0YB4ZZ" hidden="1">
          <a:extLst>
            <a:ext uri="{FF2B5EF4-FFF2-40B4-BE49-F238E27FC236}">
              <a16:creationId xmlns:a16="http://schemas.microsoft.com/office/drawing/2014/main" id="{DBB9A270-0496-4BB9-8FBB-FB76FB55B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3</xdr:row>
      <xdr:rowOff>9525</xdr:rowOff>
    </xdr:from>
    <xdr:ext cx="47625" cy="47625"/>
    <xdr:pic>
      <xdr:nvPicPr>
        <xdr:cNvPr id="13" name="BExXZ7Y09CBS0XA7IPB3IRJ8RJM4" hidden="1">
          <a:extLst>
            <a:ext uri="{FF2B5EF4-FFF2-40B4-BE49-F238E27FC236}">
              <a16:creationId xmlns:a16="http://schemas.microsoft.com/office/drawing/2014/main" id="{612ACDE6-EBC8-4D30-89CE-9241D63A5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3</xdr:row>
      <xdr:rowOff>85725</xdr:rowOff>
    </xdr:from>
    <xdr:ext cx="47625" cy="47625"/>
    <xdr:pic>
      <xdr:nvPicPr>
        <xdr:cNvPr id="14" name="BExQ7SXS9VUG7P6CACU2J7R2SGIZ" hidden="1">
          <a:extLst>
            <a:ext uri="{FF2B5EF4-FFF2-40B4-BE49-F238E27FC236}">
              <a16:creationId xmlns:a16="http://schemas.microsoft.com/office/drawing/2014/main" id="{B82E32B0-69B5-46CC-B734-1DDBD93FF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3</xdr:row>
      <xdr:rowOff>9525</xdr:rowOff>
    </xdr:from>
    <xdr:ext cx="47625" cy="47625"/>
    <xdr:pic>
      <xdr:nvPicPr>
        <xdr:cNvPr id="15" name="BEx5AQZ4ETQ9LMY5EBWVH20Z7VXQ" hidden="1">
          <a:extLst>
            <a:ext uri="{FF2B5EF4-FFF2-40B4-BE49-F238E27FC236}">
              <a16:creationId xmlns:a16="http://schemas.microsoft.com/office/drawing/2014/main" id="{58799FED-4CFD-4FC2-9C78-90BA65333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3</xdr:row>
      <xdr:rowOff>85725</xdr:rowOff>
    </xdr:from>
    <xdr:ext cx="47625" cy="47625"/>
    <xdr:pic>
      <xdr:nvPicPr>
        <xdr:cNvPr id="16" name="BExUBK0YZ5VYFY8TTITJGJU9S06A" hidden="1">
          <a:extLst>
            <a:ext uri="{FF2B5EF4-FFF2-40B4-BE49-F238E27FC236}">
              <a16:creationId xmlns:a16="http://schemas.microsoft.com/office/drawing/2014/main" id="{4D8453F8-862D-496B-B4F4-2BF8D452A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3</xdr:row>
      <xdr:rowOff>9525</xdr:rowOff>
    </xdr:from>
    <xdr:ext cx="47625" cy="47625"/>
    <xdr:pic>
      <xdr:nvPicPr>
        <xdr:cNvPr id="17" name="BExUEZCSSJ7RN4J18I2NUIQR2FZS" hidden="1">
          <a:extLst>
            <a:ext uri="{FF2B5EF4-FFF2-40B4-BE49-F238E27FC236}">
              <a16:creationId xmlns:a16="http://schemas.microsoft.com/office/drawing/2014/main" id="{54DAFAFB-5230-414F-8471-DAA150B86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38425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3</xdr:row>
      <xdr:rowOff>85725</xdr:rowOff>
    </xdr:from>
    <xdr:ext cx="47625" cy="47625"/>
    <xdr:pic>
      <xdr:nvPicPr>
        <xdr:cNvPr id="18" name="BExS3JDQWF7U3F5JTEVOE16ASIYK" hidden="1">
          <a:extLst>
            <a:ext uri="{FF2B5EF4-FFF2-40B4-BE49-F238E27FC236}">
              <a16:creationId xmlns:a16="http://schemas.microsoft.com/office/drawing/2014/main" id="{B7A9A33F-67F0-4117-AA2A-F23B216CB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38425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6</xdr:row>
      <xdr:rowOff>0</xdr:rowOff>
    </xdr:from>
    <xdr:ext cx="123825" cy="123825"/>
    <xdr:pic>
      <xdr:nvPicPr>
        <xdr:cNvPr id="19" name="BEx973S463FCQVJ7QDFBUIU0WJ3F" descr="ZQTVYL8DCSADVT0QMRXFLU0TR" hidden="1">
          <a:extLst>
            <a:ext uri="{FF2B5EF4-FFF2-40B4-BE49-F238E27FC236}">
              <a16:creationId xmlns:a16="http://schemas.microsoft.com/office/drawing/2014/main" id="{E81CDE8D-82A3-4A30-AA18-E27851C17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1285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</xdr:row>
      <xdr:rowOff>0</xdr:rowOff>
    </xdr:from>
    <xdr:ext cx="123825" cy="123825"/>
    <xdr:pic>
      <xdr:nvPicPr>
        <xdr:cNvPr id="20" name="BEx5FXJGJOT93D0J2IRJ3985IUMI" hidden="1">
          <a:extLst>
            <a:ext uri="{FF2B5EF4-FFF2-40B4-BE49-F238E27FC236}">
              <a16:creationId xmlns:a16="http://schemas.microsoft.com/office/drawing/2014/main" id="{15A9B32E-A389-4E52-ABAC-04540CD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095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</xdr:row>
      <xdr:rowOff>0</xdr:rowOff>
    </xdr:from>
    <xdr:ext cx="123825" cy="123825"/>
    <xdr:pic>
      <xdr:nvPicPr>
        <xdr:cNvPr id="21" name="BEx3RTMHAR35NUAAK49TV6NU7EPA" descr="QFXLG4ZCXTRQSJYFCKJ58G9N8" hidden="1">
          <a:extLst>
            <a:ext uri="{FF2B5EF4-FFF2-40B4-BE49-F238E27FC236}">
              <a16:creationId xmlns:a16="http://schemas.microsoft.com/office/drawing/2014/main" id="{C19CE1BC-7A62-4DAE-9519-AB5D51B6F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904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7</xdr:row>
      <xdr:rowOff>0</xdr:rowOff>
    </xdr:from>
    <xdr:ext cx="123825" cy="123825"/>
    <xdr:pic>
      <xdr:nvPicPr>
        <xdr:cNvPr id="22" name="BExS8T38WLC2R738ZC7BDJQAKJAJ" descr="MRI962L5PB0E0YWXCIBN82VJH" hidden="1">
          <a:extLst>
            <a:ext uri="{FF2B5EF4-FFF2-40B4-BE49-F238E27FC236}">
              <a16:creationId xmlns:a16="http://schemas.microsoft.com/office/drawing/2014/main" id="{D397C886-86F2-4F19-A4F4-28A5E48C3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1476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</xdr:row>
      <xdr:rowOff>0</xdr:rowOff>
    </xdr:from>
    <xdr:ext cx="123825" cy="123825"/>
    <xdr:pic>
      <xdr:nvPicPr>
        <xdr:cNvPr id="23" name="BEx5F64BJ6DCM4EJH81D5ZFNPZ0V" descr="7DJ9FILZD2YPS6X1JBP9E76TU" hidden="1">
          <a:extLst>
            <a:ext uri="{FF2B5EF4-FFF2-40B4-BE49-F238E27FC236}">
              <a16:creationId xmlns:a16="http://schemas.microsoft.com/office/drawing/2014/main" id="{93122DC7-25E2-4BB9-8FA7-BB57FFF2D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095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</xdr:row>
      <xdr:rowOff>0</xdr:rowOff>
    </xdr:from>
    <xdr:ext cx="123825" cy="123825"/>
    <xdr:pic>
      <xdr:nvPicPr>
        <xdr:cNvPr id="24" name="BExQEXXHA3EEXR44LT6RKCDWM6ZT" hidden="1">
          <a:extLst>
            <a:ext uri="{FF2B5EF4-FFF2-40B4-BE49-F238E27FC236}">
              <a16:creationId xmlns:a16="http://schemas.microsoft.com/office/drawing/2014/main" id="{3C3D71BB-15D6-4203-95DE-A742B5879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095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9</xdr:row>
      <xdr:rowOff>0</xdr:rowOff>
    </xdr:from>
    <xdr:ext cx="123825" cy="123825"/>
    <xdr:pic>
      <xdr:nvPicPr>
        <xdr:cNvPr id="25" name="BEx1X6AMHV6ZK3UJB2BXIJTJHYJU" descr="OALR4L95ELQLZ1Y1LETHM1CS9" hidden="1">
          <a:extLst>
            <a:ext uri="{FF2B5EF4-FFF2-40B4-BE49-F238E27FC236}">
              <a16:creationId xmlns:a16="http://schemas.microsoft.com/office/drawing/2014/main" id="{18765776-976C-42BF-A084-E0F881EB9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1857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</xdr:row>
      <xdr:rowOff>0</xdr:rowOff>
    </xdr:from>
    <xdr:ext cx="123825" cy="123825"/>
    <xdr:pic>
      <xdr:nvPicPr>
        <xdr:cNvPr id="26" name="BExSDIVCE09QKG3CT52PHCS6ZJ09" descr="9F076L7EQCF2COMMGCQG6BQGU" hidden="1">
          <a:extLst>
            <a:ext uri="{FF2B5EF4-FFF2-40B4-BE49-F238E27FC236}">
              <a16:creationId xmlns:a16="http://schemas.microsoft.com/office/drawing/2014/main" id="{73717ADE-9EBB-4D2E-BC27-3B33981B9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904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</xdr:row>
      <xdr:rowOff>0</xdr:rowOff>
    </xdr:from>
    <xdr:ext cx="123825" cy="123825"/>
    <xdr:pic>
      <xdr:nvPicPr>
        <xdr:cNvPr id="27" name="BExS343F8GCKP6HTF9Y97L133DX8" descr="ZRF0KB1IYQSNV63CTXT25G67G" hidden="1">
          <a:extLst>
            <a:ext uri="{FF2B5EF4-FFF2-40B4-BE49-F238E27FC236}">
              <a16:creationId xmlns:a16="http://schemas.microsoft.com/office/drawing/2014/main" id="{01591473-DD9A-41F5-9B4F-32B0029D3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428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</xdr:row>
      <xdr:rowOff>0</xdr:rowOff>
    </xdr:from>
    <xdr:ext cx="123825" cy="123825"/>
    <xdr:pic>
      <xdr:nvPicPr>
        <xdr:cNvPr id="28" name="BExZMRC09W87CY4B73NPZMNH21AH" descr="78CUMI0OVLYJRSDRQ3V2YX812" hidden="1">
          <a:extLst>
            <a:ext uri="{FF2B5EF4-FFF2-40B4-BE49-F238E27FC236}">
              <a16:creationId xmlns:a16="http://schemas.microsoft.com/office/drawing/2014/main" id="{DE35688E-385E-44F0-A889-65AFA1431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238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</xdr:row>
      <xdr:rowOff>9525</xdr:rowOff>
    </xdr:from>
    <xdr:ext cx="123825" cy="123825"/>
    <xdr:pic>
      <xdr:nvPicPr>
        <xdr:cNvPr id="29" name="BExZXVFJ4DY4I24AARDT4AMP6EN1" descr="TXSMH2MTH86CYKA26740RQPUC" hidden="1">
          <a:extLst>
            <a:ext uri="{FF2B5EF4-FFF2-40B4-BE49-F238E27FC236}">
              <a16:creationId xmlns:a16="http://schemas.microsoft.com/office/drawing/2014/main" id="{883AB0F4-8BCF-492E-AC9B-E4A08100A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0574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</xdr:row>
      <xdr:rowOff>0</xdr:rowOff>
    </xdr:from>
    <xdr:ext cx="123825" cy="123825"/>
    <xdr:pic>
      <xdr:nvPicPr>
        <xdr:cNvPr id="30" name="BExOCUIOFQWUGTBU5ESTW3EYEP5C" descr="9BNF49V0R6VVYPHEVMJ3ABDQZ" hidden="1">
          <a:extLst>
            <a:ext uri="{FF2B5EF4-FFF2-40B4-BE49-F238E27FC236}">
              <a16:creationId xmlns:a16="http://schemas.microsoft.com/office/drawing/2014/main" id="{E65AF69A-D997-42F8-9BCB-1E6BECC30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857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</xdr:row>
      <xdr:rowOff>0</xdr:rowOff>
    </xdr:from>
    <xdr:ext cx="123825" cy="123825"/>
    <xdr:pic>
      <xdr:nvPicPr>
        <xdr:cNvPr id="31" name="BExU65O9OE4B4MQ2A3OYH13M8BZJ" descr="3INNIMMPDBB0JF37L81M6ID21" hidden="1">
          <a:extLst>
            <a:ext uri="{FF2B5EF4-FFF2-40B4-BE49-F238E27FC236}">
              <a16:creationId xmlns:a16="http://schemas.microsoft.com/office/drawing/2014/main" id="{A45C9034-FD27-4B62-96ED-D36514F97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666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</xdr:row>
      <xdr:rowOff>0</xdr:rowOff>
    </xdr:from>
    <xdr:ext cx="123825" cy="123825"/>
    <xdr:pic>
      <xdr:nvPicPr>
        <xdr:cNvPr id="32" name="BExOPRCR0UW7TKXSV5WDTL348FGL" descr="S9JM17GP1802LHN4GT14BJYIC" hidden="1">
          <a:extLst>
            <a:ext uri="{FF2B5EF4-FFF2-40B4-BE49-F238E27FC236}">
              <a16:creationId xmlns:a16="http://schemas.microsoft.com/office/drawing/2014/main" id="{12D2E8A9-A8A0-49C7-844E-E7DDE2E77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476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</xdr:row>
      <xdr:rowOff>0</xdr:rowOff>
    </xdr:from>
    <xdr:ext cx="123825" cy="123825"/>
    <xdr:pic>
      <xdr:nvPicPr>
        <xdr:cNvPr id="33" name="BEx5OESAY2W8SEGI3TSB65EHJ04B" descr="9CN2Y88X8WYV1HWZG1QILY9BK" hidden="1">
          <a:extLst>
            <a:ext uri="{FF2B5EF4-FFF2-40B4-BE49-F238E27FC236}">
              <a16:creationId xmlns:a16="http://schemas.microsoft.com/office/drawing/2014/main" id="{F05E2BEE-53A9-4498-9136-BB85EE750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285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</xdr:row>
      <xdr:rowOff>0</xdr:rowOff>
    </xdr:from>
    <xdr:ext cx="123825" cy="123825"/>
    <xdr:pic>
      <xdr:nvPicPr>
        <xdr:cNvPr id="34" name="BExGMWEQ2BYRY9BAO5T1X850MJN1" descr="AZ9ST0XDIOP50HSUFO5V31BR0" hidden="1">
          <a:extLst>
            <a:ext uri="{FF2B5EF4-FFF2-40B4-BE49-F238E27FC236}">
              <a16:creationId xmlns:a16="http://schemas.microsoft.com/office/drawing/2014/main" id="{5DA95098-96C4-4479-9E13-ED3A94A4F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095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14</xdr:row>
      <xdr:rowOff>9525</xdr:rowOff>
    </xdr:from>
    <xdr:ext cx="47625" cy="47625"/>
    <xdr:pic>
      <xdr:nvPicPr>
        <xdr:cNvPr id="35" name="BExMO7VFCN4EL59982UR4AJ25JNJ" descr="XX6TINEJADZGKR0CTM7ZRT0RA" hidden="1">
          <a:extLst>
            <a:ext uri="{FF2B5EF4-FFF2-40B4-BE49-F238E27FC236}">
              <a16:creationId xmlns:a16="http://schemas.microsoft.com/office/drawing/2014/main" id="{420AB8B7-5A03-4E50-B425-22C6115B8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8194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14</xdr:row>
      <xdr:rowOff>85725</xdr:rowOff>
    </xdr:from>
    <xdr:ext cx="47625" cy="47625"/>
    <xdr:pic>
      <xdr:nvPicPr>
        <xdr:cNvPr id="36" name="BExU3EX5JJCXCII4YKUJBFBGIJR2" descr="OF5ZI9PI5WH36VPANJ2DYLNMI" hidden="1">
          <a:extLst>
            <a:ext uri="{FF2B5EF4-FFF2-40B4-BE49-F238E27FC236}">
              <a16:creationId xmlns:a16="http://schemas.microsoft.com/office/drawing/2014/main" id="{1E5F054A-164B-4B5C-9D75-4DDFD6F87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8956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14</xdr:row>
      <xdr:rowOff>9525</xdr:rowOff>
    </xdr:from>
    <xdr:ext cx="47625" cy="47625"/>
    <xdr:pic>
      <xdr:nvPicPr>
        <xdr:cNvPr id="37" name="BEx1KD7H6UB1VYCJ7O61P562EIUY" descr="IQGV9140X0K0UPBL8OGU3I44J" hidden="1">
          <a:extLst>
            <a:ext uri="{FF2B5EF4-FFF2-40B4-BE49-F238E27FC236}">
              <a16:creationId xmlns:a16="http://schemas.microsoft.com/office/drawing/2014/main" id="{73CF1F9B-2A03-42C7-8BE8-5D0019744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28194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14</xdr:row>
      <xdr:rowOff>85725</xdr:rowOff>
    </xdr:from>
    <xdr:ext cx="47625" cy="47625"/>
    <xdr:pic>
      <xdr:nvPicPr>
        <xdr:cNvPr id="38" name="BEx5BJQWS6YWHH4ZMSUAMD641V6Y" descr="ZTMFMXCIQSECDX38ALEFHUB00" hidden="1">
          <a:extLst>
            <a:ext uri="{FF2B5EF4-FFF2-40B4-BE49-F238E27FC236}">
              <a16:creationId xmlns:a16="http://schemas.microsoft.com/office/drawing/2014/main" id="{6A9DB7C2-7230-4B8A-B00D-09466A4D9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28956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14</xdr:row>
      <xdr:rowOff>9525</xdr:rowOff>
    </xdr:from>
    <xdr:ext cx="47625" cy="47625"/>
    <xdr:pic>
      <xdr:nvPicPr>
        <xdr:cNvPr id="39" name="BExVTO5Q8G2M7BPL4B2584LQS0R0" descr="OB6Q8NA4LZFE4GM9Y3V56BPMQ" hidden="1">
          <a:extLst>
            <a:ext uri="{FF2B5EF4-FFF2-40B4-BE49-F238E27FC236}">
              <a16:creationId xmlns:a16="http://schemas.microsoft.com/office/drawing/2014/main" id="{41C3E43D-603C-49D0-9904-3C8050F39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28900" y="28194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14</xdr:row>
      <xdr:rowOff>85725</xdr:rowOff>
    </xdr:from>
    <xdr:ext cx="47625" cy="47625"/>
    <xdr:pic>
      <xdr:nvPicPr>
        <xdr:cNvPr id="40" name="BExIFSCLN1G86X78PFLTSMRP0US5" descr="9JK4SPV4DG7VTCZIILWHXQU5J" hidden="1">
          <a:extLst>
            <a:ext uri="{FF2B5EF4-FFF2-40B4-BE49-F238E27FC236}">
              <a16:creationId xmlns:a16="http://schemas.microsoft.com/office/drawing/2014/main" id="{C018BC77-2F96-427B-B808-924471DD9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28900" y="28956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14</xdr:row>
      <xdr:rowOff>9525</xdr:rowOff>
    </xdr:from>
    <xdr:ext cx="47625" cy="47625"/>
    <xdr:pic>
      <xdr:nvPicPr>
        <xdr:cNvPr id="41" name="BEx1I152WN2D3A85O2XN0DGXCWHN" descr="KHBZFMANRA4UMJR1AB4M5NJNT" hidden="1">
          <a:extLst>
            <a:ext uri="{FF2B5EF4-FFF2-40B4-BE49-F238E27FC236}">
              <a16:creationId xmlns:a16="http://schemas.microsoft.com/office/drawing/2014/main" id="{DCC51D0E-D50A-481B-A131-DE8976103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8194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14</xdr:row>
      <xdr:rowOff>85725</xdr:rowOff>
    </xdr:from>
    <xdr:ext cx="47625" cy="47625"/>
    <xdr:pic>
      <xdr:nvPicPr>
        <xdr:cNvPr id="42" name="BExW9676P0SKCVKK25QCGHPA3PAD" descr="9A4PWZ20RMSRF0PNECCDM75CA" hidden="1">
          <a:extLst>
            <a:ext uri="{FF2B5EF4-FFF2-40B4-BE49-F238E27FC236}">
              <a16:creationId xmlns:a16="http://schemas.microsoft.com/office/drawing/2014/main" id="{B074A83A-45B1-4C7E-9562-313673C9F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8956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16</xdr:row>
      <xdr:rowOff>0</xdr:rowOff>
    </xdr:from>
    <xdr:ext cx="123825" cy="123825"/>
    <xdr:pic>
      <xdr:nvPicPr>
        <xdr:cNvPr id="43" name="BExW253QPOZK9KW8BJC3LBXGCG2N" descr="Y5HX37BEUWSN1NEFJKZJXI3SX" hidden="1">
          <a:extLst>
            <a:ext uri="{FF2B5EF4-FFF2-40B4-BE49-F238E27FC236}">
              <a16:creationId xmlns:a16="http://schemas.microsoft.com/office/drawing/2014/main" id="{5CC55AAA-ED03-452C-9A07-E205B649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3714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14</xdr:row>
      <xdr:rowOff>9525</xdr:rowOff>
    </xdr:from>
    <xdr:ext cx="47625" cy="47625"/>
    <xdr:pic>
      <xdr:nvPicPr>
        <xdr:cNvPr id="44" name="BExS5CPQ8P8JOQPK7ANNKHLSGOKU" hidden="1">
          <a:extLst>
            <a:ext uri="{FF2B5EF4-FFF2-40B4-BE49-F238E27FC236}">
              <a16:creationId xmlns:a16="http://schemas.microsoft.com/office/drawing/2014/main" id="{0B3028E1-636A-4A46-8AA7-BC5095E84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8194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14</xdr:row>
      <xdr:rowOff>85725</xdr:rowOff>
    </xdr:from>
    <xdr:ext cx="47625" cy="47625"/>
    <xdr:pic>
      <xdr:nvPicPr>
        <xdr:cNvPr id="45" name="BExMM0AVUAIRNJLXB1FW8R0YB4ZZ" hidden="1">
          <a:extLst>
            <a:ext uri="{FF2B5EF4-FFF2-40B4-BE49-F238E27FC236}">
              <a16:creationId xmlns:a16="http://schemas.microsoft.com/office/drawing/2014/main" id="{C703A682-E2E0-410F-BA3B-EE85CEFE2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8956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14</xdr:row>
      <xdr:rowOff>9525</xdr:rowOff>
    </xdr:from>
    <xdr:ext cx="47625" cy="47625"/>
    <xdr:pic>
      <xdr:nvPicPr>
        <xdr:cNvPr id="46" name="BExXZ7Y09CBS0XA7IPB3IRJ8RJM4" hidden="1">
          <a:extLst>
            <a:ext uri="{FF2B5EF4-FFF2-40B4-BE49-F238E27FC236}">
              <a16:creationId xmlns:a16="http://schemas.microsoft.com/office/drawing/2014/main" id="{74D16911-8707-4305-9E56-CF11BDEE1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8194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14</xdr:row>
      <xdr:rowOff>85725</xdr:rowOff>
    </xdr:from>
    <xdr:ext cx="47625" cy="47625"/>
    <xdr:pic>
      <xdr:nvPicPr>
        <xdr:cNvPr id="47" name="BExQ7SXS9VUG7P6CACU2J7R2SGIZ" hidden="1">
          <a:extLst>
            <a:ext uri="{FF2B5EF4-FFF2-40B4-BE49-F238E27FC236}">
              <a16:creationId xmlns:a16="http://schemas.microsoft.com/office/drawing/2014/main" id="{6DB1101A-E60F-4C33-8863-8879FB8B6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8956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14</xdr:row>
      <xdr:rowOff>9525</xdr:rowOff>
    </xdr:from>
    <xdr:ext cx="47625" cy="47625"/>
    <xdr:pic>
      <xdr:nvPicPr>
        <xdr:cNvPr id="48" name="BEx5AQZ4ETQ9LMY5EBWVH20Z7VXQ" hidden="1">
          <a:extLst>
            <a:ext uri="{FF2B5EF4-FFF2-40B4-BE49-F238E27FC236}">
              <a16:creationId xmlns:a16="http://schemas.microsoft.com/office/drawing/2014/main" id="{024E99AF-C493-4BE2-8DE3-C53A46376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28194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14</xdr:row>
      <xdr:rowOff>85725</xdr:rowOff>
    </xdr:from>
    <xdr:ext cx="47625" cy="47625"/>
    <xdr:pic>
      <xdr:nvPicPr>
        <xdr:cNvPr id="49" name="BExUBK0YZ5VYFY8TTITJGJU9S06A" hidden="1">
          <a:extLst>
            <a:ext uri="{FF2B5EF4-FFF2-40B4-BE49-F238E27FC236}">
              <a16:creationId xmlns:a16="http://schemas.microsoft.com/office/drawing/2014/main" id="{31C6E9D2-590E-4BD4-9B3D-C80ABD77D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28956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14</xdr:row>
      <xdr:rowOff>9525</xdr:rowOff>
    </xdr:from>
    <xdr:ext cx="47625" cy="47625"/>
    <xdr:pic>
      <xdr:nvPicPr>
        <xdr:cNvPr id="50" name="BExUEZCSSJ7RN4J18I2NUIQR2FZS" hidden="1">
          <a:extLst>
            <a:ext uri="{FF2B5EF4-FFF2-40B4-BE49-F238E27FC236}">
              <a16:creationId xmlns:a16="http://schemas.microsoft.com/office/drawing/2014/main" id="{4A2FA540-80A5-487E-89DF-6D870D6F1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38425" y="28194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14</xdr:row>
      <xdr:rowOff>85725</xdr:rowOff>
    </xdr:from>
    <xdr:ext cx="47625" cy="47625"/>
    <xdr:pic>
      <xdr:nvPicPr>
        <xdr:cNvPr id="51" name="BExS3JDQWF7U3F5JTEVOE16ASIYK" hidden="1">
          <a:extLst>
            <a:ext uri="{FF2B5EF4-FFF2-40B4-BE49-F238E27FC236}">
              <a16:creationId xmlns:a16="http://schemas.microsoft.com/office/drawing/2014/main" id="{040D9435-09F9-4544-84D1-CFDC289C3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38425" y="28956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17</xdr:row>
      <xdr:rowOff>0</xdr:rowOff>
    </xdr:from>
    <xdr:ext cx="123825" cy="123825"/>
    <xdr:pic>
      <xdr:nvPicPr>
        <xdr:cNvPr id="52" name="BEx973S463FCQVJ7QDFBUIU0WJ3F" descr="ZQTVYL8DCSADVT0QMRXFLU0TR" hidden="1">
          <a:extLst>
            <a:ext uri="{FF2B5EF4-FFF2-40B4-BE49-F238E27FC236}">
              <a16:creationId xmlns:a16="http://schemas.microsoft.com/office/drawing/2014/main" id="{82A43957-5A1D-4E27-BFD3-87A681011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3905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16</xdr:row>
      <xdr:rowOff>0</xdr:rowOff>
    </xdr:from>
    <xdr:ext cx="123825" cy="123825"/>
    <xdr:pic>
      <xdr:nvPicPr>
        <xdr:cNvPr id="53" name="BEx5FXJGJOT93D0J2IRJ3985IUMI" hidden="1">
          <a:extLst>
            <a:ext uri="{FF2B5EF4-FFF2-40B4-BE49-F238E27FC236}">
              <a16:creationId xmlns:a16="http://schemas.microsoft.com/office/drawing/2014/main" id="{F89D422B-D71E-45D2-A51C-CC74331C6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3714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15</xdr:row>
      <xdr:rowOff>0</xdr:rowOff>
    </xdr:from>
    <xdr:ext cx="123825" cy="123825"/>
    <xdr:pic>
      <xdr:nvPicPr>
        <xdr:cNvPr id="54" name="BEx3RTMHAR35NUAAK49TV6NU7EPA" descr="QFXLG4ZCXTRQSJYFCKJ58G9N8" hidden="1">
          <a:extLst>
            <a:ext uri="{FF2B5EF4-FFF2-40B4-BE49-F238E27FC236}">
              <a16:creationId xmlns:a16="http://schemas.microsoft.com/office/drawing/2014/main" id="{B75973CC-4DFB-4857-B285-9DB2265AC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3524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18</xdr:row>
      <xdr:rowOff>0</xdr:rowOff>
    </xdr:from>
    <xdr:ext cx="123825" cy="123825"/>
    <xdr:pic>
      <xdr:nvPicPr>
        <xdr:cNvPr id="55" name="BExS8T38WLC2R738ZC7BDJQAKJAJ" descr="MRI962L5PB0E0YWXCIBN82VJH" hidden="1">
          <a:extLst>
            <a:ext uri="{FF2B5EF4-FFF2-40B4-BE49-F238E27FC236}">
              <a16:creationId xmlns:a16="http://schemas.microsoft.com/office/drawing/2014/main" id="{CDCE36AB-7E9E-4A10-8679-C8C4A10C1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4095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16</xdr:row>
      <xdr:rowOff>0</xdr:rowOff>
    </xdr:from>
    <xdr:ext cx="123825" cy="123825"/>
    <xdr:pic>
      <xdr:nvPicPr>
        <xdr:cNvPr id="56" name="BEx5F64BJ6DCM4EJH81D5ZFNPZ0V" descr="7DJ9FILZD2YPS6X1JBP9E76TU" hidden="1">
          <a:extLst>
            <a:ext uri="{FF2B5EF4-FFF2-40B4-BE49-F238E27FC236}">
              <a16:creationId xmlns:a16="http://schemas.microsoft.com/office/drawing/2014/main" id="{880463FD-ECB8-4932-BCD3-037F784CF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3714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16</xdr:row>
      <xdr:rowOff>0</xdr:rowOff>
    </xdr:from>
    <xdr:ext cx="123825" cy="123825"/>
    <xdr:pic>
      <xdr:nvPicPr>
        <xdr:cNvPr id="57" name="BExQEXXHA3EEXR44LT6RKCDWM6ZT" hidden="1">
          <a:extLst>
            <a:ext uri="{FF2B5EF4-FFF2-40B4-BE49-F238E27FC236}">
              <a16:creationId xmlns:a16="http://schemas.microsoft.com/office/drawing/2014/main" id="{1DD54A35-3903-4B53-8238-0CCFA3BAF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3714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20</xdr:row>
      <xdr:rowOff>0</xdr:rowOff>
    </xdr:from>
    <xdr:ext cx="123825" cy="123825"/>
    <xdr:pic>
      <xdr:nvPicPr>
        <xdr:cNvPr id="58" name="BEx1X6AMHV6ZK3UJB2BXIJTJHYJU" descr="OALR4L95ELQLZ1Y1LETHM1CS9" hidden="1">
          <a:extLst>
            <a:ext uri="{FF2B5EF4-FFF2-40B4-BE49-F238E27FC236}">
              <a16:creationId xmlns:a16="http://schemas.microsoft.com/office/drawing/2014/main" id="{F8E979DB-834C-4447-9F88-425627E5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4476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15</xdr:row>
      <xdr:rowOff>0</xdr:rowOff>
    </xdr:from>
    <xdr:ext cx="123825" cy="123825"/>
    <xdr:pic>
      <xdr:nvPicPr>
        <xdr:cNvPr id="59" name="BExSDIVCE09QKG3CT52PHCS6ZJ09" descr="9F076L7EQCF2COMMGCQG6BQGU" hidden="1">
          <a:extLst>
            <a:ext uri="{FF2B5EF4-FFF2-40B4-BE49-F238E27FC236}">
              <a16:creationId xmlns:a16="http://schemas.microsoft.com/office/drawing/2014/main" id="{97C5FF40-0E20-4BC9-ACD7-47284B73F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3524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23</xdr:row>
      <xdr:rowOff>0</xdr:rowOff>
    </xdr:from>
    <xdr:ext cx="123825" cy="123825"/>
    <xdr:pic>
      <xdr:nvPicPr>
        <xdr:cNvPr id="60" name="BExS343F8GCKP6HTF9Y97L133DX8" descr="ZRF0KB1IYQSNV63CTXT25G67G" hidden="1">
          <a:extLst>
            <a:ext uri="{FF2B5EF4-FFF2-40B4-BE49-F238E27FC236}">
              <a16:creationId xmlns:a16="http://schemas.microsoft.com/office/drawing/2014/main" id="{F9F74F73-6158-466B-9376-BBA9EE2E2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5048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22</xdr:row>
      <xdr:rowOff>0</xdr:rowOff>
    </xdr:from>
    <xdr:ext cx="123825" cy="123825"/>
    <xdr:pic>
      <xdr:nvPicPr>
        <xdr:cNvPr id="61" name="BExZMRC09W87CY4B73NPZMNH21AH" descr="78CUMI0OVLYJRSDRQ3V2YX812" hidden="1">
          <a:extLst>
            <a:ext uri="{FF2B5EF4-FFF2-40B4-BE49-F238E27FC236}">
              <a16:creationId xmlns:a16="http://schemas.microsoft.com/office/drawing/2014/main" id="{9D0A4A8F-9F9D-4F75-A3CE-6B80029A2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4857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21</xdr:row>
      <xdr:rowOff>9525</xdr:rowOff>
    </xdr:from>
    <xdr:ext cx="123825" cy="123825"/>
    <xdr:pic>
      <xdr:nvPicPr>
        <xdr:cNvPr id="62" name="BExZXVFJ4DY4I24AARDT4AMP6EN1" descr="TXSMH2MTH86CYKA26740RQPUC" hidden="1">
          <a:extLst>
            <a:ext uri="{FF2B5EF4-FFF2-40B4-BE49-F238E27FC236}">
              <a16:creationId xmlns:a16="http://schemas.microsoft.com/office/drawing/2014/main" id="{EADBD098-6575-4D0B-8B9D-3E2C10AB1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46767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20</xdr:row>
      <xdr:rowOff>0</xdr:rowOff>
    </xdr:from>
    <xdr:ext cx="123825" cy="123825"/>
    <xdr:pic>
      <xdr:nvPicPr>
        <xdr:cNvPr id="63" name="BExOCUIOFQWUGTBU5ESTW3EYEP5C" descr="9BNF49V0R6VVYPHEVMJ3ABDQZ" hidden="1">
          <a:extLst>
            <a:ext uri="{FF2B5EF4-FFF2-40B4-BE49-F238E27FC236}">
              <a16:creationId xmlns:a16="http://schemas.microsoft.com/office/drawing/2014/main" id="{8E45F29D-C153-4F34-8AC9-17C852827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4476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19</xdr:row>
      <xdr:rowOff>0</xdr:rowOff>
    </xdr:from>
    <xdr:ext cx="123825" cy="123825"/>
    <xdr:pic>
      <xdr:nvPicPr>
        <xdr:cNvPr id="64" name="BExU65O9OE4B4MQ2A3OYH13M8BZJ" descr="3INNIMMPDBB0JF37L81M6ID21" hidden="1">
          <a:extLst>
            <a:ext uri="{FF2B5EF4-FFF2-40B4-BE49-F238E27FC236}">
              <a16:creationId xmlns:a16="http://schemas.microsoft.com/office/drawing/2014/main" id="{430AEC3F-8249-4BC8-8FE2-527B6633F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4286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18</xdr:row>
      <xdr:rowOff>0</xdr:rowOff>
    </xdr:from>
    <xdr:ext cx="123825" cy="123825"/>
    <xdr:pic>
      <xdr:nvPicPr>
        <xdr:cNvPr id="65" name="BExOPRCR0UW7TKXSV5WDTL348FGL" descr="S9JM17GP1802LHN4GT14BJYIC" hidden="1">
          <a:extLst>
            <a:ext uri="{FF2B5EF4-FFF2-40B4-BE49-F238E27FC236}">
              <a16:creationId xmlns:a16="http://schemas.microsoft.com/office/drawing/2014/main" id="{9ADEEDE8-7B2A-4F13-9B36-02A7248E7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4095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17</xdr:row>
      <xdr:rowOff>0</xdr:rowOff>
    </xdr:from>
    <xdr:ext cx="123825" cy="123825"/>
    <xdr:pic>
      <xdr:nvPicPr>
        <xdr:cNvPr id="66" name="BEx5OESAY2W8SEGI3TSB65EHJ04B" descr="9CN2Y88X8WYV1HWZG1QILY9BK" hidden="1">
          <a:extLst>
            <a:ext uri="{FF2B5EF4-FFF2-40B4-BE49-F238E27FC236}">
              <a16:creationId xmlns:a16="http://schemas.microsoft.com/office/drawing/2014/main" id="{AA0C6C41-5968-4912-B3A6-B374732CD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3905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16</xdr:row>
      <xdr:rowOff>0</xdr:rowOff>
    </xdr:from>
    <xdr:ext cx="123825" cy="123825"/>
    <xdr:pic>
      <xdr:nvPicPr>
        <xdr:cNvPr id="67" name="BExGMWEQ2BYRY9BAO5T1X850MJN1" descr="AZ9ST0XDIOP50HSUFO5V31BR0" hidden="1">
          <a:extLst>
            <a:ext uri="{FF2B5EF4-FFF2-40B4-BE49-F238E27FC236}">
              <a16:creationId xmlns:a16="http://schemas.microsoft.com/office/drawing/2014/main" id="{6373BE72-F48E-44A9-950A-772CC2F3B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3714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25</xdr:row>
      <xdr:rowOff>9525</xdr:rowOff>
    </xdr:from>
    <xdr:ext cx="47625" cy="47625"/>
    <xdr:pic>
      <xdr:nvPicPr>
        <xdr:cNvPr id="68" name="BExMO7VFCN4EL59982UR4AJ25JNJ" descr="XX6TINEJADZGKR0CTM7ZRT0RA" hidden="1">
          <a:extLst>
            <a:ext uri="{FF2B5EF4-FFF2-40B4-BE49-F238E27FC236}">
              <a16:creationId xmlns:a16="http://schemas.microsoft.com/office/drawing/2014/main" id="{0568AB35-5D4F-4EDF-8E47-A990EADE9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54387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25</xdr:row>
      <xdr:rowOff>85725</xdr:rowOff>
    </xdr:from>
    <xdr:ext cx="47625" cy="47625"/>
    <xdr:pic>
      <xdr:nvPicPr>
        <xdr:cNvPr id="69" name="BExU3EX5JJCXCII4YKUJBFBGIJR2" descr="OF5ZI9PI5WH36VPANJ2DYLNMI" hidden="1">
          <a:extLst>
            <a:ext uri="{FF2B5EF4-FFF2-40B4-BE49-F238E27FC236}">
              <a16:creationId xmlns:a16="http://schemas.microsoft.com/office/drawing/2014/main" id="{683F0A0A-3398-4F03-9DE2-6CBA4EC67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5514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25</xdr:row>
      <xdr:rowOff>9525</xdr:rowOff>
    </xdr:from>
    <xdr:ext cx="47625" cy="47625"/>
    <xdr:pic>
      <xdr:nvPicPr>
        <xdr:cNvPr id="70" name="BEx1KD7H6UB1VYCJ7O61P562EIUY" descr="IQGV9140X0K0UPBL8OGU3I44J" hidden="1">
          <a:extLst>
            <a:ext uri="{FF2B5EF4-FFF2-40B4-BE49-F238E27FC236}">
              <a16:creationId xmlns:a16="http://schemas.microsoft.com/office/drawing/2014/main" id="{CA6BC8E3-B5BE-4B5D-8061-7E3737770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54387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25</xdr:row>
      <xdr:rowOff>85725</xdr:rowOff>
    </xdr:from>
    <xdr:ext cx="47625" cy="47625"/>
    <xdr:pic>
      <xdr:nvPicPr>
        <xdr:cNvPr id="71" name="BEx5BJQWS6YWHH4ZMSUAMD641V6Y" descr="ZTMFMXCIQSECDX38ALEFHUB00" hidden="1">
          <a:extLst>
            <a:ext uri="{FF2B5EF4-FFF2-40B4-BE49-F238E27FC236}">
              <a16:creationId xmlns:a16="http://schemas.microsoft.com/office/drawing/2014/main" id="{5BA4CBAA-28E7-4B76-98E6-089D9E568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5514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25</xdr:row>
      <xdr:rowOff>9525</xdr:rowOff>
    </xdr:from>
    <xdr:ext cx="47625" cy="47625"/>
    <xdr:pic>
      <xdr:nvPicPr>
        <xdr:cNvPr id="72" name="BExVTO5Q8G2M7BPL4B2584LQS0R0" descr="OB6Q8NA4LZFE4GM9Y3V56BPMQ" hidden="1">
          <a:extLst>
            <a:ext uri="{FF2B5EF4-FFF2-40B4-BE49-F238E27FC236}">
              <a16:creationId xmlns:a16="http://schemas.microsoft.com/office/drawing/2014/main" id="{06A21D98-9D4F-4727-8334-2591E5E61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28900" y="54387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25</xdr:row>
      <xdr:rowOff>85725</xdr:rowOff>
    </xdr:from>
    <xdr:ext cx="47625" cy="47625"/>
    <xdr:pic>
      <xdr:nvPicPr>
        <xdr:cNvPr id="73" name="BExIFSCLN1G86X78PFLTSMRP0US5" descr="9JK4SPV4DG7VTCZIILWHXQU5J" hidden="1">
          <a:extLst>
            <a:ext uri="{FF2B5EF4-FFF2-40B4-BE49-F238E27FC236}">
              <a16:creationId xmlns:a16="http://schemas.microsoft.com/office/drawing/2014/main" id="{4F9B1B14-4F59-48B4-A082-EF2C027C7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28900" y="5514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25</xdr:row>
      <xdr:rowOff>9525</xdr:rowOff>
    </xdr:from>
    <xdr:ext cx="47625" cy="47625"/>
    <xdr:pic>
      <xdr:nvPicPr>
        <xdr:cNvPr id="74" name="BEx1I152WN2D3A85O2XN0DGXCWHN" descr="KHBZFMANRA4UMJR1AB4M5NJNT" hidden="1">
          <a:extLst>
            <a:ext uri="{FF2B5EF4-FFF2-40B4-BE49-F238E27FC236}">
              <a16:creationId xmlns:a16="http://schemas.microsoft.com/office/drawing/2014/main" id="{0A9AA5DB-2F1F-490C-861F-6330B9DAA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54387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25</xdr:row>
      <xdr:rowOff>85725</xdr:rowOff>
    </xdr:from>
    <xdr:ext cx="47625" cy="47625"/>
    <xdr:pic>
      <xdr:nvPicPr>
        <xdr:cNvPr id="75" name="BExW9676P0SKCVKK25QCGHPA3PAD" descr="9A4PWZ20RMSRF0PNECCDM75CA" hidden="1">
          <a:extLst>
            <a:ext uri="{FF2B5EF4-FFF2-40B4-BE49-F238E27FC236}">
              <a16:creationId xmlns:a16="http://schemas.microsoft.com/office/drawing/2014/main" id="{E3CDCCB8-ED6B-46C0-B9FA-DBCABD7B8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5514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27</xdr:row>
      <xdr:rowOff>0</xdr:rowOff>
    </xdr:from>
    <xdr:ext cx="123825" cy="123825"/>
    <xdr:pic>
      <xdr:nvPicPr>
        <xdr:cNvPr id="76" name="BExW253QPOZK9KW8BJC3LBXGCG2N" descr="Y5HX37BEUWSN1NEFJKZJXI3SX" hidden="1">
          <a:extLst>
            <a:ext uri="{FF2B5EF4-FFF2-40B4-BE49-F238E27FC236}">
              <a16:creationId xmlns:a16="http://schemas.microsoft.com/office/drawing/2014/main" id="{6BF6F424-9C86-4E8D-86CE-8E2552863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6334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25</xdr:row>
      <xdr:rowOff>9525</xdr:rowOff>
    </xdr:from>
    <xdr:ext cx="47625" cy="47625"/>
    <xdr:pic>
      <xdr:nvPicPr>
        <xdr:cNvPr id="77" name="BExS5CPQ8P8JOQPK7ANNKHLSGOKU" hidden="1">
          <a:extLst>
            <a:ext uri="{FF2B5EF4-FFF2-40B4-BE49-F238E27FC236}">
              <a16:creationId xmlns:a16="http://schemas.microsoft.com/office/drawing/2014/main" id="{4289194B-FEA8-4660-9409-1017A101F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54387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25</xdr:row>
      <xdr:rowOff>85725</xdr:rowOff>
    </xdr:from>
    <xdr:ext cx="47625" cy="47625"/>
    <xdr:pic>
      <xdr:nvPicPr>
        <xdr:cNvPr id="78" name="BExMM0AVUAIRNJLXB1FW8R0YB4ZZ" hidden="1">
          <a:extLst>
            <a:ext uri="{FF2B5EF4-FFF2-40B4-BE49-F238E27FC236}">
              <a16:creationId xmlns:a16="http://schemas.microsoft.com/office/drawing/2014/main" id="{C6B84601-7F38-4955-8A90-301EC26F3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5514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25</xdr:row>
      <xdr:rowOff>9525</xdr:rowOff>
    </xdr:from>
    <xdr:ext cx="47625" cy="47625"/>
    <xdr:pic>
      <xdr:nvPicPr>
        <xdr:cNvPr id="79" name="BExXZ7Y09CBS0XA7IPB3IRJ8RJM4" hidden="1">
          <a:extLst>
            <a:ext uri="{FF2B5EF4-FFF2-40B4-BE49-F238E27FC236}">
              <a16:creationId xmlns:a16="http://schemas.microsoft.com/office/drawing/2014/main" id="{EC45BA85-4154-46C4-98BA-A5B55C016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54387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25</xdr:row>
      <xdr:rowOff>85725</xdr:rowOff>
    </xdr:from>
    <xdr:ext cx="47625" cy="47625"/>
    <xdr:pic>
      <xdr:nvPicPr>
        <xdr:cNvPr id="80" name="BExQ7SXS9VUG7P6CACU2J7R2SGIZ" hidden="1">
          <a:extLst>
            <a:ext uri="{FF2B5EF4-FFF2-40B4-BE49-F238E27FC236}">
              <a16:creationId xmlns:a16="http://schemas.microsoft.com/office/drawing/2014/main" id="{C51D3B7E-7938-4157-82BF-C5E2C8CF6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5514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25</xdr:row>
      <xdr:rowOff>9525</xdr:rowOff>
    </xdr:from>
    <xdr:ext cx="47625" cy="47625"/>
    <xdr:pic>
      <xdr:nvPicPr>
        <xdr:cNvPr id="81" name="BEx5AQZ4ETQ9LMY5EBWVH20Z7VXQ" hidden="1">
          <a:extLst>
            <a:ext uri="{FF2B5EF4-FFF2-40B4-BE49-F238E27FC236}">
              <a16:creationId xmlns:a16="http://schemas.microsoft.com/office/drawing/2014/main" id="{83322CD6-DDC1-4EDE-B3B2-0D01835E6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54387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25</xdr:row>
      <xdr:rowOff>85725</xdr:rowOff>
    </xdr:from>
    <xdr:ext cx="47625" cy="47625"/>
    <xdr:pic>
      <xdr:nvPicPr>
        <xdr:cNvPr id="82" name="BExUBK0YZ5VYFY8TTITJGJU9S06A" hidden="1">
          <a:extLst>
            <a:ext uri="{FF2B5EF4-FFF2-40B4-BE49-F238E27FC236}">
              <a16:creationId xmlns:a16="http://schemas.microsoft.com/office/drawing/2014/main" id="{B9A8D2AD-1E58-43CC-A990-7986F2A01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5514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25</xdr:row>
      <xdr:rowOff>9525</xdr:rowOff>
    </xdr:from>
    <xdr:ext cx="47625" cy="47625"/>
    <xdr:pic>
      <xdr:nvPicPr>
        <xdr:cNvPr id="83" name="BExUEZCSSJ7RN4J18I2NUIQR2FZS" hidden="1">
          <a:extLst>
            <a:ext uri="{FF2B5EF4-FFF2-40B4-BE49-F238E27FC236}">
              <a16:creationId xmlns:a16="http://schemas.microsoft.com/office/drawing/2014/main" id="{1CE255AA-C902-4A4A-AABF-E8C682A90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38425" y="54387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25</xdr:row>
      <xdr:rowOff>85725</xdr:rowOff>
    </xdr:from>
    <xdr:ext cx="47625" cy="47625"/>
    <xdr:pic>
      <xdr:nvPicPr>
        <xdr:cNvPr id="84" name="BExS3JDQWF7U3F5JTEVOE16ASIYK" hidden="1">
          <a:extLst>
            <a:ext uri="{FF2B5EF4-FFF2-40B4-BE49-F238E27FC236}">
              <a16:creationId xmlns:a16="http://schemas.microsoft.com/office/drawing/2014/main" id="{3A3630BF-834A-4771-B036-E4148D84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38425" y="5514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28</xdr:row>
      <xdr:rowOff>0</xdr:rowOff>
    </xdr:from>
    <xdr:ext cx="123825" cy="123825"/>
    <xdr:pic>
      <xdr:nvPicPr>
        <xdr:cNvPr id="85" name="BEx973S463FCQVJ7QDFBUIU0WJ3F" descr="ZQTVYL8DCSADVT0QMRXFLU0TR" hidden="1">
          <a:extLst>
            <a:ext uri="{FF2B5EF4-FFF2-40B4-BE49-F238E27FC236}">
              <a16:creationId xmlns:a16="http://schemas.microsoft.com/office/drawing/2014/main" id="{0BC5C2E3-526F-4D9B-9C69-451F87911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6524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27</xdr:row>
      <xdr:rowOff>0</xdr:rowOff>
    </xdr:from>
    <xdr:ext cx="123825" cy="123825"/>
    <xdr:pic>
      <xdr:nvPicPr>
        <xdr:cNvPr id="86" name="BEx5FXJGJOT93D0J2IRJ3985IUMI" hidden="1">
          <a:extLst>
            <a:ext uri="{FF2B5EF4-FFF2-40B4-BE49-F238E27FC236}">
              <a16:creationId xmlns:a16="http://schemas.microsoft.com/office/drawing/2014/main" id="{B1B60D7F-0024-4275-84A5-14629274D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6334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26</xdr:row>
      <xdr:rowOff>0</xdr:rowOff>
    </xdr:from>
    <xdr:ext cx="123825" cy="123825"/>
    <xdr:pic>
      <xdr:nvPicPr>
        <xdr:cNvPr id="87" name="BEx3RTMHAR35NUAAK49TV6NU7EPA" descr="QFXLG4ZCXTRQSJYFCKJ58G9N8" hidden="1">
          <a:extLst>
            <a:ext uri="{FF2B5EF4-FFF2-40B4-BE49-F238E27FC236}">
              <a16:creationId xmlns:a16="http://schemas.microsoft.com/office/drawing/2014/main" id="{79D648E4-3DD5-41C0-B4A3-881EF03CC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6143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29</xdr:row>
      <xdr:rowOff>0</xdr:rowOff>
    </xdr:from>
    <xdr:ext cx="123825" cy="123825"/>
    <xdr:pic>
      <xdr:nvPicPr>
        <xdr:cNvPr id="88" name="BExS8T38WLC2R738ZC7BDJQAKJAJ" descr="MRI962L5PB0E0YWXCIBN82VJH" hidden="1">
          <a:extLst>
            <a:ext uri="{FF2B5EF4-FFF2-40B4-BE49-F238E27FC236}">
              <a16:creationId xmlns:a16="http://schemas.microsoft.com/office/drawing/2014/main" id="{CB153532-A2C9-4606-B9E1-0170BE380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6715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27</xdr:row>
      <xdr:rowOff>0</xdr:rowOff>
    </xdr:from>
    <xdr:ext cx="123825" cy="123825"/>
    <xdr:pic>
      <xdr:nvPicPr>
        <xdr:cNvPr id="89" name="BEx5F64BJ6DCM4EJH81D5ZFNPZ0V" descr="7DJ9FILZD2YPS6X1JBP9E76TU" hidden="1">
          <a:extLst>
            <a:ext uri="{FF2B5EF4-FFF2-40B4-BE49-F238E27FC236}">
              <a16:creationId xmlns:a16="http://schemas.microsoft.com/office/drawing/2014/main" id="{7C77CC35-C34A-436B-84CE-B33C16330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6334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27</xdr:row>
      <xdr:rowOff>0</xdr:rowOff>
    </xdr:from>
    <xdr:ext cx="123825" cy="123825"/>
    <xdr:pic>
      <xdr:nvPicPr>
        <xdr:cNvPr id="90" name="BExQEXXHA3EEXR44LT6RKCDWM6ZT" hidden="1">
          <a:extLst>
            <a:ext uri="{FF2B5EF4-FFF2-40B4-BE49-F238E27FC236}">
              <a16:creationId xmlns:a16="http://schemas.microsoft.com/office/drawing/2014/main" id="{46384880-EB00-416C-BCA0-7A6106265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6334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31</xdr:row>
      <xdr:rowOff>0</xdr:rowOff>
    </xdr:from>
    <xdr:ext cx="123825" cy="123825"/>
    <xdr:pic>
      <xdr:nvPicPr>
        <xdr:cNvPr id="91" name="BEx1X6AMHV6ZK3UJB2BXIJTJHYJU" descr="OALR4L95ELQLZ1Y1LETHM1CS9" hidden="1">
          <a:extLst>
            <a:ext uri="{FF2B5EF4-FFF2-40B4-BE49-F238E27FC236}">
              <a16:creationId xmlns:a16="http://schemas.microsoft.com/office/drawing/2014/main" id="{78F945CF-D4DF-403B-BBF7-3D3B60C87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7096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26</xdr:row>
      <xdr:rowOff>0</xdr:rowOff>
    </xdr:from>
    <xdr:ext cx="123825" cy="123825"/>
    <xdr:pic>
      <xdr:nvPicPr>
        <xdr:cNvPr id="92" name="BExSDIVCE09QKG3CT52PHCS6ZJ09" descr="9F076L7EQCF2COMMGCQG6BQGU" hidden="1">
          <a:extLst>
            <a:ext uri="{FF2B5EF4-FFF2-40B4-BE49-F238E27FC236}">
              <a16:creationId xmlns:a16="http://schemas.microsoft.com/office/drawing/2014/main" id="{DEA0E783-1563-4454-91C4-572FA62D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6143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34</xdr:row>
      <xdr:rowOff>0</xdr:rowOff>
    </xdr:from>
    <xdr:ext cx="123825" cy="123825"/>
    <xdr:pic>
      <xdr:nvPicPr>
        <xdr:cNvPr id="93" name="BExS343F8GCKP6HTF9Y97L133DX8" descr="ZRF0KB1IYQSNV63CTXT25G67G" hidden="1">
          <a:extLst>
            <a:ext uri="{FF2B5EF4-FFF2-40B4-BE49-F238E27FC236}">
              <a16:creationId xmlns:a16="http://schemas.microsoft.com/office/drawing/2014/main" id="{EEBBD647-455F-40A7-B218-A152D59D6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7667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33</xdr:row>
      <xdr:rowOff>0</xdr:rowOff>
    </xdr:from>
    <xdr:ext cx="123825" cy="123825"/>
    <xdr:pic>
      <xdr:nvPicPr>
        <xdr:cNvPr id="94" name="BExZMRC09W87CY4B73NPZMNH21AH" descr="78CUMI0OVLYJRSDRQ3V2YX812" hidden="1">
          <a:extLst>
            <a:ext uri="{FF2B5EF4-FFF2-40B4-BE49-F238E27FC236}">
              <a16:creationId xmlns:a16="http://schemas.microsoft.com/office/drawing/2014/main" id="{E983E860-4EE5-4E90-B1EC-B1CF1B77C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7477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32</xdr:row>
      <xdr:rowOff>9525</xdr:rowOff>
    </xdr:from>
    <xdr:ext cx="123825" cy="123825"/>
    <xdr:pic>
      <xdr:nvPicPr>
        <xdr:cNvPr id="95" name="BExZXVFJ4DY4I24AARDT4AMP6EN1" descr="TXSMH2MTH86CYKA26740RQPUC" hidden="1">
          <a:extLst>
            <a:ext uri="{FF2B5EF4-FFF2-40B4-BE49-F238E27FC236}">
              <a16:creationId xmlns:a16="http://schemas.microsoft.com/office/drawing/2014/main" id="{02571619-2E19-4EB5-AD21-9C0ADBE2F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72961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31</xdr:row>
      <xdr:rowOff>0</xdr:rowOff>
    </xdr:from>
    <xdr:ext cx="123825" cy="123825"/>
    <xdr:pic>
      <xdr:nvPicPr>
        <xdr:cNvPr id="96" name="BExOCUIOFQWUGTBU5ESTW3EYEP5C" descr="9BNF49V0R6VVYPHEVMJ3ABDQZ" hidden="1">
          <a:extLst>
            <a:ext uri="{FF2B5EF4-FFF2-40B4-BE49-F238E27FC236}">
              <a16:creationId xmlns:a16="http://schemas.microsoft.com/office/drawing/2014/main" id="{522ED3E9-67A8-4CDF-90E8-83E4DC0AB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7096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30</xdr:row>
      <xdr:rowOff>0</xdr:rowOff>
    </xdr:from>
    <xdr:ext cx="123825" cy="123825"/>
    <xdr:pic>
      <xdr:nvPicPr>
        <xdr:cNvPr id="97" name="BExU65O9OE4B4MQ2A3OYH13M8BZJ" descr="3INNIMMPDBB0JF37L81M6ID21" hidden="1">
          <a:extLst>
            <a:ext uri="{FF2B5EF4-FFF2-40B4-BE49-F238E27FC236}">
              <a16:creationId xmlns:a16="http://schemas.microsoft.com/office/drawing/2014/main" id="{10143469-C95F-4DDD-B07C-9AD7DEEDD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6905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29</xdr:row>
      <xdr:rowOff>0</xdr:rowOff>
    </xdr:from>
    <xdr:ext cx="123825" cy="123825"/>
    <xdr:pic>
      <xdr:nvPicPr>
        <xdr:cNvPr id="98" name="BExOPRCR0UW7TKXSV5WDTL348FGL" descr="S9JM17GP1802LHN4GT14BJYIC" hidden="1">
          <a:extLst>
            <a:ext uri="{FF2B5EF4-FFF2-40B4-BE49-F238E27FC236}">
              <a16:creationId xmlns:a16="http://schemas.microsoft.com/office/drawing/2014/main" id="{13F5A3D4-1AD3-4280-BEA5-899AFB0B0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6715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28</xdr:row>
      <xdr:rowOff>0</xdr:rowOff>
    </xdr:from>
    <xdr:ext cx="123825" cy="123825"/>
    <xdr:pic>
      <xdr:nvPicPr>
        <xdr:cNvPr id="99" name="BEx5OESAY2W8SEGI3TSB65EHJ04B" descr="9CN2Y88X8WYV1HWZG1QILY9BK" hidden="1">
          <a:extLst>
            <a:ext uri="{FF2B5EF4-FFF2-40B4-BE49-F238E27FC236}">
              <a16:creationId xmlns:a16="http://schemas.microsoft.com/office/drawing/2014/main" id="{1541D2E0-31B9-4C46-839B-4E87F6BFE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6524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27</xdr:row>
      <xdr:rowOff>0</xdr:rowOff>
    </xdr:from>
    <xdr:ext cx="123825" cy="123825"/>
    <xdr:pic>
      <xdr:nvPicPr>
        <xdr:cNvPr id="100" name="BExGMWEQ2BYRY9BAO5T1X850MJN1" descr="AZ9ST0XDIOP50HSUFO5V31BR0" hidden="1">
          <a:extLst>
            <a:ext uri="{FF2B5EF4-FFF2-40B4-BE49-F238E27FC236}">
              <a16:creationId xmlns:a16="http://schemas.microsoft.com/office/drawing/2014/main" id="{F9634A16-293B-4226-9086-2D950B4A9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6334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36</xdr:row>
      <xdr:rowOff>9525</xdr:rowOff>
    </xdr:from>
    <xdr:ext cx="47625" cy="47625"/>
    <xdr:pic>
      <xdr:nvPicPr>
        <xdr:cNvPr id="101" name="BExMO7VFCN4EL59982UR4AJ25JNJ" descr="XX6TINEJADZGKR0CTM7ZRT0RA" hidden="1">
          <a:extLst>
            <a:ext uri="{FF2B5EF4-FFF2-40B4-BE49-F238E27FC236}">
              <a16:creationId xmlns:a16="http://schemas.microsoft.com/office/drawing/2014/main" id="{2ECD298F-141F-4781-86B0-41497FA75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80581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36</xdr:row>
      <xdr:rowOff>85725</xdr:rowOff>
    </xdr:from>
    <xdr:ext cx="47625" cy="47625"/>
    <xdr:pic>
      <xdr:nvPicPr>
        <xdr:cNvPr id="102" name="BExU3EX5JJCXCII4YKUJBFBGIJR2" descr="OF5ZI9PI5WH36VPANJ2DYLNMI" hidden="1">
          <a:extLst>
            <a:ext uri="{FF2B5EF4-FFF2-40B4-BE49-F238E27FC236}">
              <a16:creationId xmlns:a16="http://schemas.microsoft.com/office/drawing/2014/main" id="{5DDDD55A-724D-4C98-8B82-C64456743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81343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36</xdr:row>
      <xdr:rowOff>9525</xdr:rowOff>
    </xdr:from>
    <xdr:ext cx="47625" cy="47625"/>
    <xdr:pic>
      <xdr:nvPicPr>
        <xdr:cNvPr id="103" name="BEx1KD7H6UB1VYCJ7O61P562EIUY" descr="IQGV9140X0K0UPBL8OGU3I44J" hidden="1">
          <a:extLst>
            <a:ext uri="{FF2B5EF4-FFF2-40B4-BE49-F238E27FC236}">
              <a16:creationId xmlns:a16="http://schemas.microsoft.com/office/drawing/2014/main" id="{2800DCDC-8863-4110-AB05-355263D14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80581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36</xdr:row>
      <xdr:rowOff>85725</xdr:rowOff>
    </xdr:from>
    <xdr:ext cx="47625" cy="47625"/>
    <xdr:pic>
      <xdr:nvPicPr>
        <xdr:cNvPr id="104" name="BEx5BJQWS6YWHH4ZMSUAMD641V6Y" descr="ZTMFMXCIQSECDX38ALEFHUB00" hidden="1">
          <a:extLst>
            <a:ext uri="{FF2B5EF4-FFF2-40B4-BE49-F238E27FC236}">
              <a16:creationId xmlns:a16="http://schemas.microsoft.com/office/drawing/2014/main" id="{93D13CBE-8F30-4656-8C93-0BF78644F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81343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36</xdr:row>
      <xdr:rowOff>9525</xdr:rowOff>
    </xdr:from>
    <xdr:ext cx="47625" cy="47625"/>
    <xdr:pic>
      <xdr:nvPicPr>
        <xdr:cNvPr id="105" name="BExVTO5Q8G2M7BPL4B2584LQS0R0" descr="OB6Q8NA4LZFE4GM9Y3V56BPMQ" hidden="1">
          <a:extLst>
            <a:ext uri="{FF2B5EF4-FFF2-40B4-BE49-F238E27FC236}">
              <a16:creationId xmlns:a16="http://schemas.microsoft.com/office/drawing/2014/main" id="{A3E13CEE-6AE6-4242-9FB0-33ECBE6A3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28900" y="80581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36</xdr:row>
      <xdr:rowOff>85725</xdr:rowOff>
    </xdr:from>
    <xdr:ext cx="47625" cy="47625"/>
    <xdr:pic>
      <xdr:nvPicPr>
        <xdr:cNvPr id="106" name="BExIFSCLN1G86X78PFLTSMRP0US5" descr="9JK4SPV4DG7VTCZIILWHXQU5J" hidden="1">
          <a:extLst>
            <a:ext uri="{FF2B5EF4-FFF2-40B4-BE49-F238E27FC236}">
              <a16:creationId xmlns:a16="http://schemas.microsoft.com/office/drawing/2014/main" id="{6C04872B-376B-40CA-9A8A-954B9ACD0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28900" y="81343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36</xdr:row>
      <xdr:rowOff>9525</xdr:rowOff>
    </xdr:from>
    <xdr:ext cx="47625" cy="47625"/>
    <xdr:pic>
      <xdr:nvPicPr>
        <xdr:cNvPr id="107" name="BEx1I152WN2D3A85O2XN0DGXCWHN" descr="KHBZFMANRA4UMJR1AB4M5NJNT" hidden="1">
          <a:extLst>
            <a:ext uri="{FF2B5EF4-FFF2-40B4-BE49-F238E27FC236}">
              <a16:creationId xmlns:a16="http://schemas.microsoft.com/office/drawing/2014/main" id="{C5627883-5847-44E2-A892-11BA7B47C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80581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36</xdr:row>
      <xdr:rowOff>85725</xdr:rowOff>
    </xdr:from>
    <xdr:ext cx="47625" cy="47625"/>
    <xdr:pic>
      <xdr:nvPicPr>
        <xdr:cNvPr id="108" name="BExW9676P0SKCVKK25QCGHPA3PAD" descr="9A4PWZ20RMSRF0PNECCDM75CA" hidden="1">
          <a:extLst>
            <a:ext uri="{FF2B5EF4-FFF2-40B4-BE49-F238E27FC236}">
              <a16:creationId xmlns:a16="http://schemas.microsoft.com/office/drawing/2014/main" id="{54493C34-3621-4957-BCAE-1348E7E46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81343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38</xdr:row>
      <xdr:rowOff>0</xdr:rowOff>
    </xdr:from>
    <xdr:ext cx="123825" cy="123825"/>
    <xdr:pic>
      <xdr:nvPicPr>
        <xdr:cNvPr id="109" name="BExW253QPOZK9KW8BJC3LBXGCG2N" descr="Y5HX37BEUWSN1NEFJKZJXI3SX" hidden="1">
          <a:extLst>
            <a:ext uri="{FF2B5EF4-FFF2-40B4-BE49-F238E27FC236}">
              <a16:creationId xmlns:a16="http://schemas.microsoft.com/office/drawing/2014/main" id="{7DFA1CD2-256A-4805-B231-DA9F32BB3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895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36</xdr:row>
      <xdr:rowOff>9525</xdr:rowOff>
    </xdr:from>
    <xdr:ext cx="47625" cy="47625"/>
    <xdr:pic>
      <xdr:nvPicPr>
        <xdr:cNvPr id="110" name="BExS5CPQ8P8JOQPK7ANNKHLSGOKU" hidden="1">
          <a:extLst>
            <a:ext uri="{FF2B5EF4-FFF2-40B4-BE49-F238E27FC236}">
              <a16:creationId xmlns:a16="http://schemas.microsoft.com/office/drawing/2014/main" id="{C1095E27-53CD-4876-B506-C0117CEF2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80581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36</xdr:row>
      <xdr:rowOff>85725</xdr:rowOff>
    </xdr:from>
    <xdr:ext cx="47625" cy="47625"/>
    <xdr:pic>
      <xdr:nvPicPr>
        <xdr:cNvPr id="111" name="BExMM0AVUAIRNJLXB1FW8R0YB4ZZ" hidden="1">
          <a:extLst>
            <a:ext uri="{FF2B5EF4-FFF2-40B4-BE49-F238E27FC236}">
              <a16:creationId xmlns:a16="http://schemas.microsoft.com/office/drawing/2014/main" id="{3791488D-B0CE-486B-8201-A35878FE0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81343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36</xdr:row>
      <xdr:rowOff>9525</xdr:rowOff>
    </xdr:from>
    <xdr:ext cx="47625" cy="47625"/>
    <xdr:pic>
      <xdr:nvPicPr>
        <xdr:cNvPr id="112" name="BExXZ7Y09CBS0XA7IPB3IRJ8RJM4" hidden="1">
          <a:extLst>
            <a:ext uri="{FF2B5EF4-FFF2-40B4-BE49-F238E27FC236}">
              <a16:creationId xmlns:a16="http://schemas.microsoft.com/office/drawing/2014/main" id="{8E64FD1A-ACA4-429D-9DDD-A73CDE18F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80581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36</xdr:row>
      <xdr:rowOff>85725</xdr:rowOff>
    </xdr:from>
    <xdr:ext cx="47625" cy="47625"/>
    <xdr:pic>
      <xdr:nvPicPr>
        <xdr:cNvPr id="113" name="BExQ7SXS9VUG7P6CACU2J7R2SGIZ" hidden="1">
          <a:extLst>
            <a:ext uri="{FF2B5EF4-FFF2-40B4-BE49-F238E27FC236}">
              <a16:creationId xmlns:a16="http://schemas.microsoft.com/office/drawing/2014/main" id="{CA98D998-C1D0-40E9-B678-76C11F4EE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81343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36</xdr:row>
      <xdr:rowOff>9525</xdr:rowOff>
    </xdr:from>
    <xdr:ext cx="47625" cy="47625"/>
    <xdr:pic>
      <xdr:nvPicPr>
        <xdr:cNvPr id="114" name="BEx5AQZ4ETQ9LMY5EBWVH20Z7VXQ" hidden="1">
          <a:extLst>
            <a:ext uri="{FF2B5EF4-FFF2-40B4-BE49-F238E27FC236}">
              <a16:creationId xmlns:a16="http://schemas.microsoft.com/office/drawing/2014/main" id="{B0647044-260D-40DE-877E-317233995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80581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36</xdr:row>
      <xdr:rowOff>85725</xdr:rowOff>
    </xdr:from>
    <xdr:ext cx="47625" cy="47625"/>
    <xdr:pic>
      <xdr:nvPicPr>
        <xdr:cNvPr id="115" name="BExUBK0YZ5VYFY8TTITJGJU9S06A" hidden="1">
          <a:extLst>
            <a:ext uri="{FF2B5EF4-FFF2-40B4-BE49-F238E27FC236}">
              <a16:creationId xmlns:a16="http://schemas.microsoft.com/office/drawing/2014/main" id="{5D331024-ED3E-4F92-A381-DBB8F5CD6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81343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36</xdr:row>
      <xdr:rowOff>9525</xdr:rowOff>
    </xdr:from>
    <xdr:ext cx="47625" cy="47625"/>
    <xdr:pic>
      <xdr:nvPicPr>
        <xdr:cNvPr id="116" name="BExUEZCSSJ7RN4J18I2NUIQR2FZS" hidden="1">
          <a:extLst>
            <a:ext uri="{FF2B5EF4-FFF2-40B4-BE49-F238E27FC236}">
              <a16:creationId xmlns:a16="http://schemas.microsoft.com/office/drawing/2014/main" id="{99DAF25E-81D5-4B95-8F40-3CEBD042F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38425" y="80581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36</xdr:row>
      <xdr:rowOff>85725</xdr:rowOff>
    </xdr:from>
    <xdr:ext cx="47625" cy="47625"/>
    <xdr:pic>
      <xdr:nvPicPr>
        <xdr:cNvPr id="117" name="BExS3JDQWF7U3F5JTEVOE16ASIYK" hidden="1">
          <a:extLst>
            <a:ext uri="{FF2B5EF4-FFF2-40B4-BE49-F238E27FC236}">
              <a16:creationId xmlns:a16="http://schemas.microsoft.com/office/drawing/2014/main" id="{EC65038A-A14F-4C2E-8B17-06ABA8374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38425" y="81343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39</xdr:row>
      <xdr:rowOff>0</xdr:rowOff>
    </xdr:from>
    <xdr:ext cx="123825" cy="123825"/>
    <xdr:pic>
      <xdr:nvPicPr>
        <xdr:cNvPr id="118" name="BEx973S463FCQVJ7QDFBUIU0WJ3F" descr="ZQTVYL8DCSADVT0QMRXFLU0TR" hidden="1">
          <a:extLst>
            <a:ext uri="{FF2B5EF4-FFF2-40B4-BE49-F238E27FC236}">
              <a16:creationId xmlns:a16="http://schemas.microsoft.com/office/drawing/2014/main" id="{74826A93-A9FE-4EB0-AAE1-3D2CAFA41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9144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38</xdr:row>
      <xdr:rowOff>0</xdr:rowOff>
    </xdr:from>
    <xdr:ext cx="123825" cy="123825"/>
    <xdr:pic>
      <xdr:nvPicPr>
        <xdr:cNvPr id="119" name="BEx5FXJGJOT93D0J2IRJ3985IUMI" hidden="1">
          <a:extLst>
            <a:ext uri="{FF2B5EF4-FFF2-40B4-BE49-F238E27FC236}">
              <a16:creationId xmlns:a16="http://schemas.microsoft.com/office/drawing/2014/main" id="{E4BFC1C2-2F02-4689-943F-F5764DA25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895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37</xdr:row>
      <xdr:rowOff>0</xdr:rowOff>
    </xdr:from>
    <xdr:ext cx="123825" cy="123825"/>
    <xdr:pic>
      <xdr:nvPicPr>
        <xdr:cNvPr id="120" name="BEx3RTMHAR35NUAAK49TV6NU7EPA" descr="QFXLG4ZCXTRQSJYFCKJ58G9N8" hidden="1">
          <a:extLst>
            <a:ext uri="{FF2B5EF4-FFF2-40B4-BE49-F238E27FC236}">
              <a16:creationId xmlns:a16="http://schemas.microsoft.com/office/drawing/2014/main" id="{B6C1F257-1D6A-4120-AD8B-36D48EFA3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876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40</xdr:row>
      <xdr:rowOff>0</xdr:rowOff>
    </xdr:from>
    <xdr:ext cx="123825" cy="123825"/>
    <xdr:pic>
      <xdr:nvPicPr>
        <xdr:cNvPr id="121" name="BExS8T38WLC2R738ZC7BDJQAKJAJ" descr="MRI962L5PB0E0YWXCIBN82VJH" hidden="1">
          <a:extLst>
            <a:ext uri="{FF2B5EF4-FFF2-40B4-BE49-F238E27FC236}">
              <a16:creationId xmlns:a16="http://schemas.microsoft.com/office/drawing/2014/main" id="{C1D364D2-ED03-4FE1-B6E0-D921F89B5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933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38</xdr:row>
      <xdr:rowOff>0</xdr:rowOff>
    </xdr:from>
    <xdr:ext cx="123825" cy="123825"/>
    <xdr:pic>
      <xdr:nvPicPr>
        <xdr:cNvPr id="122" name="BEx5F64BJ6DCM4EJH81D5ZFNPZ0V" descr="7DJ9FILZD2YPS6X1JBP9E76TU" hidden="1">
          <a:extLst>
            <a:ext uri="{FF2B5EF4-FFF2-40B4-BE49-F238E27FC236}">
              <a16:creationId xmlns:a16="http://schemas.microsoft.com/office/drawing/2014/main" id="{CD2B68A1-5E8F-4AB3-9924-5FD940826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895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38</xdr:row>
      <xdr:rowOff>0</xdr:rowOff>
    </xdr:from>
    <xdr:ext cx="123825" cy="123825"/>
    <xdr:pic>
      <xdr:nvPicPr>
        <xdr:cNvPr id="123" name="BExQEXXHA3EEXR44LT6RKCDWM6ZT" hidden="1">
          <a:extLst>
            <a:ext uri="{FF2B5EF4-FFF2-40B4-BE49-F238E27FC236}">
              <a16:creationId xmlns:a16="http://schemas.microsoft.com/office/drawing/2014/main" id="{DFE5B6BD-CBFD-4BFC-B745-39C5CF6F9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895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42</xdr:row>
      <xdr:rowOff>0</xdr:rowOff>
    </xdr:from>
    <xdr:ext cx="123825" cy="123825"/>
    <xdr:pic>
      <xdr:nvPicPr>
        <xdr:cNvPr id="124" name="BEx1X6AMHV6ZK3UJB2BXIJTJHYJU" descr="OALR4L95ELQLZ1Y1LETHM1CS9" hidden="1">
          <a:extLst>
            <a:ext uri="{FF2B5EF4-FFF2-40B4-BE49-F238E27FC236}">
              <a16:creationId xmlns:a16="http://schemas.microsoft.com/office/drawing/2014/main" id="{926166FF-308F-4B5A-81A4-013A7A664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971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37</xdr:row>
      <xdr:rowOff>0</xdr:rowOff>
    </xdr:from>
    <xdr:ext cx="123825" cy="123825"/>
    <xdr:pic>
      <xdr:nvPicPr>
        <xdr:cNvPr id="125" name="BExSDIVCE09QKG3CT52PHCS6ZJ09" descr="9F076L7EQCF2COMMGCQG6BQGU" hidden="1">
          <a:extLst>
            <a:ext uri="{FF2B5EF4-FFF2-40B4-BE49-F238E27FC236}">
              <a16:creationId xmlns:a16="http://schemas.microsoft.com/office/drawing/2014/main" id="{4398A1AF-EB43-4209-BFE2-7C4993084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876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45</xdr:row>
      <xdr:rowOff>0</xdr:rowOff>
    </xdr:from>
    <xdr:ext cx="123825" cy="123825"/>
    <xdr:pic>
      <xdr:nvPicPr>
        <xdr:cNvPr id="126" name="BExS343F8GCKP6HTF9Y97L133DX8" descr="ZRF0KB1IYQSNV63CTXT25G67G" hidden="1">
          <a:extLst>
            <a:ext uri="{FF2B5EF4-FFF2-40B4-BE49-F238E27FC236}">
              <a16:creationId xmlns:a16="http://schemas.microsoft.com/office/drawing/2014/main" id="{15AB09EE-064A-426C-919E-A47D74C87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0287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27" name="BExZMRC09W87CY4B73NPZMNH21AH" descr="78CUMI0OVLYJRSDRQ3V2YX812" hidden="1">
          <a:extLst>
            <a:ext uri="{FF2B5EF4-FFF2-40B4-BE49-F238E27FC236}">
              <a16:creationId xmlns:a16="http://schemas.microsoft.com/office/drawing/2014/main" id="{7E8B3B42-3154-43D9-9FD1-8368C085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009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9525</xdr:rowOff>
    </xdr:from>
    <xdr:ext cx="123825" cy="123825"/>
    <xdr:pic>
      <xdr:nvPicPr>
        <xdr:cNvPr id="128" name="BExZXVFJ4DY4I24AARDT4AMP6EN1" descr="TXSMH2MTH86CYKA26740RQPUC" hidden="1">
          <a:extLst>
            <a:ext uri="{FF2B5EF4-FFF2-40B4-BE49-F238E27FC236}">
              <a16:creationId xmlns:a16="http://schemas.microsoft.com/office/drawing/2014/main" id="{7336659A-1B12-4CD0-A94B-F8C545DA4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9915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42</xdr:row>
      <xdr:rowOff>0</xdr:rowOff>
    </xdr:from>
    <xdr:ext cx="123825" cy="123825"/>
    <xdr:pic>
      <xdr:nvPicPr>
        <xdr:cNvPr id="129" name="BExOCUIOFQWUGTBU5ESTW3EYEP5C" descr="9BNF49V0R6VVYPHEVMJ3ABDQZ" hidden="1">
          <a:extLst>
            <a:ext uri="{FF2B5EF4-FFF2-40B4-BE49-F238E27FC236}">
              <a16:creationId xmlns:a16="http://schemas.microsoft.com/office/drawing/2014/main" id="{E4F7BAD2-9B31-48AF-95AE-624B8460D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971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41</xdr:row>
      <xdr:rowOff>0</xdr:rowOff>
    </xdr:from>
    <xdr:ext cx="123825" cy="123825"/>
    <xdr:pic>
      <xdr:nvPicPr>
        <xdr:cNvPr id="130" name="BExU65O9OE4B4MQ2A3OYH13M8BZJ" descr="3INNIMMPDBB0JF37L81M6ID21" hidden="1">
          <a:extLst>
            <a:ext uri="{FF2B5EF4-FFF2-40B4-BE49-F238E27FC236}">
              <a16:creationId xmlns:a16="http://schemas.microsoft.com/office/drawing/2014/main" id="{19F97BC1-9FF9-4868-B7DA-07BF7F37E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9525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40</xdr:row>
      <xdr:rowOff>0</xdr:rowOff>
    </xdr:from>
    <xdr:ext cx="123825" cy="123825"/>
    <xdr:pic>
      <xdr:nvPicPr>
        <xdr:cNvPr id="131" name="BExOPRCR0UW7TKXSV5WDTL348FGL" descr="S9JM17GP1802LHN4GT14BJYIC" hidden="1">
          <a:extLst>
            <a:ext uri="{FF2B5EF4-FFF2-40B4-BE49-F238E27FC236}">
              <a16:creationId xmlns:a16="http://schemas.microsoft.com/office/drawing/2014/main" id="{F6158803-A011-464D-8288-1EE91BB54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933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39</xdr:row>
      <xdr:rowOff>0</xdr:rowOff>
    </xdr:from>
    <xdr:ext cx="123825" cy="123825"/>
    <xdr:pic>
      <xdr:nvPicPr>
        <xdr:cNvPr id="132" name="BEx5OESAY2W8SEGI3TSB65EHJ04B" descr="9CN2Y88X8WYV1HWZG1QILY9BK" hidden="1">
          <a:extLst>
            <a:ext uri="{FF2B5EF4-FFF2-40B4-BE49-F238E27FC236}">
              <a16:creationId xmlns:a16="http://schemas.microsoft.com/office/drawing/2014/main" id="{5469AABE-556E-4FB5-A362-A836513EE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9144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38</xdr:row>
      <xdr:rowOff>0</xdr:rowOff>
    </xdr:from>
    <xdr:ext cx="123825" cy="123825"/>
    <xdr:pic>
      <xdr:nvPicPr>
        <xdr:cNvPr id="133" name="BExGMWEQ2BYRY9BAO5T1X850MJN1" descr="AZ9ST0XDIOP50HSUFO5V31BR0" hidden="1">
          <a:extLst>
            <a:ext uri="{FF2B5EF4-FFF2-40B4-BE49-F238E27FC236}">
              <a16:creationId xmlns:a16="http://schemas.microsoft.com/office/drawing/2014/main" id="{3CAFEAE5-0A89-46D5-8F53-0BFA7CCEF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895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47</xdr:row>
      <xdr:rowOff>9525</xdr:rowOff>
    </xdr:from>
    <xdr:ext cx="47625" cy="47625"/>
    <xdr:pic>
      <xdr:nvPicPr>
        <xdr:cNvPr id="134" name="BExMO7VFCN4EL59982UR4AJ25JNJ" descr="XX6TINEJADZGKR0CTM7ZRT0RA" hidden="1">
          <a:extLst>
            <a:ext uri="{FF2B5EF4-FFF2-40B4-BE49-F238E27FC236}">
              <a16:creationId xmlns:a16="http://schemas.microsoft.com/office/drawing/2014/main" id="{46DD6F99-5C11-4374-B57D-B93C58AC2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47</xdr:row>
      <xdr:rowOff>85725</xdr:rowOff>
    </xdr:from>
    <xdr:ext cx="47625" cy="47625"/>
    <xdr:pic>
      <xdr:nvPicPr>
        <xdr:cNvPr id="135" name="BExU3EX5JJCXCII4YKUJBFBGIJR2" descr="OF5ZI9PI5WH36VPANJ2DYLNMI" hidden="1">
          <a:extLst>
            <a:ext uri="{FF2B5EF4-FFF2-40B4-BE49-F238E27FC236}">
              <a16:creationId xmlns:a16="http://schemas.microsoft.com/office/drawing/2014/main" id="{B3EC3330-7837-463B-AF6A-80BD0399A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47</xdr:row>
      <xdr:rowOff>9525</xdr:rowOff>
    </xdr:from>
    <xdr:ext cx="47625" cy="47625"/>
    <xdr:pic>
      <xdr:nvPicPr>
        <xdr:cNvPr id="136" name="BEx1KD7H6UB1VYCJ7O61P562EIUY" descr="IQGV9140X0K0UPBL8OGU3I44J" hidden="1">
          <a:extLst>
            <a:ext uri="{FF2B5EF4-FFF2-40B4-BE49-F238E27FC236}">
              <a16:creationId xmlns:a16="http://schemas.microsoft.com/office/drawing/2014/main" id="{E2F7C77C-9C11-4C18-A2EC-92A30160C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47</xdr:row>
      <xdr:rowOff>85725</xdr:rowOff>
    </xdr:from>
    <xdr:ext cx="47625" cy="47625"/>
    <xdr:pic>
      <xdr:nvPicPr>
        <xdr:cNvPr id="137" name="BEx5BJQWS6YWHH4ZMSUAMD641V6Y" descr="ZTMFMXCIQSECDX38ALEFHUB00" hidden="1">
          <a:extLst>
            <a:ext uri="{FF2B5EF4-FFF2-40B4-BE49-F238E27FC236}">
              <a16:creationId xmlns:a16="http://schemas.microsoft.com/office/drawing/2014/main" id="{1FE440FF-C101-4C8E-9D39-65529E92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47</xdr:row>
      <xdr:rowOff>9525</xdr:rowOff>
    </xdr:from>
    <xdr:ext cx="47625" cy="47625"/>
    <xdr:pic>
      <xdr:nvPicPr>
        <xdr:cNvPr id="138" name="BExVTO5Q8G2M7BPL4B2584LQS0R0" descr="OB6Q8NA4LZFE4GM9Y3V56BPMQ" hidden="1">
          <a:extLst>
            <a:ext uri="{FF2B5EF4-FFF2-40B4-BE49-F238E27FC236}">
              <a16:creationId xmlns:a16="http://schemas.microsoft.com/office/drawing/2014/main" id="{B0401794-B5BB-4B2D-B28A-0FEDC4E8B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28900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47</xdr:row>
      <xdr:rowOff>85725</xdr:rowOff>
    </xdr:from>
    <xdr:ext cx="47625" cy="47625"/>
    <xdr:pic>
      <xdr:nvPicPr>
        <xdr:cNvPr id="139" name="BExIFSCLN1G86X78PFLTSMRP0US5" descr="9JK4SPV4DG7VTCZIILWHXQU5J" hidden="1">
          <a:extLst>
            <a:ext uri="{FF2B5EF4-FFF2-40B4-BE49-F238E27FC236}">
              <a16:creationId xmlns:a16="http://schemas.microsoft.com/office/drawing/2014/main" id="{AB4DD1A8-5B09-4849-AAEF-1A2D9AB64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28900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47</xdr:row>
      <xdr:rowOff>9525</xdr:rowOff>
    </xdr:from>
    <xdr:ext cx="47625" cy="47625"/>
    <xdr:pic>
      <xdr:nvPicPr>
        <xdr:cNvPr id="140" name="BEx1I152WN2D3A85O2XN0DGXCWHN" descr="KHBZFMANRA4UMJR1AB4M5NJNT" hidden="1">
          <a:extLst>
            <a:ext uri="{FF2B5EF4-FFF2-40B4-BE49-F238E27FC236}">
              <a16:creationId xmlns:a16="http://schemas.microsoft.com/office/drawing/2014/main" id="{F532C3DE-C240-4486-97A8-09057B28D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47</xdr:row>
      <xdr:rowOff>85725</xdr:rowOff>
    </xdr:from>
    <xdr:ext cx="47625" cy="47625"/>
    <xdr:pic>
      <xdr:nvPicPr>
        <xdr:cNvPr id="141" name="BExW9676P0SKCVKK25QCGHPA3PAD" descr="9A4PWZ20RMSRF0PNECCDM75CA" hidden="1">
          <a:extLst>
            <a:ext uri="{FF2B5EF4-FFF2-40B4-BE49-F238E27FC236}">
              <a16:creationId xmlns:a16="http://schemas.microsoft.com/office/drawing/2014/main" id="{DDD0B5E7-96A6-4F41-A23A-5C94E6D14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49</xdr:row>
      <xdr:rowOff>0</xdr:rowOff>
    </xdr:from>
    <xdr:ext cx="123825" cy="123825"/>
    <xdr:pic>
      <xdr:nvPicPr>
        <xdr:cNvPr id="142" name="BExW253QPOZK9KW8BJC3LBXGCG2N" descr="Y5HX37BEUWSN1NEFJKZJXI3SX" hidden="1">
          <a:extLst>
            <a:ext uri="{FF2B5EF4-FFF2-40B4-BE49-F238E27FC236}">
              <a16:creationId xmlns:a16="http://schemas.microsoft.com/office/drawing/2014/main" id="{56E5FDCE-1515-4417-9C71-84B85DDC1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11572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47</xdr:row>
      <xdr:rowOff>9525</xdr:rowOff>
    </xdr:from>
    <xdr:ext cx="47625" cy="47625"/>
    <xdr:pic>
      <xdr:nvPicPr>
        <xdr:cNvPr id="143" name="BExS5CPQ8P8JOQPK7ANNKHLSGOKU" hidden="1">
          <a:extLst>
            <a:ext uri="{FF2B5EF4-FFF2-40B4-BE49-F238E27FC236}">
              <a16:creationId xmlns:a16="http://schemas.microsoft.com/office/drawing/2014/main" id="{D75598EF-2CA8-46C2-A743-247EAE027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47</xdr:row>
      <xdr:rowOff>85725</xdr:rowOff>
    </xdr:from>
    <xdr:ext cx="47625" cy="47625"/>
    <xdr:pic>
      <xdr:nvPicPr>
        <xdr:cNvPr id="144" name="BExMM0AVUAIRNJLXB1FW8R0YB4ZZ" hidden="1">
          <a:extLst>
            <a:ext uri="{FF2B5EF4-FFF2-40B4-BE49-F238E27FC236}">
              <a16:creationId xmlns:a16="http://schemas.microsoft.com/office/drawing/2014/main" id="{12F6A338-DC2D-44A6-B695-73F11C799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47</xdr:row>
      <xdr:rowOff>9525</xdr:rowOff>
    </xdr:from>
    <xdr:ext cx="47625" cy="47625"/>
    <xdr:pic>
      <xdr:nvPicPr>
        <xdr:cNvPr id="145" name="BExXZ7Y09CBS0XA7IPB3IRJ8RJM4" hidden="1">
          <a:extLst>
            <a:ext uri="{FF2B5EF4-FFF2-40B4-BE49-F238E27FC236}">
              <a16:creationId xmlns:a16="http://schemas.microsoft.com/office/drawing/2014/main" id="{F8728E1A-7F5D-4111-806D-3F259885D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47</xdr:row>
      <xdr:rowOff>85725</xdr:rowOff>
    </xdr:from>
    <xdr:ext cx="47625" cy="47625"/>
    <xdr:pic>
      <xdr:nvPicPr>
        <xdr:cNvPr id="146" name="BExQ7SXS9VUG7P6CACU2J7R2SGIZ" hidden="1">
          <a:extLst>
            <a:ext uri="{FF2B5EF4-FFF2-40B4-BE49-F238E27FC236}">
              <a16:creationId xmlns:a16="http://schemas.microsoft.com/office/drawing/2014/main" id="{1CD3D02D-DB78-4D15-A3EC-1D101E6B3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47</xdr:row>
      <xdr:rowOff>9525</xdr:rowOff>
    </xdr:from>
    <xdr:ext cx="47625" cy="47625"/>
    <xdr:pic>
      <xdr:nvPicPr>
        <xdr:cNvPr id="147" name="BEx5AQZ4ETQ9LMY5EBWVH20Z7VXQ" hidden="1">
          <a:extLst>
            <a:ext uri="{FF2B5EF4-FFF2-40B4-BE49-F238E27FC236}">
              <a16:creationId xmlns:a16="http://schemas.microsoft.com/office/drawing/2014/main" id="{F7127501-A567-472D-A311-0AABC2F0B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47</xdr:row>
      <xdr:rowOff>85725</xdr:rowOff>
    </xdr:from>
    <xdr:ext cx="47625" cy="47625"/>
    <xdr:pic>
      <xdr:nvPicPr>
        <xdr:cNvPr id="148" name="BExUBK0YZ5VYFY8TTITJGJU9S06A" hidden="1">
          <a:extLst>
            <a:ext uri="{FF2B5EF4-FFF2-40B4-BE49-F238E27FC236}">
              <a16:creationId xmlns:a16="http://schemas.microsoft.com/office/drawing/2014/main" id="{CF231A48-7BF6-4EF9-9C45-0BD49BD9A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47</xdr:row>
      <xdr:rowOff>9525</xdr:rowOff>
    </xdr:from>
    <xdr:ext cx="47625" cy="47625"/>
    <xdr:pic>
      <xdr:nvPicPr>
        <xdr:cNvPr id="149" name="BExUEZCSSJ7RN4J18I2NUIQR2FZS" hidden="1">
          <a:extLst>
            <a:ext uri="{FF2B5EF4-FFF2-40B4-BE49-F238E27FC236}">
              <a16:creationId xmlns:a16="http://schemas.microsoft.com/office/drawing/2014/main" id="{575EEA85-D521-4158-BBE9-6B36FB0C5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38425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47</xdr:row>
      <xdr:rowOff>85725</xdr:rowOff>
    </xdr:from>
    <xdr:ext cx="47625" cy="47625"/>
    <xdr:pic>
      <xdr:nvPicPr>
        <xdr:cNvPr id="150" name="BExS3JDQWF7U3F5JTEVOE16ASIYK" hidden="1">
          <a:extLst>
            <a:ext uri="{FF2B5EF4-FFF2-40B4-BE49-F238E27FC236}">
              <a16:creationId xmlns:a16="http://schemas.microsoft.com/office/drawing/2014/main" id="{3117DD50-F2A3-4DA9-8EE7-75C2F2610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38425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50</xdr:row>
      <xdr:rowOff>0</xdr:rowOff>
    </xdr:from>
    <xdr:ext cx="123825" cy="123825"/>
    <xdr:pic>
      <xdr:nvPicPr>
        <xdr:cNvPr id="151" name="BEx973S463FCQVJ7QDFBUIU0WJ3F" descr="ZQTVYL8DCSADVT0QMRXFLU0TR" hidden="1">
          <a:extLst>
            <a:ext uri="{FF2B5EF4-FFF2-40B4-BE49-F238E27FC236}">
              <a16:creationId xmlns:a16="http://schemas.microsoft.com/office/drawing/2014/main" id="{B4A8DD0F-DA61-4535-9BF5-F77E7108F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11763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49</xdr:row>
      <xdr:rowOff>0</xdr:rowOff>
    </xdr:from>
    <xdr:ext cx="123825" cy="123825"/>
    <xdr:pic>
      <xdr:nvPicPr>
        <xdr:cNvPr id="152" name="BEx5FXJGJOT93D0J2IRJ3985IUMI" hidden="1">
          <a:extLst>
            <a:ext uri="{FF2B5EF4-FFF2-40B4-BE49-F238E27FC236}">
              <a16:creationId xmlns:a16="http://schemas.microsoft.com/office/drawing/2014/main" id="{C1B56EC5-5DCB-4451-A42E-C55E6FAC8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572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48</xdr:row>
      <xdr:rowOff>0</xdr:rowOff>
    </xdr:from>
    <xdr:ext cx="123825" cy="123825"/>
    <xdr:pic>
      <xdr:nvPicPr>
        <xdr:cNvPr id="153" name="BEx3RTMHAR35NUAAK49TV6NU7EPA" descr="QFXLG4ZCXTRQSJYFCKJ58G9N8" hidden="1">
          <a:extLst>
            <a:ext uri="{FF2B5EF4-FFF2-40B4-BE49-F238E27FC236}">
              <a16:creationId xmlns:a16="http://schemas.microsoft.com/office/drawing/2014/main" id="{588AC384-98F8-4311-8BB8-5A8D2D130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1382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51</xdr:row>
      <xdr:rowOff>0</xdr:rowOff>
    </xdr:from>
    <xdr:ext cx="123825" cy="123825"/>
    <xdr:pic>
      <xdr:nvPicPr>
        <xdr:cNvPr id="154" name="BExS8T38WLC2R738ZC7BDJQAKJAJ" descr="MRI962L5PB0E0YWXCIBN82VJH" hidden="1">
          <a:extLst>
            <a:ext uri="{FF2B5EF4-FFF2-40B4-BE49-F238E27FC236}">
              <a16:creationId xmlns:a16="http://schemas.microsoft.com/office/drawing/2014/main" id="{C5611D34-277B-4B13-86A6-D2A0D1D94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11953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49</xdr:row>
      <xdr:rowOff>0</xdr:rowOff>
    </xdr:from>
    <xdr:ext cx="123825" cy="123825"/>
    <xdr:pic>
      <xdr:nvPicPr>
        <xdr:cNvPr id="155" name="BEx5F64BJ6DCM4EJH81D5ZFNPZ0V" descr="7DJ9FILZD2YPS6X1JBP9E76TU" hidden="1">
          <a:extLst>
            <a:ext uri="{FF2B5EF4-FFF2-40B4-BE49-F238E27FC236}">
              <a16:creationId xmlns:a16="http://schemas.microsoft.com/office/drawing/2014/main" id="{8CD42151-F053-4AF0-A93E-57924BAF2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572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49</xdr:row>
      <xdr:rowOff>0</xdr:rowOff>
    </xdr:from>
    <xdr:ext cx="123825" cy="123825"/>
    <xdr:pic>
      <xdr:nvPicPr>
        <xdr:cNvPr id="156" name="BExQEXXHA3EEXR44LT6RKCDWM6ZT" hidden="1">
          <a:extLst>
            <a:ext uri="{FF2B5EF4-FFF2-40B4-BE49-F238E27FC236}">
              <a16:creationId xmlns:a16="http://schemas.microsoft.com/office/drawing/2014/main" id="{A793D283-F5A8-47E4-B4DF-738598DB6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572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53</xdr:row>
      <xdr:rowOff>0</xdr:rowOff>
    </xdr:from>
    <xdr:ext cx="123825" cy="123825"/>
    <xdr:pic>
      <xdr:nvPicPr>
        <xdr:cNvPr id="157" name="BEx1X6AMHV6ZK3UJB2BXIJTJHYJU" descr="OALR4L95ELQLZ1Y1LETHM1CS9" hidden="1">
          <a:extLst>
            <a:ext uri="{FF2B5EF4-FFF2-40B4-BE49-F238E27FC236}">
              <a16:creationId xmlns:a16="http://schemas.microsoft.com/office/drawing/2014/main" id="{4B7E73C5-33C4-4F32-9E2F-E7DE5507D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12334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48</xdr:row>
      <xdr:rowOff>0</xdr:rowOff>
    </xdr:from>
    <xdr:ext cx="123825" cy="123825"/>
    <xdr:pic>
      <xdr:nvPicPr>
        <xdr:cNvPr id="158" name="BExSDIVCE09QKG3CT52PHCS6ZJ09" descr="9F076L7EQCF2COMMGCQG6BQGU" hidden="1">
          <a:extLst>
            <a:ext uri="{FF2B5EF4-FFF2-40B4-BE49-F238E27FC236}">
              <a16:creationId xmlns:a16="http://schemas.microsoft.com/office/drawing/2014/main" id="{D32D6AA4-8DDD-48AA-92C7-7A33DD71B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1382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56</xdr:row>
      <xdr:rowOff>0</xdr:rowOff>
    </xdr:from>
    <xdr:ext cx="123825" cy="123825"/>
    <xdr:pic>
      <xdr:nvPicPr>
        <xdr:cNvPr id="159" name="BExS343F8GCKP6HTF9Y97L133DX8" descr="ZRF0KB1IYQSNV63CTXT25G67G" hidden="1">
          <a:extLst>
            <a:ext uri="{FF2B5EF4-FFF2-40B4-BE49-F238E27FC236}">
              <a16:creationId xmlns:a16="http://schemas.microsoft.com/office/drawing/2014/main" id="{92BCCD1B-F799-47DC-AF99-8902DC935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2906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55</xdr:row>
      <xdr:rowOff>0</xdr:rowOff>
    </xdr:from>
    <xdr:ext cx="123825" cy="123825"/>
    <xdr:pic>
      <xdr:nvPicPr>
        <xdr:cNvPr id="160" name="BExZMRC09W87CY4B73NPZMNH21AH" descr="78CUMI0OVLYJRSDRQ3V2YX812" hidden="1">
          <a:extLst>
            <a:ext uri="{FF2B5EF4-FFF2-40B4-BE49-F238E27FC236}">
              <a16:creationId xmlns:a16="http://schemas.microsoft.com/office/drawing/2014/main" id="{9FA9A66F-75B3-49DE-9D1E-2D1F7F713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2715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54</xdr:row>
      <xdr:rowOff>9525</xdr:rowOff>
    </xdr:from>
    <xdr:ext cx="123825" cy="123825"/>
    <xdr:pic>
      <xdr:nvPicPr>
        <xdr:cNvPr id="161" name="BExZXVFJ4DY4I24AARDT4AMP6EN1" descr="TXSMH2MTH86CYKA26740RQPUC" hidden="1">
          <a:extLst>
            <a:ext uri="{FF2B5EF4-FFF2-40B4-BE49-F238E27FC236}">
              <a16:creationId xmlns:a16="http://schemas.microsoft.com/office/drawing/2014/main" id="{F0FDF205-8D2E-4BE6-8429-20DCAF4F4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25349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53</xdr:row>
      <xdr:rowOff>0</xdr:rowOff>
    </xdr:from>
    <xdr:ext cx="123825" cy="123825"/>
    <xdr:pic>
      <xdr:nvPicPr>
        <xdr:cNvPr id="162" name="BExOCUIOFQWUGTBU5ESTW3EYEP5C" descr="9BNF49V0R6VVYPHEVMJ3ABDQZ" hidden="1">
          <a:extLst>
            <a:ext uri="{FF2B5EF4-FFF2-40B4-BE49-F238E27FC236}">
              <a16:creationId xmlns:a16="http://schemas.microsoft.com/office/drawing/2014/main" id="{E9853210-922C-43BB-8B80-E053969D4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2334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52</xdr:row>
      <xdr:rowOff>0</xdr:rowOff>
    </xdr:from>
    <xdr:ext cx="123825" cy="123825"/>
    <xdr:pic>
      <xdr:nvPicPr>
        <xdr:cNvPr id="163" name="BExU65O9OE4B4MQ2A3OYH13M8BZJ" descr="3INNIMMPDBB0JF37L81M6ID21" hidden="1">
          <a:extLst>
            <a:ext uri="{FF2B5EF4-FFF2-40B4-BE49-F238E27FC236}">
              <a16:creationId xmlns:a16="http://schemas.microsoft.com/office/drawing/2014/main" id="{4DF129DF-B764-42D3-9C03-4BB006856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2144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51</xdr:row>
      <xdr:rowOff>0</xdr:rowOff>
    </xdr:from>
    <xdr:ext cx="123825" cy="123825"/>
    <xdr:pic>
      <xdr:nvPicPr>
        <xdr:cNvPr id="164" name="BExOPRCR0UW7TKXSV5WDTL348FGL" descr="S9JM17GP1802LHN4GT14BJYIC" hidden="1">
          <a:extLst>
            <a:ext uri="{FF2B5EF4-FFF2-40B4-BE49-F238E27FC236}">
              <a16:creationId xmlns:a16="http://schemas.microsoft.com/office/drawing/2014/main" id="{66A201A6-392C-4785-A940-54CA64A16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953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50</xdr:row>
      <xdr:rowOff>0</xdr:rowOff>
    </xdr:from>
    <xdr:ext cx="123825" cy="123825"/>
    <xdr:pic>
      <xdr:nvPicPr>
        <xdr:cNvPr id="165" name="BEx5OESAY2W8SEGI3TSB65EHJ04B" descr="9CN2Y88X8WYV1HWZG1QILY9BK" hidden="1">
          <a:extLst>
            <a:ext uri="{FF2B5EF4-FFF2-40B4-BE49-F238E27FC236}">
              <a16:creationId xmlns:a16="http://schemas.microsoft.com/office/drawing/2014/main" id="{688217E7-3A8B-40E1-AE70-09D977B44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763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49</xdr:row>
      <xdr:rowOff>0</xdr:rowOff>
    </xdr:from>
    <xdr:ext cx="123825" cy="123825"/>
    <xdr:pic>
      <xdr:nvPicPr>
        <xdr:cNvPr id="166" name="BExGMWEQ2BYRY9BAO5T1X850MJN1" descr="AZ9ST0XDIOP50HSUFO5V31BR0" hidden="1">
          <a:extLst>
            <a:ext uri="{FF2B5EF4-FFF2-40B4-BE49-F238E27FC236}">
              <a16:creationId xmlns:a16="http://schemas.microsoft.com/office/drawing/2014/main" id="{A22650F4-29E5-445D-B532-816D93700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572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58</xdr:row>
      <xdr:rowOff>9525</xdr:rowOff>
    </xdr:from>
    <xdr:ext cx="47625" cy="47625"/>
    <xdr:pic>
      <xdr:nvPicPr>
        <xdr:cNvPr id="167" name="BExMO7VFCN4EL59982UR4AJ25JNJ" descr="XX6TINEJADZGKR0CTM7ZRT0RA" hidden="1">
          <a:extLst>
            <a:ext uri="{FF2B5EF4-FFF2-40B4-BE49-F238E27FC236}">
              <a16:creationId xmlns:a16="http://schemas.microsoft.com/office/drawing/2014/main" id="{AE443AE4-6406-4278-896A-99E185DA9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32969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58</xdr:row>
      <xdr:rowOff>85725</xdr:rowOff>
    </xdr:from>
    <xdr:ext cx="47625" cy="47625"/>
    <xdr:pic>
      <xdr:nvPicPr>
        <xdr:cNvPr id="168" name="BExU3EX5JJCXCII4YKUJBFBGIJR2" descr="OF5ZI9PI5WH36VPANJ2DYLNMI" hidden="1">
          <a:extLst>
            <a:ext uri="{FF2B5EF4-FFF2-40B4-BE49-F238E27FC236}">
              <a16:creationId xmlns:a16="http://schemas.microsoft.com/office/drawing/2014/main" id="{86AC0921-521C-446C-B164-FA951B6C6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3373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58</xdr:row>
      <xdr:rowOff>9525</xdr:rowOff>
    </xdr:from>
    <xdr:ext cx="47625" cy="47625"/>
    <xdr:pic>
      <xdr:nvPicPr>
        <xdr:cNvPr id="169" name="BEx1KD7H6UB1VYCJ7O61P562EIUY" descr="IQGV9140X0K0UPBL8OGU3I44J" hidden="1">
          <a:extLst>
            <a:ext uri="{FF2B5EF4-FFF2-40B4-BE49-F238E27FC236}">
              <a16:creationId xmlns:a16="http://schemas.microsoft.com/office/drawing/2014/main" id="{5C817B4E-D960-41BA-96C3-8887555F6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132969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58</xdr:row>
      <xdr:rowOff>85725</xdr:rowOff>
    </xdr:from>
    <xdr:ext cx="47625" cy="47625"/>
    <xdr:pic>
      <xdr:nvPicPr>
        <xdr:cNvPr id="170" name="BEx5BJQWS6YWHH4ZMSUAMD641V6Y" descr="ZTMFMXCIQSECDX38ALEFHUB00" hidden="1">
          <a:extLst>
            <a:ext uri="{FF2B5EF4-FFF2-40B4-BE49-F238E27FC236}">
              <a16:creationId xmlns:a16="http://schemas.microsoft.com/office/drawing/2014/main" id="{FDEAAC0A-EC3C-4087-B251-DA31070DB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13373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58</xdr:row>
      <xdr:rowOff>9525</xdr:rowOff>
    </xdr:from>
    <xdr:ext cx="47625" cy="47625"/>
    <xdr:pic>
      <xdr:nvPicPr>
        <xdr:cNvPr id="171" name="BExVTO5Q8G2M7BPL4B2584LQS0R0" descr="OB6Q8NA4LZFE4GM9Y3V56BPMQ" hidden="1">
          <a:extLst>
            <a:ext uri="{FF2B5EF4-FFF2-40B4-BE49-F238E27FC236}">
              <a16:creationId xmlns:a16="http://schemas.microsoft.com/office/drawing/2014/main" id="{9D607374-9882-49DD-B11F-775792A45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28900" y="132969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58</xdr:row>
      <xdr:rowOff>85725</xdr:rowOff>
    </xdr:from>
    <xdr:ext cx="47625" cy="47625"/>
    <xdr:pic>
      <xdr:nvPicPr>
        <xdr:cNvPr id="172" name="BExIFSCLN1G86X78PFLTSMRP0US5" descr="9JK4SPV4DG7VTCZIILWHXQU5J" hidden="1">
          <a:extLst>
            <a:ext uri="{FF2B5EF4-FFF2-40B4-BE49-F238E27FC236}">
              <a16:creationId xmlns:a16="http://schemas.microsoft.com/office/drawing/2014/main" id="{12C0359E-12D7-4ED4-90A5-929EFB19D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28900" y="13373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58</xdr:row>
      <xdr:rowOff>9525</xdr:rowOff>
    </xdr:from>
    <xdr:ext cx="47625" cy="47625"/>
    <xdr:pic>
      <xdr:nvPicPr>
        <xdr:cNvPr id="173" name="BEx1I152WN2D3A85O2XN0DGXCWHN" descr="KHBZFMANRA4UMJR1AB4M5NJNT" hidden="1">
          <a:extLst>
            <a:ext uri="{FF2B5EF4-FFF2-40B4-BE49-F238E27FC236}">
              <a16:creationId xmlns:a16="http://schemas.microsoft.com/office/drawing/2014/main" id="{7CD7BC16-2A25-4339-9A5E-0D56B203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32969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58</xdr:row>
      <xdr:rowOff>85725</xdr:rowOff>
    </xdr:from>
    <xdr:ext cx="47625" cy="47625"/>
    <xdr:pic>
      <xdr:nvPicPr>
        <xdr:cNvPr id="174" name="BExW9676P0SKCVKK25QCGHPA3PAD" descr="9A4PWZ20RMSRF0PNECCDM75CA" hidden="1">
          <a:extLst>
            <a:ext uri="{FF2B5EF4-FFF2-40B4-BE49-F238E27FC236}">
              <a16:creationId xmlns:a16="http://schemas.microsoft.com/office/drawing/2014/main" id="{60062A4D-3DA5-4BC5-B28D-7ADE4F260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3373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60</xdr:row>
      <xdr:rowOff>0</xdr:rowOff>
    </xdr:from>
    <xdr:ext cx="123825" cy="123825"/>
    <xdr:pic>
      <xdr:nvPicPr>
        <xdr:cNvPr id="175" name="BExW253QPOZK9KW8BJC3LBXGCG2N" descr="Y5HX37BEUWSN1NEFJKZJXI3SX" hidden="1">
          <a:extLst>
            <a:ext uri="{FF2B5EF4-FFF2-40B4-BE49-F238E27FC236}">
              <a16:creationId xmlns:a16="http://schemas.microsoft.com/office/drawing/2014/main" id="{DD8C05CC-BD63-4251-AF2A-043CA5118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14192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58</xdr:row>
      <xdr:rowOff>9525</xdr:rowOff>
    </xdr:from>
    <xdr:ext cx="47625" cy="47625"/>
    <xdr:pic>
      <xdr:nvPicPr>
        <xdr:cNvPr id="176" name="BExS5CPQ8P8JOQPK7ANNKHLSGOKU" hidden="1">
          <a:extLst>
            <a:ext uri="{FF2B5EF4-FFF2-40B4-BE49-F238E27FC236}">
              <a16:creationId xmlns:a16="http://schemas.microsoft.com/office/drawing/2014/main" id="{966A1391-A0A9-4FFF-A456-7391BF58C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32969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58</xdr:row>
      <xdr:rowOff>85725</xdr:rowOff>
    </xdr:from>
    <xdr:ext cx="47625" cy="47625"/>
    <xdr:pic>
      <xdr:nvPicPr>
        <xdr:cNvPr id="177" name="BExMM0AVUAIRNJLXB1FW8R0YB4ZZ" hidden="1">
          <a:extLst>
            <a:ext uri="{FF2B5EF4-FFF2-40B4-BE49-F238E27FC236}">
              <a16:creationId xmlns:a16="http://schemas.microsoft.com/office/drawing/2014/main" id="{172CAA46-5C6B-4794-B8EE-AE4B045B1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3373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58</xdr:row>
      <xdr:rowOff>9525</xdr:rowOff>
    </xdr:from>
    <xdr:ext cx="47625" cy="47625"/>
    <xdr:pic>
      <xdr:nvPicPr>
        <xdr:cNvPr id="178" name="BExXZ7Y09CBS0XA7IPB3IRJ8RJM4" hidden="1">
          <a:extLst>
            <a:ext uri="{FF2B5EF4-FFF2-40B4-BE49-F238E27FC236}">
              <a16:creationId xmlns:a16="http://schemas.microsoft.com/office/drawing/2014/main" id="{535BCC4D-2003-435C-BEC5-603A908D7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32969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58</xdr:row>
      <xdr:rowOff>85725</xdr:rowOff>
    </xdr:from>
    <xdr:ext cx="47625" cy="47625"/>
    <xdr:pic>
      <xdr:nvPicPr>
        <xdr:cNvPr id="179" name="BExQ7SXS9VUG7P6CACU2J7R2SGIZ" hidden="1">
          <a:extLst>
            <a:ext uri="{FF2B5EF4-FFF2-40B4-BE49-F238E27FC236}">
              <a16:creationId xmlns:a16="http://schemas.microsoft.com/office/drawing/2014/main" id="{C9FE94F3-683F-4B95-A5D1-4280A9FC2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3373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58</xdr:row>
      <xdr:rowOff>9525</xdr:rowOff>
    </xdr:from>
    <xdr:ext cx="47625" cy="47625"/>
    <xdr:pic>
      <xdr:nvPicPr>
        <xdr:cNvPr id="180" name="BEx5AQZ4ETQ9LMY5EBWVH20Z7VXQ" hidden="1">
          <a:extLst>
            <a:ext uri="{FF2B5EF4-FFF2-40B4-BE49-F238E27FC236}">
              <a16:creationId xmlns:a16="http://schemas.microsoft.com/office/drawing/2014/main" id="{B9DD7CFA-F9D5-49C2-8744-1DBC7F24C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132969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58</xdr:row>
      <xdr:rowOff>85725</xdr:rowOff>
    </xdr:from>
    <xdr:ext cx="47625" cy="47625"/>
    <xdr:pic>
      <xdr:nvPicPr>
        <xdr:cNvPr id="181" name="BExUBK0YZ5VYFY8TTITJGJU9S06A" hidden="1">
          <a:extLst>
            <a:ext uri="{FF2B5EF4-FFF2-40B4-BE49-F238E27FC236}">
              <a16:creationId xmlns:a16="http://schemas.microsoft.com/office/drawing/2014/main" id="{4D156EA7-2432-4D39-AEE2-44EE57C8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13373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58</xdr:row>
      <xdr:rowOff>9525</xdr:rowOff>
    </xdr:from>
    <xdr:ext cx="47625" cy="47625"/>
    <xdr:pic>
      <xdr:nvPicPr>
        <xdr:cNvPr id="182" name="BExUEZCSSJ7RN4J18I2NUIQR2FZS" hidden="1">
          <a:extLst>
            <a:ext uri="{FF2B5EF4-FFF2-40B4-BE49-F238E27FC236}">
              <a16:creationId xmlns:a16="http://schemas.microsoft.com/office/drawing/2014/main" id="{8A656465-DCC4-463E-A414-23A7EBB3B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38425" y="132969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58</xdr:row>
      <xdr:rowOff>85725</xdr:rowOff>
    </xdr:from>
    <xdr:ext cx="47625" cy="47625"/>
    <xdr:pic>
      <xdr:nvPicPr>
        <xdr:cNvPr id="183" name="BExS3JDQWF7U3F5JTEVOE16ASIYK" hidden="1">
          <a:extLst>
            <a:ext uri="{FF2B5EF4-FFF2-40B4-BE49-F238E27FC236}">
              <a16:creationId xmlns:a16="http://schemas.microsoft.com/office/drawing/2014/main" id="{A21891E6-C42C-460C-B06C-EF11F2A2A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38425" y="13373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61</xdr:row>
      <xdr:rowOff>0</xdr:rowOff>
    </xdr:from>
    <xdr:ext cx="123825" cy="123825"/>
    <xdr:pic>
      <xdr:nvPicPr>
        <xdr:cNvPr id="184" name="BEx973S463FCQVJ7QDFBUIU0WJ3F" descr="ZQTVYL8DCSADVT0QMRXFLU0TR" hidden="1">
          <a:extLst>
            <a:ext uri="{FF2B5EF4-FFF2-40B4-BE49-F238E27FC236}">
              <a16:creationId xmlns:a16="http://schemas.microsoft.com/office/drawing/2014/main" id="{F2A60473-1B0D-43AF-A6B7-E81D5C233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14382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60</xdr:row>
      <xdr:rowOff>0</xdr:rowOff>
    </xdr:from>
    <xdr:ext cx="123825" cy="123825"/>
    <xdr:pic>
      <xdr:nvPicPr>
        <xdr:cNvPr id="185" name="BEx5FXJGJOT93D0J2IRJ3985IUMI" hidden="1">
          <a:extLst>
            <a:ext uri="{FF2B5EF4-FFF2-40B4-BE49-F238E27FC236}">
              <a16:creationId xmlns:a16="http://schemas.microsoft.com/office/drawing/2014/main" id="{E9F69414-799E-404B-B315-12A93F5F0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4192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59</xdr:row>
      <xdr:rowOff>0</xdr:rowOff>
    </xdr:from>
    <xdr:ext cx="123825" cy="123825"/>
    <xdr:pic>
      <xdr:nvPicPr>
        <xdr:cNvPr id="186" name="BEx3RTMHAR35NUAAK49TV6NU7EPA" descr="QFXLG4ZCXTRQSJYFCKJ58G9N8" hidden="1">
          <a:extLst>
            <a:ext uri="{FF2B5EF4-FFF2-40B4-BE49-F238E27FC236}">
              <a16:creationId xmlns:a16="http://schemas.microsoft.com/office/drawing/2014/main" id="{C0EA5EB5-4D9A-4636-ADF7-433519AAF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4001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62</xdr:row>
      <xdr:rowOff>0</xdr:rowOff>
    </xdr:from>
    <xdr:ext cx="123825" cy="123825"/>
    <xdr:pic>
      <xdr:nvPicPr>
        <xdr:cNvPr id="187" name="BExS8T38WLC2R738ZC7BDJQAKJAJ" descr="MRI962L5PB0E0YWXCIBN82VJH" hidden="1">
          <a:extLst>
            <a:ext uri="{FF2B5EF4-FFF2-40B4-BE49-F238E27FC236}">
              <a16:creationId xmlns:a16="http://schemas.microsoft.com/office/drawing/2014/main" id="{4F4321E6-9BA1-4583-BE8C-660C148D2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14573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60</xdr:row>
      <xdr:rowOff>0</xdr:rowOff>
    </xdr:from>
    <xdr:ext cx="123825" cy="123825"/>
    <xdr:pic>
      <xdr:nvPicPr>
        <xdr:cNvPr id="188" name="BEx5F64BJ6DCM4EJH81D5ZFNPZ0V" descr="7DJ9FILZD2YPS6X1JBP9E76TU" hidden="1">
          <a:extLst>
            <a:ext uri="{FF2B5EF4-FFF2-40B4-BE49-F238E27FC236}">
              <a16:creationId xmlns:a16="http://schemas.microsoft.com/office/drawing/2014/main" id="{62637BE8-8FE8-47E1-B715-EFBA863C9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4192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60</xdr:row>
      <xdr:rowOff>0</xdr:rowOff>
    </xdr:from>
    <xdr:ext cx="123825" cy="123825"/>
    <xdr:pic>
      <xdr:nvPicPr>
        <xdr:cNvPr id="189" name="BExQEXXHA3EEXR44LT6RKCDWM6ZT" hidden="1">
          <a:extLst>
            <a:ext uri="{FF2B5EF4-FFF2-40B4-BE49-F238E27FC236}">
              <a16:creationId xmlns:a16="http://schemas.microsoft.com/office/drawing/2014/main" id="{44589862-DAEF-4FE9-8814-79621317A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4192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64</xdr:row>
      <xdr:rowOff>0</xdr:rowOff>
    </xdr:from>
    <xdr:ext cx="123825" cy="123825"/>
    <xdr:pic>
      <xdr:nvPicPr>
        <xdr:cNvPr id="190" name="BEx1X6AMHV6ZK3UJB2BXIJTJHYJU" descr="OALR4L95ELQLZ1Y1LETHM1CS9" hidden="1">
          <a:extLst>
            <a:ext uri="{FF2B5EF4-FFF2-40B4-BE49-F238E27FC236}">
              <a16:creationId xmlns:a16="http://schemas.microsoft.com/office/drawing/2014/main" id="{1C5035EA-9682-48C2-BF4C-25F9D4B59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14954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59</xdr:row>
      <xdr:rowOff>0</xdr:rowOff>
    </xdr:from>
    <xdr:ext cx="123825" cy="123825"/>
    <xdr:pic>
      <xdr:nvPicPr>
        <xdr:cNvPr id="191" name="BExSDIVCE09QKG3CT52PHCS6ZJ09" descr="9F076L7EQCF2COMMGCQG6BQGU" hidden="1">
          <a:extLst>
            <a:ext uri="{FF2B5EF4-FFF2-40B4-BE49-F238E27FC236}">
              <a16:creationId xmlns:a16="http://schemas.microsoft.com/office/drawing/2014/main" id="{F0D33B4B-6770-415E-A539-B57FCAFEF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4001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67</xdr:row>
      <xdr:rowOff>0</xdr:rowOff>
    </xdr:from>
    <xdr:ext cx="123825" cy="123825"/>
    <xdr:pic>
      <xdr:nvPicPr>
        <xdr:cNvPr id="192" name="BExS343F8GCKP6HTF9Y97L133DX8" descr="ZRF0KB1IYQSNV63CTXT25G67G" hidden="1">
          <a:extLst>
            <a:ext uri="{FF2B5EF4-FFF2-40B4-BE49-F238E27FC236}">
              <a16:creationId xmlns:a16="http://schemas.microsoft.com/office/drawing/2014/main" id="{0A963AB3-9E8B-4E0C-AB46-BF2DD8D35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5525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66</xdr:row>
      <xdr:rowOff>0</xdr:rowOff>
    </xdr:from>
    <xdr:ext cx="123825" cy="123825"/>
    <xdr:pic>
      <xdr:nvPicPr>
        <xdr:cNvPr id="193" name="BExZMRC09W87CY4B73NPZMNH21AH" descr="78CUMI0OVLYJRSDRQ3V2YX812" hidden="1">
          <a:extLst>
            <a:ext uri="{FF2B5EF4-FFF2-40B4-BE49-F238E27FC236}">
              <a16:creationId xmlns:a16="http://schemas.microsoft.com/office/drawing/2014/main" id="{AF964C70-9F97-4129-B901-FA320AEBD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5335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65</xdr:row>
      <xdr:rowOff>9525</xdr:rowOff>
    </xdr:from>
    <xdr:ext cx="123825" cy="123825"/>
    <xdr:pic>
      <xdr:nvPicPr>
        <xdr:cNvPr id="194" name="BExZXVFJ4DY4I24AARDT4AMP6EN1" descr="TXSMH2MTH86CYKA26740RQPUC" hidden="1">
          <a:extLst>
            <a:ext uri="{FF2B5EF4-FFF2-40B4-BE49-F238E27FC236}">
              <a16:creationId xmlns:a16="http://schemas.microsoft.com/office/drawing/2014/main" id="{4B3B1557-591D-4103-9D9D-A685EA38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51542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64</xdr:row>
      <xdr:rowOff>0</xdr:rowOff>
    </xdr:from>
    <xdr:ext cx="123825" cy="123825"/>
    <xdr:pic>
      <xdr:nvPicPr>
        <xdr:cNvPr id="195" name="BExOCUIOFQWUGTBU5ESTW3EYEP5C" descr="9BNF49V0R6VVYPHEVMJ3ABDQZ" hidden="1">
          <a:extLst>
            <a:ext uri="{FF2B5EF4-FFF2-40B4-BE49-F238E27FC236}">
              <a16:creationId xmlns:a16="http://schemas.microsoft.com/office/drawing/2014/main" id="{832E0EBC-95EA-4F88-BC93-083C10BDF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4954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63</xdr:row>
      <xdr:rowOff>0</xdr:rowOff>
    </xdr:from>
    <xdr:ext cx="123825" cy="123825"/>
    <xdr:pic>
      <xdr:nvPicPr>
        <xdr:cNvPr id="196" name="BExU65O9OE4B4MQ2A3OYH13M8BZJ" descr="3INNIMMPDBB0JF37L81M6ID21" hidden="1">
          <a:extLst>
            <a:ext uri="{FF2B5EF4-FFF2-40B4-BE49-F238E27FC236}">
              <a16:creationId xmlns:a16="http://schemas.microsoft.com/office/drawing/2014/main" id="{981464C4-F25D-4031-A7DA-B42060B7A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476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62</xdr:row>
      <xdr:rowOff>0</xdr:rowOff>
    </xdr:from>
    <xdr:ext cx="123825" cy="123825"/>
    <xdr:pic>
      <xdr:nvPicPr>
        <xdr:cNvPr id="197" name="BExOPRCR0UW7TKXSV5WDTL348FGL" descr="S9JM17GP1802LHN4GT14BJYIC" hidden="1">
          <a:extLst>
            <a:ext uri="{FF2B5EF4-FFF2-40B4-BE49-F238E27FC236}">
              <a16:creationId xmlns:a16="http://schemas.microsoft.com/office/drawing/2014/main" id="{583CEFE7-86A1-4FCF-A96C-CD93D9B4D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4573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61</xdr:row>
      <xdr:rowOff>0</xdr:rowOff>
    </xdr:from>
    <xdr:ext cx="123825" cy="123825"/>
    <xdr:pic>
      <xdr:nvPicPr>
        <xdr:cNvPr id="198" name="BEx5OESAY2W8SEGI3TSB65EHJ04B" descr="9CN2Y88X8WYV1HWZG1QILY9BK" hidden="1">
          <a:extLst>
            <a:ext uri="{FF2B5EF4-FFF2-40B4-BE49-F238E27FC236}">
              <a16:creationId xmlns:a16="http://schemas.microsoft.com/office/drawing/2014/main" id="{92BCB397-8745-40B9-B7F7-87461715A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4382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60</xdr:row>
      <xdr:rowOff>0</xdr:rowOff>
    </xdr:from>
    <xdr:ext cx="123825" cy="123825"/>
    <xdr:pic>
      <xdr:nvPicPr>
        <xdr:cNvPr id="199" name="BExGMWEQ2BYRY9BAO5T1X850MJN1" descr="AZ9ST0XDIOP50HSUFO5V31BR0" hidden="1">
          <a:extLst>
            <a:ext uri="{FF2B5EF4-FFF2-40B4-BE49-F238E27FC236}">
              <a16:creationId xmlns:a16="http://schemas.microsoft.com/office/drawing/2014/main" id="{8CABAF3A-6C9E-4D9E-A907-F59D39635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4192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69</xdr:row>
      <xdr:rowOff>9525</xdr:rowOff>
    </xdr:from>
    <xdr:ext cx="47625" cy="47625"/>
    <xdr:pic>
      <xdr:nvPicPr>
        <xdr:cNvPr id="200" name="BExMO7VFCN4EL59982UR4AJ25JNJ" descr="XX6TINEJADZGKR0CTM7ZRT0RA" hidden="1">
          <a:extLst>
            <a:ext uri="{FF2B5EF4-FFF2-40B4-BE49-F238E27FC236}">
              <a16:creationId xmlns:a16="http://schemas.microsoft.com/office/drawing/2014/main" id="{03B72341-8135-4560-898A-43ACCE530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59162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69</xdr:row>
      <xdr:rowOff>85725</xdr:rowOff>
    </xdr:from>
    <xdr:ext cx="47625" cy="47625"/>
    <xdr:pic>
      <xdr:nvPicPr>
        <xdr:cNvPr id="201" name="BExU3EX5JJCXCII4YKUJBFBGIJR2" descr="OF5ZI9PI5WH36VPANJ2DYLNMI" hidden="1">
          <a:extLst>
            <a:ext uri="{FF2B5EF4-FFF2-40B4-BE49-F238E27FC236}">
              <a16:creationId xmlns:a16="http://schemas.microsoft.com/office/drawing/2014/main" id="{C37433A7-46A7-4873-8081-BECD82A2D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59924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69</xdr:row>
      <xdr:rowOff>9525</xdr:rowOff>
    </xdr:from>
    <xdr:ext cx="47625" cy="47625"/>
    <xdr:pic>
      <xdr:nvPicPr>
        <xdr:cNvPr id="202" name="BEx1KD7H6UB1VYCJ7O61P562EIUY" descr="IQGV9140X0K0UPBL8OGU3I44J" hidden="1">
          <a:extLst>
            <a:ext uri="{FF2B5EF4-FFF2-40B4-BE49-F238E27FC236}">
              <a16:creationId xmlns:a16="http://schemas.microsoft.com/office/drawing/2014/main" id="{FA682D5E-F96E-4EB4-9BEC-8D07CF99F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159162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69</xdr:row>
      <xdr:rowOff>85725</xdr:rowOff>
    </xdr:from>
    <xdr:ext cx="47625" cy="47625"/>
    <xdr:pic>
      <xdr:nvPicPr>
        <xdr:cNvPr id="203" name="BEx5BJQWS6YWHH4ZMSUAMD641V6Y" descr="ZTMFMXCIQSECDX38ALEFHUB00" hidden="1">
          <a:extLst>
            <a:ext uri="{FF2B5EF4-FFF2-40B4-BE49-F238E27FC236}">
              <a16:creationId xmlns:a16="http://schemas.microsoft.com/office/drawing/2014/main" id="{965DC40C-97B5-4CC3-A41B-7A0654CEB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159924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69</xdr:row>
      <xdr:rowOff>9525</xdr:rowOff>
    </xdr:from>
    <xdr:ext cx="47625" cy="47625"/>
    <xdr:pic>
      <xdr:nvPicPr>
        <xdr:cNvPr id="204" name="BExVTO5Q8G2M7BPL4B2584LQS0R0" descr="OB6Q8NA4LZFE4GM9Y3V56BPMQ" hidden="1">
          <a:extLst>
            <a:ext uri="{FF2B5EF4-FFF2-40B4-BE49-F238E27FC236}">
              <a16:creationId xmlns:a16="http://schemas.microsoft.com/office/drawing/2014/main" id="{2223F6A4-731A-48D1-95EF-B715BD777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28900" y="159162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69</xdr:row>
      <xdr:rowOff>85725</xdr:rowOff>
    </xdr:from>
    <xdr:ext cx="47625" cy="47625"/>
    <xdr:pic>
      <xdr:nvPicPr>
        <xdr:cNvPr id="205" name="BExIFSCLN1G86X78PFLTSMRP0US5" descr="9JK4SPV4DG7VTCZIILWHXQU5J" hidden="1">
          <a:extLst>
            <a:ext uri="{FF2B5EF4-FFF2-40B4-BE49-F238E27FC236}">
              <a16:creationId xmlns:a16="http://schemas.microsoft.com/office/drawing/2014/main" id="{B7C86363-6F75-4745-8F03-3467A0E07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28900" y="159924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69</xdr:row>
      <xdr:rowOff>9525</xdr:rowOff>
    </xdr:from>
    <xdr:ext cx="47625" cy="47625"/>
    <xdr:pic>
      <xdr:nvPicPr>
        <xdr:cNvPr id="206" name="BEx1I152WN2D3A85O2XN0DGXCWHN" descr="KHBZFMANRA4UMJR1AB4M5NJNT" hidden="1">
          <a:extLst>
            <a:ext uri="{FF2B5EF4-FFF2-40B4-BE49-F238E27FC236}">
              <a16:creationId xmlns:a16="http://schemas.microsoft.com/office/drawing/2014/main" id="{6E77252A-B948-43D1-93FF-DA7D7B2BA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59162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69</xdr:row>
      <xdr:rowOff>85725</xdr:rowOff>
    </xdr:from>
    <xdr:ext cx="47625" cy="47625"/>
    <xdr:pic>
      <xdr:nvPicPr>
        <xdr:cNvPr id="207" name="BExW9676P0SKCVKK25QCGHPA3PAD" descr="9A4PWZ20RMSRF0PNECCDM75CA" hidden="1">
          <a:extLst>
            <a:ext uri="{FF2B5EF4-FFF2-40B4-BE49-F238E27FC236}">
              <a16:creationId xmlns:a16="http://schemas.microsoft.com/office/drawing/2014/main" id="{A9A489B4-E6BA-4618-9A09-FE9CA5223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59924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71</xdr:row>
      <xdr:rowOff>0</xdr:rowOff>
    </xdr:from>
    <xdr:ext cx="123825" cy="123825"/>
    <xdr:pic>
      <xdr:nvPicPr>
        <xdr:cNvPr id="208" name="BExW253QPOZK9KW8BJC3LBXGCG2N" descr="Y5HX37BEUWSN1NEFJKZJXI3SX" hidden="1">
          <a:extLst>
            <a:ext uri="{FF2B5EF4-FFF2-40B4-BE49-F238E27FC236}">
              <a16:creationId xmlns:a16="http://schemas.microsoft.com/office/drawing/2014/main" id="{BFEC352D-A9FA-48B1-B707-3B346B3E3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16811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69</xdr:row>
      <xdr:rowOff>9525</xdr:rowOff>
    </xdr:from>
    <xdr:ext cx="47625" cy="47625"/>
    <xdr:pic>
      <xdr:nvPicPr>
        <xdr:cNvPr id="209" name="BExS5CPQ8P8JOQPK7ANNKHLSGOKU" hidden="1">
          <a:extLst>
            <a:ext uri="{FF2B5EF4-FFF2-40B4-BE49-F238E27FC236}">
              <a16:creationId xmlns:a16="http://schemas.microsoft.com/office/drawing/2014/main" id="{A462443F-C79C-4C48-9FE1-4FE0D7A93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59162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69</xdr:row>
      <xdr:rowOff>85725</xdr:rowOff>
    </xdr:from>
    <xdr:ext cx="47625" cy="47625"/>
    <xdr:pic>
      <xdr:nvPicPr>
        <xdr:cNvPr id="210" name="BExMM0AVUAIRNJLXB1FW8R0YB4ZZ" hidden="1">
          <a:extLst>
            <a:ext uri="{FF2B5EF4-FFF2-40B4-BE49-F238E27FC236}">
              <a16:creationId xmlns:a16="http://schemas.microsoft.com/office/drawing/2014/main" id="{7BC07274-9E83-49DF-A24A-0A3CC868C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59924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69</xdr:row>
      <xdr:rowOff>9525</xdr:rowOff>
    </xdr:from>
    <xdr:ext cx="47625" cy="47625"/>
    <xdr:pic>
      <xdr:nvPicPr>
        <xdr:cNvPr id="211" name="BExXZ7Y09CBS0XA7IPB3IRJ8RJM4" hidden="1">
          <a:extLst>
            <a:ext uri="{FF2B5EF4-FFF2-40B4-BE49-F238E27FC236}">
              <a16:creationId xmlns:a16="http://schemas.microsoft.com/office/drawing/2014/main" id="{52DB0A95-717F-4254-AD2F-A394A330C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59162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69</xdr:row>
      <xdr:rowOff>85725</xdr:rowOff>
    </xdr:from>
    <xdr:ext cx="47625" cy="47625"/>
    <xdr:pic>
      <xdr:nvPicPr>
        <xdr:cNvPr id="212" name="BExQ7SXS9VUG7P6CACU2J7R2SGIZ" hidden="1">
          <a:extLst>
            <a:ext uri="{FF2B5EF4-FFF2-40B4-BE49-F238E27FC236}">
              <a16:creationId xmlns:a16="http://schemas.microsoft.com/office/drawing/2014/main" id="{9D5E5E8A-DA4C-4A96-96DB-60DD23029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59924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69</xdr:row>
      <xdr:rowOff>9525</xdr:rowOff>
    </xdr:from>
    <xdr:ext cx="47625" cy="47625"/>
    <xdr:pic>
      <xdr:nvPicPr>
        <xdr:cNvPr id="213" name="BEx5AQZ4ETQ9LMY5EBWVH20Z7VXQ" hidden="1">
          <a:extLst>
            <a:ext uri="{FF2B5EF4-FFF2-40B4-BE49-F238E27FC236}">
              <a16:creationId xmlns:a16="http://schemas.microsoft.com/office/drawing/2014/main" id="{6FF38FF9-A60A-4172-8C55-8803DB8DA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159162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69</xdr:row>
      <xdr:rowOff>85725</xdr:rowOff>
    </xdr:from>
    <xdr:ext cx="47625" cy="47625"/>
    <xdr:pic>
      <xdr:nvPicPr>
        <xdr:cNvPr id="214" name="BExUBK0YZ5VYFY8TTITJGJU9S06A" hidden="1">
          <a:extLst>
            <a:ext uri="{FF2B5EF4-FFF2-40B4-BE49-F238E27FC236}">
              <a16:creationId xmlns:a16="http://schemas.microsoft.com/office/drawing/2014/main" id="{B79F12E8-A44F-4240-88C2-6E637D3BB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159924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69</xdr:row>
      <xdr:rowOff>9525</xdr:rowOff>
    </xdr:from>
    <xdr:ext cx="47625" cy="47625"/>
    <xdr:pic>
      <xdr:nvPicPr>
        <xdr:cNvPr id="215" name="BExUEZCSSJ7RN4J18I2NUIQR2FZS" hidden="1">
          <a:extLst>
            <a:ext uri="{FF2B5EF4-FFF2-40B4-BE49-F238E27FC236}">
              <a16:creationId xmlns:a16="http://schemas.microsoft.com/office/drawing/2014/main" id="{56FF8D9A-01AD-4444-928B-63BB23324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38425" y="159162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69</xdr:row>
      <xdr:rowOff>85725</xdr:rowOff>
    </xdr:from>
    <xdr:ext cx="47625" cy="47625"/>
    <xdr:pic>
      <xdr:nvPicPr>
        <xdr:cNvPr id="216" name="BExS3JDQWF7U3F5JTEVOE16ASIYK" hidden="1">
          <a:extLst>
            <a:ext uri="{FF2B5EF4-FFF2-40B4-BE49-F238E27FC236}">
              <a16:creationId xmlns:a16="http://schemas.microsoft.com/office/drawing/2014/main" id="{C23E9C22-D20A-4554-B4DB-F41D0736A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38425" y="159924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72</xdr:row>
      <xdr:rowOff>0</xdr:rowOff>
    </xdr:from>
    <xdr:ext cx="123825" cy="123825"/>
    <xdr:pic>
      <xdr:nvPicPr>
        <xdr:cNvPr id="217" name="BEx973S463FCQVJ7QDFBUIU0WJ3F" descr="ZQTVYL8DCSADVT0QMRXFLU0TR" hidden="1">
          <a:extLst>
            <a:ext uri="{FF2B5EF4-FFF2-40B4-BE49-F238E27FC236}">
              <a16:creationId xmlns:a16="http://schemas.microsoft.com/office/drawing/2014/main" id="{32E042EC-8A98-4240-AB86-CDBB2D418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17002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71</xdr:row>
      <xdr:rowOff>0</xdr:rowOff>
    </xdr:from>
    <xdr:ext cx="123825" cy="123825"/>
    <xdr:pic>
      <xdr:nvPicPr>
        <xdr:cNvPr id="218" name="BEx5FXJGJOT93D0J2IRJ3985IUMI" hidden="1">
          <a:extLst>
            <a:ext uri="{FF2B5EF4-FFF2-40B4-BE49-F238E27FC236}">
              <a16:creationId xmlns:a16="http://schemas.microsoft.com/office/drawing/2014/main" id="{0CDFAAD2-2AE6-4348-B527-D497051D6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6811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70</xdr:row>
      <xdr:rowOff>0</xdr:rowOff>
    </xdr:from>
    <xdr:ext cx="123825" cy="123825"/>
    <xdr:pic>
      <xdr:nvPicPr>
        <xdr:cNvPr id="219" name="BEx3RTMHAR35NUAAK49TV6NU7EPA" descr="QFXLG4ZCXTRQSJYFCKJ58G9N8" hidden="1">
          <a:extLst>
            <a:ext uri="{FF2B5EF4-FFF2-40B4-BE49-F238E27FC236}">
              <a16:creationId xmlns:a16="http://schemas.microsoft.com/office/drawing/2014/main" id="{252BF0A5-801E-4A07-BDBC-76A24536F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6621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73</xdr:row>
      <xdr:rowOff>0</xdr:rowOff>
    </xdr:from>
    <xdr:ext cx="123825" cy="123825"/>
    <xdr:pic>
      <xdr:nvPicPr>
        <xdr:cNvPr id="220" name="BExS8T38WLC2R738ZC7BDJQAKJAJ" descr="MRI962L5PB0E0YWXCIBN82VJH" hidden="1">
          <a:extLst>
            <a:ext uri="{FF2B5EF4-FFF2-40B4-BE49-F238E27FC236}">
              <a16:creationId xmlns:a16="http://schemas.microsoft.com/office/drawing/2014/main" id="{66A75F5C-2CA3-4553-80C0-894EDE1E1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17192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71</xdr:row>
      <xdr:rowOff>0</xdr:rowOff>
    </xdr:from>
    <xdr:ext cx="123825" cy="123825"/>
    <xdr:pic>
      <xdr:nvPicPr>
        <xdr:cNvPr id="221" name="BEx5F64BJ6DCM4EJH81D5ZFNPZ0V" descr="7DJ9FILZD2YPS6X1JBP9E76TU" hidden="1">
          <a:extLst>
            <a:ext uri="{FF2B5EF4-FFF2-40B4-BE49-F238E27FC236}">
              <a16:creationId xmlns:a16="http://schemas.microsoft.com/office/drawing/2014/main" id="{244DEC3A-7E7F-4F63-9A5D-32C74F3A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6811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71</xdr:row>
      <xdr:rowOff>0</xdr:rowOff>
    </xdr:from>
    <xdr:ext cx="123825" cy="123825"/>
    <xdr:pic>
      <xdr:nvPicPr>
        <xdr:cNvPr id="222" name="BExQEXXHA3EEXR44LT6RKCDWM6ZT" hidden="1">
          <a:extLst>
            <a:ext uri="{FF2B5EF4-FFF2-40B4-BE49-F238E27FC236}">
              <a16:creationId xmlns:a16="http://schemas.microsoft.com/office/drawing/2014/main" id="{F57145DF-CA6A-45D1-9454-E65C68A6C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6811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75</xdr:row>
      <xdr:rowOff>0</xdr:rowOff>
    </xdr:from>
    <xdr:ext cx="123825" cy="123825"/>
    <xdr:pic>
      <xdr:nvPicPr>
        <xdr:cNvPr id="223" name="BEx1X6AMHV6ZK3UJB2BXIJTJHYJU" descr="OALR4L95ELQLZ1Y1LETHM1CS9" hidden="1">
          <a:extLst>
            <a:ext uri="{FF2B5EF4-FFF2-40B4-BE49-F238E27FC236}">
              <a16:creationId xmlns:a16="http://schemas.microsoft.com/office/drawing/2014/main" id="{10ABDD81-DD83-44CC-A7AB-B8D199C2E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17573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70</xdr:row>
      <xdr:rowOff>0</xdr:rowOff>
    </xdr:from>
    <xdr:ext cx="123825" cy="123825"/>
    <xdr:pic>
      <xdr:nvPicPr>
        <xdr:cNvPr id="224" name="BExSDIVCE09QKG3CT52PHCS6ZJ09" descr="9F076L7EQCF2COMMGCQG6BQGU" hidden="1">
          <a:extLst>
            <a:ext uri="{FF2B5EF4-FFF2-40B4-BE49-F238E27FC236}">
              <a16:creationId xmlns:a16="http://schemas.microsoft.com/office/drawing/2014/main" id="{D2529167-6B32-4785-A8FF-342CFC45E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6621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78</xdr:row>
      <xdr:rowOff>0</xdr:rowOff>
    </xdr:from>
    <xdr:ext cx="123825" cy="123825"/>
    <xdr:pic>
      <xdr:nvPicPr>
        <xdr:cNvPr id="225" name="BExS343F8GCKP6HTF9Y97L133DX8" descr="ZRF0KB1IYQSNV63CTXT25G67G" hidden="1">
          <a:extLst>
            <a:ext uri="{FF2B5EF4-FFF2-40B4-BE49-F238E27FC236}">
              <a16:creationId xmlns:a16="http://schemas.microsoft.com/office/drawing/2014/main" id="{AA235A72-1B67-46B4-813D-F3544E77B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8145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77</xdr:row>
      <xdr:rowOff>0</xdr:rowOff>
    </xdr:from>
    <xdr:ext cx="123825" cy="123825"/>
    <xdr:pic>
      <xdr:nvPicPr>
        <xdr:cNvPr id="226" name="BExZMRC09W87CY4B73NPZMNH21AH" descr="78CUMI0OVLYJRSDRQ3V2YX812" hidden="1">
          <a:extLst>
            <a:ext uri="{FF2B5EF4-FFF2-40B4-BE49-F238E27FC236}">
              <a16:creationId xmlns:a16="http://schemas.microsoft.com/office/drawing/2014/main" id="{8077953E-2701-43B8-83F6-B5476835B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7954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76</xdr:row>
      <xdr:rowOff>9525</xdr:rowOff>
    </xdr:from>
    <xdr:ext cx="123825" cy="123825"/>
    <xdr:pic>
      <xdr:nvPicPr>
        <xdr:cNvPr id="227" name="BExZXVFJ4DY4I24AARDT4AMP6EN1" descr="TXSMH2MTH86CYKA26740RQPUC" hidden="1">
          <a:extLst>
            <a:ext uri="{FF2B5EF4-FFF2-40B4-BE49-F238E27FC236}">
              <a16:creationId xmlns:a16="http://schemas.microsoft.com/office/drawing/2014/main" id="{1E4F1D3F-0F20-4CA2-A152-A4051C003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77736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75</xdr:row>
      <xdr:rowOff>0</xdr:rowOff>
    </xdr:from>
    <xdr:ext cx="123825" cy="123825"/>
    <xdr:pic>
      <xdr:nvPicPr>
        <xdr:cNvPr id="228" name="BExOCUIOFQWUGTBU5ESTW3EYEP5C" descr="9BNF49V0R6VVYPHEVMJ3ABDQZ" hidden="1">
          <a:extLst>
            <a:ext uri="{FF2B5EF4-FFF2-40B4-BE49-F238E27FC236}">
              <a16:creationId xmlns:a16="http://schemas.microsoft.com/office/drawing/2014/main" id="{C8816D95-9893-487D-BA00-FC6DC0037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7573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74</xdr:row>
      <xdr:rowOff>0</xdr:rowOff>
    </xdr:from>
    <xdr:ext cx="123825" cy="123825"/>
    <xdr:pic>
      <xdr:nvPicPr>
        <xdr:cNvPr id="229" name="BExU65O9OE4B4MQ2A3OYH13M8BZJ" descr="3INNIMMPDBB0JF37L81M6ID21" hidden="1">
          <a:extLst>
            <a:ext uri="{FF2B5EF4-FFF2-40B4-BE49-F238E27FC236}">
              <a16:creationId xmlns:a16="http://schemas.microsoft.com/office/drawing/2014/main" id="{02DBCFBF-7476-42A3-B662-7695D3262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7383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73</xdr:row>
      <xdr:rowOff>0</xdr:rowOff>
    </xdr:from>
    <xdr:ext cx="123825" cy="123825"/>
    <xdr:pic>
      <xdr:nvPicPr>
        <xdr:cNvPr id="230" name="BExOPRCR0UW7TKXSV5WDTL348FGL" descr="S9JM17GP1802LHN4GT14BJYIC" hidden="1">
          <a:extLst>
            <a:ext uri="{FF2B5EF4-FFF2-40B4-BE49-F238E27FC236}">
              <a16:creationId xmlns:a16="http://schemas.microsoft.com/office/drawing/2014/main" id="{DF80E812-7431-4FAC-838D-CE7978435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7192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72</xdr:row>
      <xdr:rowOff>0</xdr:rowOff>
    </xdr:from>
    <xdr:ext cx="123825" cy="123825"/>
    <xdr:pic>
      <xdr:nvPicPr>
        <xdr:cNvPr id="231" name="BEx5OESAY2W8SEGI3TSB65EHJ04B" descr="9CN2Y88X8WYV1HWZG1QILY9BK" hidden="1">
          <a:extLst>
            <a:ext uri="{FF2B5EF4-FFF2-40B4-BE49-F238E27FC236}">
              <a16:creationId xmlns:a16="http://schemas.microsoft.com/office/drawing/2014/main" id="{C7584AA0-AF97-4DFD-849B-1FCC4C5AE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7002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71</xdr:row>
      <xdr:rowOff>0</xdr:rowOff>
    </xdr:from>
    <xdr:ext cx="123825" cy="123825"/>
    <xdr:pic>
      <xdr:nvPicPr>
        <xdr:cNvPr id="232" name="BExGMWEQ2BYRY9BAO5T1X850MJN1" descr="AZ9ST0XDIOP50HSUFO5V31BR0" hidden="1">
          <a:extLst>
            <a:ext uri="{FF2B5EF4-FFF2-40B4-BE49-F238E27FC236}">
              <a16:creationId xmlns:a16="http://schemas.microsoft.com/office/drawing/2014/main" id="{4DB6EEAA-0526-455B-AE14-D93BC0D83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6811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80</xdr:row>
      <xdr:rowOff>9525</xdr:rowOff>
    </xdr:from>
    <xdr:ext cx="47625" cy="47625"/>
    <xdr:pic>
      <xdr:nvPicPr>
        <xdr:cNvPr id="233" name="BExMO7VFCN4EL59982UR4AJ25JNJ" descr="XX6TINEJADZGKR0CTM7ZRT0RA" hidden="1">
          <a:extLst>
            <a:ext uri="{FF2B5EF4-FFF2-40B4-BE49-F238E27FC236}">
              <a16:creationId xmlns:a16="http://schemas.microsoft.com/office/drawing/2014/main" id="{8A8ED1EC-F8E6-40A6-9C88-EB933D87A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85356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80</xdr:row>
      <xdr:rowOff>85725</xdr:rowOff>
    </xdr:from>
    <xdr:ext cx="47625" cy="47625"/>
    <xdr:pic>
      <xdr:nvPicPr>
        <xdr:cNvPr id="234" name="BExU3EX5JJCXCII4YKUJBFBGIJR2" descr="OF5ZI9PI5WH36VPANJ2DYLNMI" hidden="1">
          <a:extLst>
            <a:ext uri="{FF2B5EF4-FFF2-40B4-BE49-F238E27FC236}">
              <a16:creationId xmlns:a16="http://schemas.microsoft.com/office/drawing/2014/main" id="{89F8268E-D92C-4ACD-B16E-6189C52F2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86118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80</xdr:row>
      <xdr:rowOff>9525</xdr:rowOff>
    </xdr:from>
    <xdr:ext cx="47625" cy="47625"/>
    <xdr:pic>
      <xdr:nvPicPr>
        <xdr:cNvPr id="235" name="BEx1KD7H6UB1VYCJ7O61P562EIUY" descr="IQGV9140X0K0UPBL8OGU3I44J" hidden="1">
          <a:extLst>
            <a:ext uri="{FF2B5EF4-FFF2-40B4-BE49-F238E27FC236}">
              <a16:creationId xmlns:a16="http://schemas.microsoft.com/office/drawing/2014/main" id="{1AB8E710-C69C-4C7F-A35F-38147F34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185356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80</xdr:row>
      <xdr:rowOff>85725</xdr:rowOff>
    </xdr:from>
    <xdr:ext cx="47625" cy="47625"/>
    <xdr:pic>
      <xdr:nvPicPr>
        <xdr:cNvPr id="236" name="BEx5BJQWS6YWHH4ZMSUAMD641V6Y" descr="ZTMFMXCIQSECDX38ALEFHUB00" hidden="1">
          <a:extLst>
            <a:ext uri="{FF2B5EF4-FFF2-40B4-BE49-F238E27FC236}">
              <a16:creationId xmlns:a16="http://schemas.microsoft.com/office/drawing/2014/main" id="{87C70895-8750-4229-833B-A0898EFEA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186118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80</xdr:row>
      <xdr:rowOff>9525</xdr:rowOff>
    </xdr:from>
    <xdr:ext cx="47625" cy="47625"/>
    <xdr:pic>
      <xdr:nvPicPr>
        <xdr:cNvPr id="237" name="BExVTO5Q8G2M7BPL4B2584LQS0R0" descr="OB6Q8NA4LZFE4GM9Y3V56BPMQ" hidden="1">
          <a:extLst>
            <a:ext uri="{FF2B5EF4-FFF2-40B4-BE49-F238E27FC236}">
              <a16:creationId xmlns:a16="http://schemas.microsoft.com/office/drawing/2014/main" id="{1C31A98C-E367-467C-94F1-C91F6B474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28900" y="185356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80</xdr:row>
      <xdr:rowOff>85725</xdr:rowOff>
    </xdr:from>
    <xdr:ext cx="47625" cy="47625"/>
    <xdr:pic>
      <xdr:nvPicPr>
        <xdr:cNvPr id="238" name="BExIFSCLN1G86X78PFLTSMRP0US5" descr="9JK4SPV4DG7VTCZIILWHXQU5J" hidden="1">
          <a:extLst>
            <a:ext uri="{FF2B5EF4-FFF2-40B4-BE49-F238E27FC236}">
              <a16:creationId xmlns:a16="http://schemas.microsoft.com/office/drawing/2014/main" id="{036A0BC1-B08E-4361-B898-81C0717BF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28900" y="186118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80</xdr:row>
      <xdr:rowOff>9525</xdr:rowOff>
    </xdr:from>
    <xdr:ext cx="47625" cy="47625"/>
    <xdr:pic>
      <xdr:nvPicPr>
        <xdr:cNvPr id="239" name="BEx1I152WN2D3A85O2XN0DGXCWHN" descr="KHBZFMANRA4UMJR1AB4M5NJNT" hidden="1">
          <a:extLst>
            <a:ext uri="{FF2B5EF4-FFF2-40B4-BE49-F238E27FC236}">
              <a16:creationId xmlns:a16="http://schemas.microsoft.com/office/drawing/2014/main" id="{706D5692-9BD2-46AC-B768-998DD3D04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85356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80</xdr:row>
      <xdr:rowOff>85725</xdr:rowOff>
    </xdr:from>
    <xdr:ext cx="47625" cy="47625"/>
    <xdr:pic>
      <xdr:nvPicPr>
        <xdr:cNvPr id="240" name="BExW9676P0SKCVKK25QCGHPA3PAD" descr="9A4PWZ20RMSRF0PNECCDM75CA" hidden="1">
          <a:extLst>
            <a:ext uri="{FF2B5EF4-FFF2-40B4-BE49-F238E27FC236}">
              <a16:creationId xmlns:a16="http://schemas.microsoft.com/office/drawing/2014/main" id="{F58FECB3-08F8-4FE5-A6AC-EC9FE0C8E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86118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82</xdr:row>
      <xdr:rowOff>0</xdr:rowOff>
    </xdr:from>
    <xdr:ext cx="123825" cy="123825"/>
    <xdr:pic>
      <xdr:nvPicPr>
        <xdr:cNvPr id="241" name="BExW253QPOZK9KW8BJC3LBXGCG2N" descr="Y5HX37BEUWSN1NEFJKZJXI3SX" hidden="1">
          <a:extLst>
            <a:ext uri="{FF2B5EF4-FFF2-40B4-BE49-F238E27FC236}">
              <a16:creationId xmlns:a16="http://schemas.microsoft.com/office/drawing/2014/main" id="{D10027C1-F7BE-40EB-9E04-5F8614281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1943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80</xdr:row>
      <xdr:rowOff>9525</xdr:rowOff>
    </xdr:from>
    <xdr:ext cx="47625" cy="47625"/>
    <xdr:pic>
      <xdr:nvPicPr>
        <xdr:cNvPr id="242" name="BExS5CPQ8P8JOQPK7ANNKHLSGOKU" hidden="1">
          <a:extLst>
            <a:ext uri="{FF2B5EF4-FFF2-40B4-BE49-F238E27FC236}">
              <a16:creationId xmlns:a16="http://schemas.microsoft.com/office/drawing/2014/main" id="{76A48790-CAD1-4AC6-81C7-478A79E60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85356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80</xdr:row>
      <xdr:rowOff>85725</xdr:rowOff>
    </xdr:from>
    <xdr:ext cx="47625" cy="47625"/>
    <xdr:pic>
      <xdr:nvPicPr>
        <xdr:cNvPr id="243" name="BExMM0AVUAIRNJLXB1FW8R0YB4ZZ" hidden="1">
          <a:extLst>
            <a:ext uri="{FF2B5EF4-FFF2-40B4-BE49-F238E27FC236}">
              <a16:creationId xmlns:a16="http://schemas.microsoft.com/office/drawing/2014/main" id="{2697A05B-4EC3-433B-9A0E-0E7EF593A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86118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80</xdr:row>
      <xdr:rowOff>9525</xdr:rowOff>
    </xdr:from>
    <xdr:ext cx="47625" cy="47625"/>
    <xdr:pic>
      <xdr:nvPicPr>
        <xdr:cNvPr id="244" name="BExXZ7Y09CBS0XA7IPB3IRJ8RJM4" hidden="1">
          <a:extLst>
            <a:ext uri="{FF2B5EF4-FFF2-40B4-BE49-F238E27FC236}">
              <a16:creationId xmlns:a16="http://schemas.microsoft.com/office/drawing/2014/main" id="{205EAF21-3344-4874-AD89-38C1BF3EB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85356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80</xdr:row>
      <xdr:rowOff>85725</xdr:rowOff>
    </xdr:from>
    <xdr:ext cx="47625" cy="47625"/>
    <xdr:pic>
      <xdr:nvPicPr>
        <xdr:cNvPr id="245" name="BExQ7SXS9VUG7P6CACU2J7R2SGIZ" hidden="1">
          <a:extLst>
            <a:ext uri="{FF2B5EF4-FFF2-40B4-BE49-F238E27FC236}">
              <a16:creationId xmlns:a16="http://schemas.microsoft.com/office/drawing/2014/main" id="{3586D1B6-DF1B-4DCF-BBCF-3816B3FFC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86118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80</xdr:row>
      <xdr:rowOff>9525</xdr:rowOff>
    </xdr:from>
    <xdr:ext cx="47625" cy="47625"/>
    <xdr:pic>
      <xdr:nvPicPr>
        <xdr:cNvPr id="246" name="BEx5AQZ4ETQ9LMY5EBWVH20Z7VXQ" hidden="1">
          <a:extLst>
            <a:ext uri="{FF2B5EF4-FFF2-40B4-BE49-F238E27FC236}">
              <a16:creationId xmlns:a16="http://schemas.microsoft.com/office/drawing/2014/main" id="{818EBFB5-D021-42F3-92D3-1F9EA181F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185356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80</xdr:row>
      <xdr:rowOff>85725</xdr:rowOff>
    </xdr:from>
    <xdr:ext cx="47625" cy="47625"/>
    <xdr:pic>
      <xdr:nvPicPr>
        <xdr:cNvPr id="247" name="BExUBK0YZ5VYFY8TTITJGJU9S06A" hidden="1">
          <a:extLst>
            <a:ext uri="{FF2B5EF4-FFF2-40B4-BE49-F238E27FC236}">
              <a16:creationId xmlns:a16="http://schemas.microsoft.com/office/drawing/2014/main" id="{A3AE4152-44D0-49D5-A1E2-A8512C0AE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186118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80</xdr:row>
      <xdr:rowOff>9525</xdr:rowOff>
    </xdr:from>
    <xdr:ext cx="47625" cy="47625"/>
    <xdr:pic>
      <xdr:nvPicPr>
        <xdr:cNvPr id="248" name="BExUEZCSSJ7RN4J18I2NUIQR2FZS" hidden="1">
          <a:extLst>
            <a:ext uri="{FF2B5EF4-FFF2-40B4-BE49-F238E27FC236}">
              <a16:creationId xmlns:a16="http://schemas.microsoft.com/office/drawing/2014/main" id="{8EF6C41B-0836-4264-95C5-06B989D68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38425" y="185356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80</xdr:row>
      <xdr:rowOff>85725</xdr:rowOff>
    </xdr:from>
    <xdr:ext cx="47625" cy="47625"/>
    <xdr:pic>
      <xdr:nvPicPr>
        <xdr:cNvPr id="249" name="BExS3JDQWF7U3F5JTEVOE16ASIYK" hidden="1">
          <a:extLst>
            <a:ext uri="{FF2B5EF4-FFF2-40B4-BE49-F238E27FC236}">
              <a16:creationId xmlns:a16="http://schemas.microsoft.com/office/drawing/2014/main" id="{683D4350-0C0C-43B7-9F92-8B039D49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38425" y="186118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83</xdr:row>
      <xdr:rowOff>0</xdr:rowOff>
    </xdr:from>
    <xdr:ext cx="123825" cy="123825"/>
    <xdr:pic>
      <xdr:nvPicPr>
        <xdr:cNvPr id="250" name="BEx973S463FCQVJ7QDFBUIU0WJ3F" descr="ZQTVYL8DCSADVT0QMRXFLU0TR" hidden="1">
          <a:extLst>
            <a:ext uri="{FF2B5EF4-FFF2-40B4-BE49-F238E27FC236}">
              <a16:creationId xmlns:a16="http://schemas.microsoft.com/office/drawing/2014/main" id="{F1992D82-ED7E-40F6-97FB-9A612D523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1962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82</xdr:row>
      <xdr:rowOff>0</xdr:rowOff>
    </xdr:from>
    <xdr:ext cx="123825" cy="123825"/>
    <xdr:pic>
      <xdr:nvPicPr>
        <xdr:cNvPr id="251" name="BEx5FXJGJOT93D0J2IRJ3985IUMI" hidden="1">
          <a:extLst>
            <a:ext uri="{FF2B5EF4-FFF2-40B4-BE49-F238E27FC236}">
              <a16:creationId xmlns:a16="http://schemas.microsoft.com/office/drawing/2014/main" id="{49BDCED0-DD74-4224-9F13-8B244FCD5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943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81</xdr:row>
      <xdr:rowOff>0</xdr:rowOff>
    </xdr:from>
    <xdr:ext cx="123825" cy="123825"/>
    <xdr:pic>
      <xdr:nvPicPr>
        <xdr:cNvPr id="252" name="BEx3RTMHAR35NUAAK49TV6NU7EPA" descr="QFXLG4ZCXTRQSJYFCKJ58G9N8" hidden="1">
          <a:extLst>
            <a:ext uri="{FF2B5EF4-FFF2-40B4-BE49-F238E27FC236}">
              <a16:creationId xmlns:a16="http://schemas.microsoft.com/office/drawing/2014/main" id="{2AA0F891-7532-4358-93C0-B79247894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9240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84</xdr:row>
      <xdr:rowOff>0</xdr:rowOff>
    </xdr:from>
    <xdr:ext cx="123825" cy="123825"/>
    <xdr:pic>
      <xdr:nvPicPr>
        <xdr:cNvPr id="253" name="BExS8T38WLC2R738ZC7BDJQAKJAJ" descr="MRI962L5PB0E0YWXCIBN82VJH" hidden="1">
          <a:extLst>
            <a:ext uri="{FF2B5EF4-FFF2-40B4-BE49-F238E27FC236}">
              <a16:creationId xmlns:a16="http://schemas.microsoft.com/office/drawing/2014/main" id="{DA5973C6-B040-4675-9803-751EC7975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1981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82</xdr:row>
      <xdr:rowOff>0</xdr:rowOff>
    </xdr:from>
    <xdr:ext cx="123825" cy="123825"/>
    <xdr:pic>
      <xdr:nvPicPr>
        <xdr:cNvPr id="254" name="BEx5F64BJ6DCM4EJH81D5ZFNPZ0V" descr="7DJ9FILZD2YPS6X1JBP9E76TU" hidden="1">
          <a:extLst>
            <a:ext uri="{FF2B5EF4-FFF2-40B4-BE49-F238E27FC236}">
              <a16:creationId xmlns:a16="http://schemas.microsoft.com/office/drawing/2014/main" id="{38527841-059F-4A89-8919-DA87CBD39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943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82</xdr:row>
      <xdr:rowOff>0</xdr:rowOff>
    </xdr:from>
    <xdr:ext cx="123825" cy="123825"/>
    <xdr:pic>
      <xdr:nvPicPr>
        <xdr:cNvPr id="255" name="BExQEXXHA3EEXR44LT6RKCDWM6ZT" hidden="1">
          <a:extLst>
            <a:ext uri="{FF2B5EF4-FFF2-40B4-BE49-F238E27FC236}">
              <a16:creationId xmlns:a16="http://schemas.microsoft.com/office/drawing/2014/main" id="{6EDAA528-D55F-40AA-862F-8AC6FCBE2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943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86</xdr:row>
      <xdr:rowOff>0</xdr:rowOff>
    </xdr:from>
    <xdr:ext cx="123825" cy="123825"/>
    <xdr:pic>
      <xdr:nvPicPr>
        <xdr:cNvPr id="256" name="BEx1X6AMHV6ZK3UJB2BXIJTJHYJU" descr="OALR4L95ELQLZ1Y1LETHM1CS9" hidden="1">
          <a:extLst>
            <a:ext uri="{FF2B5EF4-FFF2-40B4-BE49-F238E27FC236}">
              <a16:creationId xmlns:a16="http://schemas.microsoft.com/office/drawing/2014/main" id="{E9DF40F3-EDAA-4193-8BB9-08ADF57B4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2019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81</xdr:row>
      <xdr:rowOff>0</xdr:rowOff>
    </xdr:from>
    <xdr:ext cx="123825" cy="123825"/>
    <xdr:pic>
      <xdr:nvPicPr>
        <xdr:cNvPr id="257" name="BExSDIVCE09QKG3CT52PHCS6ZJ09" descr="9F076L7EQCF2COMMGCQG6BQGU" hidden="1">
          <a:extLst>
            <a:ext uri="{FF2B5EF4-FFF2-40B4-BE49-F238E27FC236}">
              <a16:creationId xmlns:a16="http://schemas.microsoft.com/office/drawing/2014/main" id="{E7CDEF98-BA7A-44A8-9EAC-285A56DCE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9240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89</xdr:row>
      <xdr:rowOff>0</xdr:rowOff>
    </xdr:from>
    <xdr:ext cx="123825" cy="123825"/>
    <xdr:pic>
      <xdr:nvPicPr>
        <xdr:cNvPr id="258" name="BExS343F8GCKP6HTF9Y97L133DX8" descr="ZRF0KB1IYQSNV63CTXT25G67G" hidden="1">
          <a:extLst>
            <a:ext uri="{FF2B5EF4-FFF2-40B4-BE49-F238E27FC236}">
              <a16:creationId xmlns:a16="http://schemas.microsoft.com/office/drawing/2014/main" id="{1C216CF2-DF33-4BAC-99C2-D70C4EDA6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076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88</xdr:row>
      <xdr:rowOff>0</xdr:rowOff>
    </xdr:from>
    <xdr:ext cx="123825" cy="123825"/>
    <xdr:pic>
      <xdr:nvPicPr>
        <xdr:cNvPr id="259" name="BExZMRC09W87CY4B73NPZMNH21AH" descr="78CUMI0OVLYJRSDRQ3V2YX812" hidden="1">
          <a:extLst>
            <a:ext uri="{FF2B5EF4-FFF2-40B4-BE49-F238E27FC236}">
              <a16:creationId xmlns:a16="http://schemas.microsoft.com/office/drawing/2014/main" id="{359918EB-9FB6-4801-97FD-4B5BAA011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0574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87</xdr:row>
      <xdr:rowOff>9525</xdr:rowOff>
    </xdr:from>
    <xdr:ext cx="123825" cy="123825"/>
    <xdr:pic>
      <xdr:nvPicPr>
        <xdr:cNvPr id="260" name="BExZXVFJ4DY4I24AARDT4AMP6EN1" descr="TXSMH2MTH86CYKA26740RQPUC" hidden="1">
          <a:extLst>
            <a:ext uri="{FF2B5EF4-FFF2-40B4-BE49-F238E27FC236}">
              <a16:creationId xmlns:a16="http://schemas.microsoft.com/office/drawing/2014/main" id="{7EFDE710-4F36-4756-A236-79B871C3E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0393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86</xdr:row>
      <xdr:rowOff>0</xdr:rowOff>
    </xdr:from>
    <xdr:ext cx="123825" cy="123825"/>
    <xdr:pic>
      <xdr:nvPicPr>
        <xdr:cNvPr id="261" name="BExOCUIOFQWUGTBU5ESTW3EYEP5C" descr="9BNF49V0R6VVYPHEVMJ3ABDQZ" hidden="1">
          <a:extLst>
            <a:ext uri="{FF2B5EF4-FFF2-40B4-BE49-F238E27FC236}">
              <a16:creationId xmlns:a16="http://schemas.microsoft.com/office/drawing/2014/main" id="{FDD078B7-9178-4095-93E9-000F34252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019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85</xdr:row>
      <xdr:rowOff>0</xdr:rowOff>
    </xdr:from>
    <xdr:ext cx="123825" cy="123825"/>
    <xdr:pic>
      <xdr:nvPicPr>
        <xdr:cNvPr id="262" name="BExU65O9OE4B4MQ2A3OYH13M8BZJ" descr="3INNIMMPDBB0JF37L81M6ID21" hidden="1">
          <a:extLst>
            <a:ext uri="{FF2B5EF4-FFF2-40B4-BE49-F238E27FC236}">
              <a16:creationId xmlns:a16="http://schemas.microsoft.com/office/drawing/2014/main" id="{F04C4914-79F8-483A-A61E-2F4FA07B3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000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84</xdr:row>
      <xdr:rowOff>0</xdr:rowOff>
    </xdr:from>
    <xdr:ext cx="123825" cy="123825"/>
    <xdr:pic>
      <xdr:nvPicPr>
        <xdr:cNvPr id="263" name="BExOPRCR0UW7TKXSV5WDTL348FGL" descr="S9JM17GP1802LHN4GT14BJYIC" hidden="1">
          <a:extLst>
            <a:ext uri="{FF2B5EF4-FFF2-40B4-BE49-F238E27FC236}">
              <a16:creationId xmlns:a16="http://schemas.microsoft.com/office/drawing/2014/main" id="{8D00F655-9C5C-4AD7-8F85-6F52DAEC1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981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83</xdr:row>
      <xdr:rowOff>0</xdr:rowOff>
    </xdr:from>
    <xdr:ext cx="123825" cy="123825"/>
    <xdr:pic>
      <xdr:nvPicPr>
        <xdr:cNvPr id="264" name="BEx5OESAY2W8SEGI3TSB65EHJ04B" descr="9CN2Y88X8WYV1HWZG1QILY9BK" hidden="1">
          <a:extLst>
            <a:ext uri="{FF2B5EF4-FFF2-40B4-BE49-F238E27FC236}">
              <a16:creationId xmlns:a16="http://schemas.microsoft.com/office/drawing/2014/main" id="{0DEDF1F7-9B42-48BE-8277-BD717A9F8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962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82</xdr:row>
      <xdr:rowOff>0</xdr:rowOff>
    </xdr:from>
    <xdr:ext cx="123825" cy="123825"/>
    <xdr:pic>
      <xdr:nvPicPr>
        <xdr:cNvPr id="265" name="BExGMWEQ2BYRY9BAO5T1X850MJN1" descr="AZ9ST0XDIOP50HSUFO5V31BR0" hidden="1">
          <a:extLst>
            <a:ext uri="{FF2B5EF4-FFF2-40B4-BE49-F238E27FC236}">
              <a16:creationId xmlns:a16="http://schemas.microsoft.com/office/drawing/2014/main" id="{52D3E0B6-E060-4449-BB43-89B6424D2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943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91</xdr:row>
      <xdr:rowOff>9525</xdr:rowOff>
    </xdr:from>
    <xdr:ext cx="47625" cy="47625"/>
    <xdr:pic>
      <xdr:nvPicPr>
        <xdr:cNvPr id="266" name="BExMO7VFCN4EL59982UR4AJ25JNJ" descr="XX6TINEJADZGKR0CTM7ZRT0RA" hidden="1">
          <a:extLst>
            <a:ext uri="{FF2B5EF4-FFF2-40B4-BE49-F238E27FC236}">
              <a16:creationId xmlns:a16="http://schemas.microsoft.com/office/drawing/2014/main" id="{BD514419-1406-46E0-B7BE-948B958FE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91</xdr:row>
      <xdr:rowOff>85725</xdr:rowOff>
    </xdr:from>
    <xdr:ext cx="47625" cy="47625"/>
    <xdr:pic>
      <xdr:nvPicPr>
        <xdr:cNvPr id="267" name="BExU3EX5JJCXCII4YKUJBFBGIJR2" descr="OF5ZI9PI5WH36VPANJ2DYLNMI" hidden="1">
          <a:extLst>
            <a:ext uri="{FF2B5EF4-FFF2-40B4-BE49-F238E27FC236}">
              <a16:creationId xmlns:a16="http://schemas.microsoft.com/office/drawing/2014/main" id="{21543160-36B0-4FAD-AB32-03CC0DDA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91</xdr:row>
      <xdr:rowOff>9525</xdr:rowOff>
    </xdr:from>
    <xdr:ext cx="47625" cy="47625"/>
    <xdr:pic>
      <xdr:nvPicPr>
        <xdr:cNvPr id="268" name="BEx1KD7H6UB1VYCJ7O61P562EIUY" descr="IQGV9140X0K0UPBL8OGU3I44J" hidden="1">
          <a:extLst>
            <a:ext uri="{FF2B5EF4-FFF2-40B4-BE49-F238E27FC236}">
              <a16:creationId xmlns:a16="http://schemas.microsoft.com/office/drawing/2014/main" id="{AA9BE637-DF4E-4556-B266-C64C453CB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91</xdr:row>
      <xdr:rowOff>85725</xdr:rowOff>
    </xdr:from>
    <xdr:ext cx="47625" cy="47625"/>
    <xdr:pic>
      <xdr:nvPicPr>
        <xdr:cNvPr id="269" name="BEx5BJQWS6YWHH4ZMSUAMD641V6Y" descr="ZTMFMXCIQSECDX38ALEFHUB00" hidden="1">
          <a:extLst>
            <a:ext uri="{FF2B5EF4-FFF2-40B4-BE49-F238E27FC236}">
              <a16:creationId xmlns:a16="http://schemas.microsoft.com/office/drawing/2014/main" id="{A345F36F-5F78-4DCB-8AB0-6BC61BA1F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91</xdr:row>
      <xdr:rowOff>9525</xdr:rowOff>
    </xdr:from>
    <xdr:ext cx="47625" cy="47625"/>
    <xdr:pic>
      <xdr:nvPicPr>
        <xdr:cNvPr id="270" name="BExVTO5Q8G2M7BPL4B2584LQS0R0" descr="OB6Q8NA4LZFE4GM9Y3V56BPMQ" hidden="1">
          <a:extLst>
            <a:ext uri="{FF2B5EF4-FFF2-40B4-BE49-F238E27FC236}">
              <a16:creationId xmlns:a16="http://schemas.microsoft.com/office/drawing/2014/main" id="{C64D629B-7CFC-4621-9C88-B4BC3D1C5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28900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91</xdr:row>
      <xdr:rowOff>85725</xdr:rowOff>
    </xdr:from>
    <xdr:ext cx="47625" cy="47625"/>
    <xdr:pic>
      <xdr:nvPicPr>
        <xdr:cNvPr id="271" name="BExIFSCLN1G86X78PFLTSMRP0US5" descr="9JK4SPV4DG7VTCZIILWHXQU5J" hidden="1">
          <a:extLst>
            <a:ext uri="{FF2B5EF4-FFF2-40B4-BE49-F238E27FC236}">
              <a16:creationId xmlns:a16="http://schemas.microsoft.com/office/drawing/2014/main" id="{F5C0BB5F-F42A-4139-83E7-958D1946C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28900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91</xdr:row>
      <xdr:rowOff>9525</xdr:rowOff>
    </xdr:from>
    <xdr:ext cx="47625" cy="47625"/>
    <xdr:pic>
      <xdr:nvPicPr>
        <xdr:cNvPr id="272" name="BEx1I152WN2D3A85O2XN0DGXCWHN" descr="KHBZFMANRA4UMJR1AB4M5NJNT" hidden="1">
          <a:extLst>
            <a:ext uri="{FF2B5EF4-FFF2-40B4-BE49-F238E27FC236}">
              <a16:creationId xmlns:a16="http://schemas.microsoft.com/office/drawing/2014/main" id="{9266F0F8-D15F-4F2C-B3AB-477171723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91</xdr:row>
      <xdr:rowOff>85725</xdr:rowOff>
    </xdr:from>
    <xdr:ext cx="47625" cy="47625"/>
    <xdr:pic>
      <xdr:nvPicPr>
        <xdr:cNvPr id="273" name="BExW9676P0SKCVKK25QCGHPA3PAD" descr="9A4PWZ20RMSRF0PNECCDM75CA" hidden="1">
          <a:extLst>
            <a:ext uri="{FF2B5EF4-FFF2-40B4-BE49-F238E27FC236}">
              <a16:creationId xmlns:a16="http://schemas.microsoft.com/office/drawing/2014/main" id="{FB58825E-2D8C-41FB-932E-41629E276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93</xdr:row>
      <xdr:rowOff>0</xdr:rowOff>
    </xdr:from>
    <xdr:ext cx="123825" cy="123825"/>
    <xdr:pic>
      <xdr:nvPicPr>
        <xdr:cNvPr id="274" name="BExW253QPOZK9KW8BJC3LBXGCG2N" descr="Y5HX37BEUWSN1NEFJKZJXI3SX" hidden="1">
          <a:extLst>
            <a:ext uri="{FF2B5EF4-FFF2-40B4-BE49-F238E27FC236}">
              <a16:creationId xmlns:a16="http://schemas.microsoft.com/office/drawing/2014/main" id="{07FE4196-E624-4BBF-8D98-16EFE358A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22050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91</xdr:row>
      <xdr:rowOff>9525</xdr:rowOff>
    </xdr:from>
    <xdr:ext cx="47625" cy="47625"/>
    <xdr:pic>
      <xdr:nvPicPr>
        <xdr:cNvPr id="275" name="BExS5CPQ8P8JOQPK7ANNKHLSGOKU" hidden="1">
          <a:extLst>
            <a:ext uri="{FF2B5EF4-FFF2-40B4-BE49-F238E27FC236}">
              <a16:creationId xmlns:a16="http://schemas.microsoft.com/office/drawing/2014/main" id="{8251A021-6E18-4B3A-95E3-169FCD020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91</xdr:row>
      <xdr:rowOff>85725</xdr:rowOff>
    </xdr:from>
    <xdr:ext cx="47625" cy="47625"/>
    <xdr:pic>
      <xdr:nvPicPr>
        <xdr:cNvPr id="276" name="BExMM0AVUAIRNJLXB1FW8R0YB4ZZ" hidden="1">
          <a:extLst>
            <a:ext uri="{FF2B5EF4-FFF2-40B4-BE49-F238E27FC236}">
              <a16:creationId xmlns:a16="http://schemas.microsoft.com/office/drawing/2014/main" id="{F736BCBB-6279-41A9-9283-92807F6C1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91</xdr:row>
      <xdr:rowOff>9525</xdr:rowOff>
    </xdr:from>
    <xdr:ext cx="47625" cy="47625"/>
    <xdr:pic>
      <xdr:nvPicPr>
        <xdr:cNvPr id="277" name="BExXZ7Y09CBS0XA7IPB3IRJ8RJM4" hidden="1">
          <a:extLst>
            <a:ext uri="{FF2B5EF4-FFF2-40B4-BE49-F238E27FC236}">
              <a16:creationId xmlns:a16="http://schemas.microsoft.com/office/drawing/2014/main" id="{D6AC0B48-5137-4F12-A488-B02002E94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91</xdr:row>
      <xdr:rowOff>85725</xdr:rowOff>
    </xdr:from>
    <xdr:ext cx="47625" cy="47625"/>
    <xdr:pic>
      <xdr:nvPicPr>
        <xdr:cNvPr id="278" name="BExQ7SXS9VUG7P6CACU2J7R2SGIZ" hidden="1">
          <a:extLst>
            <a:ext uri="{FF2B5EF4-FFF2-40B4-BE49-F238E27FC236}">
              <a16:creationId xmlns:a16="http://schemas.microsoft.com/office/drawing/2014/main" id="{7749C931-2A3B-47D9-8F26-BAAB0FAE6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91</xdr:row>
      <xdr:rowOff>9525</xdr:rowOff>
    </xdr:from>
    <xdr:ext cx="47625" cy="47625"/>
    <xdr:pic>
      <xdr:nvPicPr>
        <xdr:cNvPr id="279" name="BEx5AQZ4ETQ9LMY5EBWVH20Z7VXQ" hidden="1">
          <a:extLst>
            <a:ext uri="{FF2B5EF4-FFF2-40B4-BE49-F238E27FC236}">
              <a16:creationId xmlns:a16="http://schemas.microsoft.com/office/drawing/2014/main" id="{90D21A21-7859-4EE6-B834-81DDA1ED7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91</xdr:row>
      <xdr:rowOff>85725</xdr:rowOff>
    </xdr:from>
    <xdr:ext cx="47625" cy="47625"/>
    <xdr:pic>
      <xdr:nvPicPr>
        <xdr:cNvPr id="280" name="BExUBK0YZ5VYFY8TTITJGJU9S06A" hidden="1">
          <a:extLst>
            <a:ext uri="{FF2B5EF4-FFF2-40B4-BE49-F238E27FC236}">
              <a16:creationId xmlns:a16="http://schemas.microsoft.com/office/drawing/2014/main" id="{E4CCC477-4B32-4EC5-A52D-B3BE054B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91</xdr:row>
      <xdr:rowOff>9525</xdr:rowOff>
    </xdr:from>
    <xdr:ext cx="47625" cy="47625"/>
    <xdr:pic>
      <xdr:nvPicPr>
        <xdr:cNvPr id="281" name="BExUEZCSSJ7RN4J18I2NUIQR2FZS" hidden="1">
          <a:extLst>
            <a:ext uri="{FF2B5EF4-FFF2-40B4-BE49-F238E27FC236}">
              <a16:creationId xmlns:a16="http://schemas.microsoft.com/office/drawing/2014/main" id="{B09EA9C0-EAA7-49BE-BBA5-27E31ABFE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38425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91</xdr:row>
      <xdr:rowOff>85725</xdr:rowOff>
    </xdr:from>
    <xdr:ext cx="47625" cy="47625"/>
    <xdr:pic>
      <xdr:nvPicPr>
        <xdr:cNvPr id="282" name="BExS3JDQWF7U3F5JTEVOE16ASIYK" hidden="1">
          <a:extLst>
            <a:ext uri="{FF2B5EF4-FFF2-40B4-BE49-F238E27FC236}">
              <a16:creationId xmlns:a16="http://schemas.microsoft.com/office/drawing/2014/main" id="{D921F0A1-3ED6-4D2E-8D4A-0307A632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38425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94</xdr:row>
      <xdr:rowOff>0</xdr:rowOff>
    </xdr:from>
    <xdr:ext cx="123825" cy="123825"/>
    <xdr:pic>
      <xdr:nvPicPr>
        <xdr:cNvPr id="283" name="BEx973S463FCQVJ7QDFBUIU0WJ3F" descr="ZQTVYL8DCSADVT0QMRXFLU0TR" hidden="1">
          <a:extLst>
            <a:ext uri="{FF2B5EF4-FFF2-40B4-BE49-F238E27FC236}">
              <a16:creationId xmlns:a16="http://schemas.microsoft.com/office/drawing/2014/main" id="{923C71FD-7EA4-4D6E-8EF4-FD8797417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22240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93</xdr:row>
      <xdr:rowOff>0</xdr:rowOff>
    </xdr:from>
    <xdr:ext cx="123825" cy="123825"/>
    <xdr:pic>
      <xdr:nvPicPr>
        <xdr:cNvPr id="284" name="BEx5FXJGJOT93D0J2IRJ3985IUMI" hidden="1">
          <a:extLst>
            <a:ext uri="{FF2B5EF4-FFF2-40B4-BE49-F238E27FC236}">
              <a16:creationId xmlns:a16="http://schemas.microsoft.com/office/drawing/2014/main" id="{FB784D7A-EBED-4659-AEC4-E037B4752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2050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92</xdr:row>
      <xdr:rowOff>0</xdr:rowOff>
    </xdr:from>
    <xdr:ext cx="123825" cy="123825"/>
    <xdr:pic>
      <xdr:nvPicPr>
        <xdr:cNvPr id="285" name="BEx3RTMHAR35NUAAK49TV6NU7EPA" descr="QFXLG4ZCXTRQSJYFCKJ58G9N8" hidden="1">
          <a:extLst>
            <a:ext uri="{FF2B5EF4-FFF2-40B4-BE49-F238E27FC236}">
              <a16:creationId xmlns:a16="http://schemas.microsoft.com/office/drawing/2014/main" id="{90BCBABE-5E1B-49BD-A27E-8819C3168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21859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95</xdr:row>
      <xdr:rowOff>0</xdr:rowOff>
    </xdr:from>
    <xdr:ext cx="123825" cy="123825"/>
    <xdr:pic>
      <xdr:nvPicPr>
        <xdr:cNvPr id="286" name="BExS8T38WLC2R738ZC7BDJQAKJAJ" descr="MRI962L5PB0E0YWXCIBN82VJH" hidden="1">
          <a:extLst>
            <a:ext uri="{FF2B5EF4-FFF2-40B4-BE49-F238E27FC236}">
              <a16:creationId xmlns:a16="http://schemas.microsoft.com/office/drawing/2014/main" id="{8EC6E6EC-0C9A-49BF-874C-2FE8F80D1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22431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93</xdr:row>
      <xdr:rowOff>0</xdr:rowOff>
    </xdr:from>
    <xdr:ext cx="123825" cy="123825"/>
    <xdr:pic>
      <xdr:nvPicPr>
        <xdr:cNvPr id="287" name="BEx5F64BJ6DCM4EJH81D5ZFNPZ0V" descr="7DJ9FILZD2YPS6X1JBP9E76TU" hidden="1">
          <a:extLst>
            <a:ext uri="{FF2B5EF4-FFF2-40B4-BE49-F238E27FC236}">
              <a16:creationId xmlns:a16="http://schemas.microsoft.com/office/drawing/2014/main" id="{9922DAAB-522F-43D9-BCAA-63176C4AF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2050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93</xdr:row>
      <xdr:rowOff>0</xdr:rowOff>
    </xdr:from>
    <xdr:ext cx="123825" cy="123825"/>
    <xdr:pic>
      <xdr:nvPicPr>
        <xdr:cNvPr id="288" name="BExQEXXHA3EEXR44LT6RKCDWM6ZT" hidden="1">
          <a:extLst>
            <a:ext uri="{FF2B5EF4-FFF2-40B4-BE49-F238E27FC236}">
              <a16:creationId xmlns:a16="http://schemas.microsoft.com/office/drawing/2014/main" id="{2ADA6D07-AD7D-404D-AD67-F085A974D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2050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97</xdr:row>
      <xdr:rowOff>0</xdr:rowOff>
    </xdr:from>
    <xdr:ext cx="123825" cy="123825"/>
    <xdr:pic>
      <xdr:nvPicPr>
        <xdr:cNvPr id="289" name="BEx1X6AMHV6ZK3UJB2BXIJTJHYJU" descr="OALR4L95ELQLZ1Y1LETHM1CS9" hidden="1">
          <a:extLst>
            <a:ext uri="{FF2B5EF4-FFF2-40B4-BE49-F238E27FC236}">
              <a16:creationId xmlns:a16="http://schemas.microsoft.com/office/drawing/2014/main" id="{D93975B7-89B1-4DB7-8ADA-31458FED9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22812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92</xdr:row>
      <xdr:rowOff>0</xdr:rowOff>
    </xdr:from>
    <xdr:ext cx="123825" cy="123825"/>
    <xdr:pic>
      <xdr:nvPicPr>
        <xdr:cNvPr id="290" name="BExSDIVCE09QKG3CT52PHCS6ZJ09" descr="9F076L7EQCF2COMMGCQG6BQGU" hidden="1">
          <a:extLst>
            <a:ext uri="{FF2B5EF4-FFF2-40B4-BE49-F238E27FC236}">
              <a16:creationId xmlns:a16="http://schemas.microsoft.com/office/drawing/2014/main" id="{F18DDDE6-B59B-4847-972B-AFFBCE062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21859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100</xdr:row>
      <xdr:rowOff>0</xdr:rowOff>
    </xdr:from>
    <xdr:ext cx="123825" cy="123825"/>
    <xdr:pic>
      <xdr:nvPicPr>
        <xdr:cNvPr id="291" name="BExS343F8GCKP6HTF9Y97L133DX8" descr="ZRF0KB1IYQSNV63CTXT25G67G" hidden="1">
          <a:extLst>
            <a:ext uri="{FF2B5EF4-FFF2-40B4-BE49-F238E27FC236}">
              <a16:creationId xmlns:a16="http://schemas.microsoft.com/office/drawing/2014/main" id="{A635238B-BA96-4C0C-8763-F533FD723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3383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99</xdr:row>
      <xdr:rowOff>0</xdr:rowOff>
    </xdr:from>
    <xdr:ext cx="123825" cy="123825"/>
    <xdr:pic>
      <xdr:nvPicPr>
        <xdr:cNvPr id="292" name="BExZMRC09W87CY4B73NPZMNH21AH" descr="78CUMI0OVLYJRSDRQ3V2YX812" hidden="1">
          <a:extLst>
            <a:ext uri="{FF2B5EF4-FFF2-40B4-BE49-F238E27FC236}">
              <a16:creationId xmlns:a16="http://schemas.microsoft.com/office/drawing/2014/main" id="{CE9AE449-4050-4506-9CBA-8423D8BE6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3193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98</xdr:row>
      <xdr:rowOff>9525</xdr:rowOff>
    </xdr:from>
    <xdr:ext cx="123825" cy="123825"/>
    <xdr:pic>
      <xdr:nvPicPr>
        <xdr:cNvPr id="293" name="BExZXVFJ4DY4I24AARDT4AMP6EN1" descr="TXSMH2MTH86CYKA26740RQPUC" hidden="1">
          <a:extLst>
            <a:ext uri="{FF2B5EF4-FFF2-40B4-BE49-F238E27FC236}">
              <a16:creationId xmlns:a16="http://schemas.microsoft.com/office/drawing/2014/main" id="{C1245F79-D723-43E8-9EDB-73C752496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30124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97</xdr:row>
      <xdr:rowOff>0</xdr:rowOff>
    </xdr:from>
    <xdr:ext cx="123825" cy="123825"/>
    <xdr:pic>
      <xdr:nvPicPr>
        <xdr:cNvPr id="294" name="BExOCUIOFQWUGTBU5ESTW3EYEP5C" descr="9BNF49V0R6VVYPHEVMJ3ABDQZ" hidden="1">
          <a:extLst>
            <a:ext uri="{FF2B5EF4-FFF2-40B4-BE49-F238E27FC236}">
              <a16:creationId xmlns:a16="http://schemas.microsoft.com/office/drawing/2014/main" id="{7613705A-E45D-412C-BA54-06EBAF457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2812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96</xdr:row>
      <xdr:rowOff>0</xdr:rowOff>
    </xdr:from>
    <xdr:ext cx="123825" cy="123825"/>
    <xdr:pic>
      <xdr:nvPicPr>
        <xdr:cNvPr id="295" name="BExU65O9OE4B4MQ2A3OYH13M8BZJ" descr="3INNIMMPDBB0JF37L81M6ID21" hidden="1">
          <a:extLst>
            <a:ext uri="{FF2B5EF4-FFF2-40B4-BE49-F238E27FC236}">
              <a16:creationId xmlns:a16="http://schemas.microsoft.com/office/drawing/2014/main" id="{9FA1BC70-36FF-4B4A-9C73-D9B6644E5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2621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95</xdr:row>
      <xdr:rowOff>0</xdr:rowOff>
    </xdr:from>
    <xdr:ext cx="123825" cy="123825"/>
    <xdr:pic>
      <xdr:nvPicPr>
        <xdr:cNvPr id="296" name="BExOPRCR0UW7TKXSV5WDTL348FGL" descr="S9JM17GP1802LHN4GT14BJYIC" hidden="1">
          <a:extLst>
            <a:ext uri="{FF2B5EF4-FFF2-40B4-BE49-F238E27FC236}">
              <a16:creationId xmlns:a16="http://schemas.microsoft.com/office/drawing/2014/main" id="{F26F088F-A721-481F-BFF9-36FD99DE9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2431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94</xdr:row>
      <xdr:rowOff>0</xdr:rowOff>
    </xdr:from>
    <xdr:ext cx="123825" cy="123825"/>
    <xdr:pic>
      <xdr:nvPicPr>
        <xdr:cNvPr id="297" name="BEx5OESAY2W8SEGI3TSB65EHJ04B" descr="9CN2Y88X8WYV1HWZG1QILY9BK" hidden="1">
          <a:extLst>
            <a:ext uri="{FF2B5EF4-FFF2-40B4-BE49-F238E27FC236}">
              <a16:creationId xmlns:a16="http://schemas.microsoft.com/office/drawing/2014/main" id="{A4D4805F-CF8D-4882-8A59-74F4AAAB4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2240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93</xdr:row>
      <xdr:rowOff>0</xdr:rowOff>
    </xdr:from>
    <xdr:ext cx="123825" cy="123825"/>
    <xdr:pic>
      <xdr:nvPicPr>
        <xdr:cNvPr id="298" name="BExGMWEQ2BYRY9BAO5T1X850MJN1" descr="AZ9ST0XDIOP50HSUFO5V31BR0" hidden="1">
          <a:extLst>
            <a:ext uri="{FF2B5EF4-FFF2-40B4-BE49-F238E27FC236}">
              <a16:creationId xmlns:a16="http://schemas.microsoft.com/office/drawing/2014/main" id="{CFB49856-331A-4AD0-A593-BAE9F1505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2050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102</xdr:row>
      <xdr:rowOff>9525</xdr:rowOff>
    </xdr:from>
    <xdr:ext cx="47625" cy="47625"/>
    <xdr:pic>
      <xdr:nvPicPr>
        <xdr:cNvPr id="299" name="BExMO7VFCN4EL59982UR4AJ25JNJ" descr="XX6TINEJADZGKR0CTM7ZRT0RA" hidden="1">
          <a:extLst>
            <a:ext uri="{FF2B5EF4-FFF2-40B4-BE49-F238E27FC236}">
              <a16:creationId xmlns:a16="http://schemas.microsoft.com/office/drawing/2014/main" id="{362FC16D-6B0D-44DF-8F17-04C24CFE5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37744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102</xdr:row>
      <xdr:rowOff>85725</xdr:rowOff>
    </xdr:from>
    <xdr:ext cx="47625" cy="47625"/>
    <xdr:pic>
      <xdr:nvPicPr>
        <xdr:cNvPr id="300" name="BExU3EX5JJCXCII4YKUJBFBGIJR2" descr="OF5ZI9PI5WH36VPANJ2DYLNMI" hidden="1">
          <a:extLst>
            <a:ext uri="{FF2B5EF4-FFF2-40B4-BE49-F238E27FC236}">
              <a16:creationId xmlns:a16="http://schemas.microsoft.com/office/drawing/2014/main" id="{BC43DBD7-8BF9-4735-A03F-3DDF797FC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38506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102</xdr:row>
      <xdr:rowOff>9525</xdr:rowOff>
    </xdr:from>
    <xdr:ext cx="47625" cy="47625"/>
    <xdr:pic>
      <xdr:nvPicPr>
        <xdr:cNvPr id="301" name="BEx1KD7H6UB1VYCJ7O61P562EIUY" descr="IQGV9140X0K0UPBL8OGU3I44J" hidden="1">
          <a:extLst>
            <a:ext uri="{FF2B5EF4-FFF2-40B4-BE49-F238E27FC236}">
              <a16:creationId xmlns:a16="http://schemas.microsoft.com/office/drawing/2014/main" id="{E6FB29B1-581A-422B-923A-7D8488A8E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237744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102</xdr:row>
      <xdr:rowOff>85725</xdr:rowOff>
    </xdr:from>
    <xdr:ext cx="47625" cy="47625"/>
    <xdr:pic>
      <xdr:nvPicPr>
        <xdr:cNvPr id="302" name="BEx5BJQWS6YWHH4ZMSUAMD641V6Y" descr="ZTMFMXCIQSECDX38ALEFHUB00" hidden="1">
          <a:extLst>
            <a:ext uri="{FF2B5EF4-FFF2-40B4-BE49-F238E27FC236}">
              <a16:creationId xmlns:a16="http://schemas.microsoft.com/office/drawing/2014/main" id="{873C04BB-7650-447D-927D-3F343EFED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238506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102</xdr:row>
      <xdr:rowOff>9525</xdr:rowOff>
    </xdr:from>
    <xdr:ext cx="47625" cy="47625"/>
    <xdr:pic>
      <xdr:nvPicPr>
        <xdr:cNvPr id="303" name="BExVTO5Q8G2M7BPL4B2584LQS0R0" descr="OB6Q8NA4LZFE4GM9Y3V56BPMQ" hidden="1">
          <a:extLst>
            <a:ext uri="{FF2B5EF4-FFF2-40B4-BE49-F238E27FC236}">
              <a16:creationId xmlns:a16="http://schemas.microsoft.com/office/drawing/2014/main" id="{CD7C210C-23E3-4E24-8A2F-35921F6CA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28900" y="237744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102</xdr:row>
      <xdr:rowOff>85725</xdr:rowOff>
    </xdr:from>
    <xdr:ext cx="47625" cy="47625"/>
    <xdr:pic>
      <xdr:nvPicPr>
        <xdr:cNvPr id="304" name="BExIFSCLN1G86X78PFLTSMRP0US5" descr="9JK4SPV4DG7VTCZIILWHXQU5J" hidden="1">
          <a:extLst>
            <a:ext uri="{FF2B5EF4-FFF2-40B4-BE49-F238E27FC236}">
              <a16:creationId xmlns:a16="http://schemas.microsoft.com/office/drawing/2014/main" id="{E442C4FF-A844-4B40-A454-0EA6149A6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28900" y="238506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102</xdr:row>
      <xdr:rowOff>9525</xdr:rowOff>
    </xdr:from>
    <xdr:ext cx="47625" cy="47625"/>
    <xdr:pic>
      <xdr:nvPicPr>
        <xdr:cNvPr id="305" name="BEx1I152WN2D3A85O2XN0DGXCWHN" descr="KHBZFMANRA4UMJR1AB4M5NJNT" hidden="1">
          <a:extLst>
            <a:ext uri="{FF2B5EF4-FFF2-40B4-BE49-F238E27FC236}">
              <a16:creationId xmlns:a16="http://schemas.microsoft.com/office/drawing/2014/main" id="{B26E0697-572C-43DA-A707-56D169A5A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37744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102</xdr:row>
      <xdr:rowOff>85725</xdr:rowOff>
    </xdr:from>
    <xdr:ext cx="47625" cy="47625"/>
    <xdr:pic>
      <xdr:nvPicPr>
        <xdr:cNvPr id="306" name="BExW9676P0SKCVKK25QCGHPA3PAD" descr="9A4PWZ20RMSRF0PNECCDM75CA" hidden="1">
          <a:extLst>
            <a:ext uri="{FF2B5EF4-FFF2-40B4-BE49-F238E27FC236}">
              <a16:creationId xmlns:a16="http://schemas.microsoft.com/office/drawing/2014/main" id="{AC0B9A24-6060-4429-9D3C-9AE637552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38506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104</xdr:row>
      <xdr:rowOff>0</xdr:rowOff>
    </xdr:from>
    <xdr:ext cx="123825" cy="123825"/>
    <xdr:pic>
      <xdr:nvPicPr>
        <xdr:cNvPr id="307" name="BExW253QPOZK9KW8BJC3LBXGCG2N" descr="Y5HX37BEUWSN1NEFJKZJXI3SX" hidden="1">
          <a:extLst>
            <a:ext uri="{FF2B5EF4-FFF2-40B4-BE49-F238E27FC236}">
              <a16:creationId xmlns:a16="http://schemas.microsoft.com/office/drawing/2014/main" id="{316E052C-C8DB-4507-8B61-A282D9BFF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24669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102</xdr:row>
      <xdr:rowOff>9525</xdr:rowOff>
    </xdr:from>
    <xdr:ext cx="47625" cy="47625"/>
    <xdr:pic>
      <xdr:nvPicPr>
        <xdr:cNvPr id="308" name="BExS5CPQ8P8JOQPK7ANNKHLSGOKU" hidden="1">
          <a:extLst>
            <a:ext uri="{FF2B5EF4-FFF2-40B4-BE49-F238E27FC236}">
              <a16:creationId xmlns:a16="http://schemas.microsoft.com/office/drawing/2014/main" id="{5CA369D4-55FB-4E1E-AFBF-085995803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37744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102</xdr:row>
      <xdr:rowOff>85725</xdr:rowOff>
    </xdr:from>
    <xdr:ext cx="47625" cy="47625"/>
    <xdr:pic>
      <xdr:nvPicPr>
        <xdr:cNvPr id="309" name="BExMM0AVUAIRNJLXB1FW8R0YB4ZZ" hidden="1">
          <a:extLst>
            <a:ext uri="{FF2B5EF4-FFF2-40B4-BE49-F238E27FC236}">
              <a16:creationId xmlns:a16="http://schemas.microsoft.com/office/drawing/2014/main" id="{DD2CB625-3B35-4730-A838-AD69BF3CF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38506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102</xdr:row>
      <xdr:rowOff>9525</xdr:rowOff>
    </xdr:from>
    <xdr:ext cx="47625" cy="47625"/>
    <xdr:pic>
      <xdr:nvPicPr>
        <xdr:cNvPr id="310" name="BExXZ7Y09CBS0XA7IPB3IRJ8RJM4" hidden="1">
          <a:extLst>
            <a:ext uri="{FF2B5EF4-FFF2-40B4-BE49-F238E27FC236}">
              <a16:creationId xmlns:a16="http://schemas.microsoft.com/office/drawing/2014/main" id="{F4DFA03C-2399-46FD-9192-2B6B00E78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37744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102</xdr:row>
      <xdr:rowOff>85725</xdr:rowOff>
    </xdr:from>
    <xdr:ext cx="47625" cy="47625"/>
    <xdr:pic>
      <xdr:nvPicPr>
        <xdr:cNvPr id="311" name="BExQ7SXS9VUG7P6CACU2J7R2SGIZ" hidden="1">
          <a:extLst>
            <a:ext uri="{FF2B5EF4-FFF2-40B4-BE49-F238E27FC236}">
              <a16:creationId xmlns:a16="http://schemas.microsoft.com/office/drawing/2014/main" id="{1A0D2BEE-9353-4C77-8F91-6C25E5DB3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38506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102</xdr:row>
      <xdr:rowOff>9525</xdr:rowOff>
    </xdr:from>
    <xdr:ext cx="47625" cy="47625"/>
    <xdr:pic>
      <xdr:nvPicPr>
        <xdr:cNvPr id="312" name="BEx5AQZ4ETQ9LMY5EBWVH20Z7VXQ" hidden="1">
          <a:extLst>
            <a:ext uri="{FF2B5EF4-FFF2-40B4-BE49-F238E27FC236}">
              <a16:creationId xmlns:a16="http://schemas.microsoft.com/office/drawing/2014/main" id="{CC70F987-DCA4-4D6A-BFC1-29063E9A3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237744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102</xdr:row>
      <xdr:rowOff>85725</xdr:rowOff>
    </xdr:from>
    <xdr:ext cx="47625" cy="47625"/>
    <xdr:pic>
      <xdr:nvPicPr>
        <xdr:cNvPr id="313" name="BExUBK0YZ5VYFY8TTITJGJU9S06A" hidden="1">
          <a:extLst>
            <a:ext uri="{FF2B5EF4-FFF2-40B4-BE49-F238E27FC236}">
              <a16:creationId xmlns:a16="http://schemas.microsoft.com/office/drawing/2014/main" id="{71CD1602-7B30-42E3-A22F-B42E6B672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238506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102</xdr:row>
      <xdr:rowOff>9525</xdr:rowOff>
    </xdr:from>
    <xdr:ext cx="47625" cy="47625"/>
    <xdr:pic>
      <xdr:nvPicPr>
        <xdr:cNvPr id="314" name="BExUEZCSSJ7RN4J18I2NUIQR2FZS" hidden="1">
          <a:extLst>
            <a:ext uri="{FF2B5EF4-FFF2-40B4-BE49-F238E27FC236}">
              <a16:creationId xmlns:a16="http://schemas.microsoft.com/office/drawing/2014/main" id="{76213FD9-8E4D-4D70-9CCF-812F211D8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38425" y="237744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102</xdr:row>
      <xdr:rowOff>85725</xdr:rowOff>
    </xdr:from>
    <xdr:ext cx="47625" cy="47625"/>
    <xdr:pic>
      <xdr:nvPicPr>
        <xdr:cNvPr id="315" name="BExS3JDQWF7U3F5JTEVOE16ASIYK" hidden="1">
          <a:extLst>
            <a:ext uri="{FF2B5EF4-FFF2-40B4-BE49-F238E27FC236}">
              <a16:creationId xmlns:a16="http://schemas.microsoft.com/office/drawing/2014/main" id="{3FC03377-74B8-4551-A415-3DF29AEE8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38425" y="238506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105</xdr:row>
      <xdr:rowOff>0</xdr:rowOff>
    </xdr:from>
    <xdr:ext cx="123825" cy="123825"/>
    <xdr:pic>
      <xdr:nvPicPr>
        <xdr:cNvPr id="316" name="BEx973S463FCQVJ7QDFBUIU0WJ3F" descr="ZQTVYL8DCSADVT0QMRXFLU0TR" hidden="1">
          <a:extLst>
            <a:ext uri="{FF2B5EF4-FFF2-40B4-BE49-F238E27FC236}">
              <a16:creationId xmlns:a16="http://schemas.microsoft.com/office/drawing/2014/main" id="{A77BEE61-0E61-4875-95B0-B72F2E418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24860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104</xdr:row>
      <xdr:rowOff>0</xdr:rowOff>
    </xdr:from>
    <xdr:ext cx="123825" cy="123825"/>
    <xdr:pic>
      <xdr:nvPicPr>
        <xdr:cNvPr id="317" name="BEx5FXJGJOT93D0J2IRJ3985IUMI" hidden="1">
          <a:extLst>
            <a:ext uri="{FF2B5EF4-FFF2-40B4-BE49-F238E27FC236}">
              <a16:creationId xmlns:a16="http://schemas.microsoft.com/office/drawing/2014/main" id="{82AB61BB-16E9-4835-B42F-90E180E01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4669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103</xdr:row>
      <xdr:rowOff>0</xdr:rowOff>
    </xdr:from>
    <xdr:ext cx="123825" cy="123825"/>
    <xdr:pic>
      <xdr:nvPicPr>
        <xdr:cNvPr id="318" name="BEx3RTMHAR35NUAAK49TV6NU7EPA" descr="QFXLG4ZCXTRQSJYFCKJ58G9N8" hidden="1">
          <a:extLst>
            <a:ext uri="{FF2B5EF4-FFF2-40B4-BE49-F238E27FC236}">
              <a16:creationId xmlns:a16="http://schemas.microsoft.com/office/drawing/2014/main" id="{2E623BC7-FC92-41D7-B889-D5176289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24479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106</xdr:row>
      <xdr:rowOff>0</xdr:rowOff>
    </xdr:from>
    <xdr:ext cx="123825" cy="123825"/>
    <xdr:pic>
      <xdr:nvPicPr>
        <xdr:cNvPr id="319" name="BExS8T38WLC2R738ZC7BDJQAKJAJ" descr="MRI962L5PB0E0YWXCIBN82VJH" hidden="1">
          <a:extLst>
            <a:ext uri="{FF2B5EF4-FFF2-40B4-BE49-F238E27FC236}">
              <a16:creationId xmlns:a16="http://schemas.microsoft.com/office/drawing/2014/main" id="{014BFE9E-2B9F-410F-941C-CC13413B1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25050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104</xdr:row>
      <xdr:rowOff>0</xdr:rowOff>
    </xdr:from>
    <xdr:ext cx="123825" cy="123825"/>
    <xdr:pic>
      <xdr:nvPicPr>
        <xdr:cNvPr id="320" name="BEx5F64BJ6DCM4EJH81D5ZFNPZ0V" descr="7DJ9FILZD2YPS6X1JBP9E76TU" hidden="1">
          <a:extLst>
            <a:ext uri="{FF2B5EF4-FFF2-40B4-BE49-F238E27FC236}">
              <a16:creationId xmlns:a16="http://schemas.microsoft.com/office/drawing/2014/main" id="{C52A44E3-E443-488C-8022-84ED044C7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4669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104</xdr:row>
      <xdr:rowOff>0</xdr:rowOff>
    </xdr:from>
    <xdr:ext cx="123825" cy="123825"/>
    <xdr:pic>
      <xdr:nvPicPr>
        <xdr:cNvPr id="321" name="BExQEXXHA3EEXR44LT6RKCDWM6ZT" hidden="1">
          <a:extLst>
            <a:ext uri="{FF2B5EF4-FFF2-40B4-BE49-F238E27FC236}">
              <a16:creationId xmlns:a16="http://schemas.microsoft.com/office/drawing/2014/main" id="{2197FB9A-9371-4C6B-8148-7BC480A69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4669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108</xdr:row>
      <xdr:rowOff>0</xdr:rowOff>
    </xdr:from>
    <xdr:ext cx="123825" cy="123825"/>
    <xdr:pic>
      <xdr:nvPicPr>
        <xdr:cNvPr id="322" name="BEx1X6AMHV6ZK3UJB2BXIJTJHYJU" descr="OALR4L95ELQLZ1Y1LETHM1CS9" hidden="1">
          <a:extLst>
            <a:ext uri="{FF2B5EF4-FFF2-40B4-BE49-F238E27FC236}">
              <a16:creationId xmlns:a16="http://schemas.microsoft.com/office/drawing/2014/main" id="{0A854504-A6D9-424F-B6D1-417BF535F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25431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103</xdr:row>
      <xdr:rowOff>0</xdr:rowOff>
    </xdr:from>
    <xdr:ext cx="123825" cy="123825"/>
    <xdr:pic>
      <xdr:nvPicPr>
        <xdr:cNvPr id="323" name="BExSDIVCE09QKG3CT52PHCS6ZJ09" descr="9F076L7EQCF2COMMGCQG6BQGU" hidden="1">
          <a:extLst>
            <a:ext uri="{FF2B5EF4-FFF2-40B4-BE49-F238E27FC236}">
              <a16:creationId xmlns:a16="http://schemas.microsoft.com/office/drawing/2014/main" id="{52955EC5-025F-45C2-BF1F-B753A94DD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24479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111</xdr:row>
      <xdr:rowOff>0</xdr:rowOff>
    </xdr:from>
    <xdr:ext cx="123825" cy="123825"/>
    <xdr:pic>
      <xdr:nvPicPr>
        <xdr:cNvPr id="324" name="BExS343F8GCKP6HTF9Y97L133DX8" descr="ZRF0KB1IYQSNV63CTXT25G67G" hidden="1">
          <a:extLst>
            <a:ext uri="{FF2B5EF4-FFF2-40B4-BE49-F238E27FC236}">
              <a16:creationId xmlns:a16="http://schemas.microsoft.com/office/drawing/2014/main" id="{ACC28C77-39CB-49BB-98D5-A790F81F4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6003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110</xdr:row>
      <xdr:rowOff>0</xdr:rowOff>
    </xdr:from>
    <xdr:ext cx="123825" cy="123825"/>
    <xdr:pic>
      <xdr:nvPicPr>
        <xdr:cNvPr id="325" name="BExZMRC09W87CY4B73NPZMNH21AH" descr="78CUMI0OVLYJRSDRQ3V2YX812" hidden="1">
          <a:extLst>
            <a:ext uri="{FF2B5EF4-FFF2-40B4-BE49-F238E27FC236}">
              <a16:creationId xmlns:a16="http://schemas.microsoft.com/office/drawing/2014/main" id="{22074AC8-5B0E-42AE-8971-28F179263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5812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109</xdr:row>
      <xdr:rowOff>9525</xdr:rowOff>
    </xdr:from>
    <xdr:ext cx="123825" cy="123825"/>
    <xdr:pic>
      <xdr:nvPicPr>
        <xdr:cNvPr id="326" name="BExZXVFJ4DY4I24AARDT4AMP6EN1" descr="TXSMH2MTH86CYKA26740RQPUC" hidden="1">
          <a:extLst>
            <a:ext uri="{FF2B5EF4-FFF2-40B4-BE49-F238E27FC236}">
              <a16:creationId xmlns:a16="http://schemas.microsoft.com/office/drawing/2014/main" id="{31FE73CA-C3AC-466A-8D4A-7D6DE1C7D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56317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108</xdr:row>
      <xdr:rowOff>0</xdr:rowOff>
    </xdr:from>
    <xdr:ext cx="123825" cy="123825"/>
    <xdr:pic>
      <xdr:nvPicPr>
        <xdr:cNvPr id="327" name="BExOCUIOFQWUGTBU5ESTW3EYEP5C" descr="9BNF49V0R6VVYPHEVMJ3ABDQZ" hidden="1">
          <a:extLst>
            <a:ext uri="{FF2B5EF4-FFF2-40B4-BE49-F238E27FC236}">
              <a16:creationId xmlns:a16="http://schemas.microsoft.com/office/drawing/2014/main" id="{01D750E0-6624-426C-A2EB-C34F07F33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5431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107</xdr:row>
      <xdr:rowOff>0</xdr:rowOff>
    </xdr:from>
    <xdr:ext cx="123825" cy="123825"/>
    <xdr:pic>
      <xdr:nvPicPr>
        <xdr:cNvPr id="328" name="BExU65O9OE4B4MQ2A3OYH13M8BZJ" descr="3INNIMMPDBB0JF37L81M6ID21" hidden="1">
          <a:extLst>
            <a:ext uri="{FF2B5EF4-FFF2-40B4-BE49-F238E27FC236}">
              <a16:creationId xmlns:a16="http://schemas.microsoft.com/office/drawing/2014/main" id="{CA674C15-4B38-4D1B-819B-ABC2D6243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5241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106</xdr:row>
      <xdr:rowOff>0</xdr:rowOff>
    </xdr:from>
    <xdr:ext cx="123825" cy="123825"/>
    <xdr:pic>
      <xdr:nvPicPr>
        <xdr:cNvPr id="329" name="BExOPRCR0UW7TKXSV5WDTL348FGL" descr="S9JM17GP1802LHN4GT14BJYIC" hidden="1">
          <a:extLst>
            <a:ext uri="{FF2B5EF4-FFF2-40B4-BE49-F238E27FC236}">
              <a16:creationId xmlns:a16="http://schemas.microsoft.com/office/drawing/2014/main" id="{C0992038-4D65-4ADC-AE86-C5E782961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5050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105</xdr:row>
      <xdr:rowOff>0</xdr:rowOff>
    </xdr:from>
    <xdr:ext cx="123825" cy="123825"/>
    <xdr:pic>
      <xdr:nvPicPr>
        <xdr:cNvPr id="330" name="BEx5OESAY2W8SEGI3TSB65EHJ04B" descr="9CN2Y88X8WYV1HWZG1QILY9BK" hidden="1">
          <a:extLst>
            <a:ext uri="{FF2B5EF4-FFF2-40B4-BE49-F238E27FC236}">
              <a16:creationId xmlns:a16="http://schemas.microsoft.com/office/drawing/2014/main" id="{C9C6B2C3-6589-4CBD-B912-C2C817AF0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4860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104</xdr:row>
      <xdr:rowOff>0</xdr:rowOff>
    </xdr:from>
    <xdr:ext cx="123825" cy="123825"/>
    <xdr:pic>
      <xdr:nvPicPr>
        <xdr:cNvPr id="331" name="BExGMWEQ2BYRY9BAO5T1X850MJN1" descr="AZ9ST0XDIOP50HSUFO5V31BR0" hidden="1">
          <a:extLst>
            <a:ext uri="{FF2B5EF4-FFF2-40B4-BE49-F238E27FC236}">
              <a16:creationId xmlns:a16="http://schemas.microsoft.com/office/drawing/2014/main" id="{A3B98B7D-0581-4C1A-ACE6-12E1A9F17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4669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113</xdr:row>
      <xdr:rowOff>9525</xdr:rowOff>
    </xdr:from>
    <xdr:ext cx="47625" cy="47625"/>
    <xdr:pic>
      <xdr:nvPicPr>
        <xdr:cNvPr id="332" name="BExMO7VFCN4EL59982UR4AJ25JNJ" descr="XX6TINEJADZGKR0CTM7ZRT0RA" hidden="1">
          <a:extLst>
            <a:ext uri="{FF2B5EF4-FFF2-40B4-BE49-F238E27FC236}">
              <a16:creationId xmlns:a16="http://schemas.microsoft.com/office/drawing/2014/main" id="{33C2CB18-7B7D-4D30-8FED-F7A697F25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63937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113</xdr:row>
      <xdr:rowOff>85725</xdr:rowOff>
    </xdr:from>
    <xdr:ext cx="47625" cy="47625"/>
    <xdr:pic>
      <xdr:nvPicPr>
        <xdr:cNvPr id="333" name="BExU3EX5JJCXCII4YKUJBFBGIJR2" descr="OF5ZI9PI5WH36VPANJ2DYLNMI" hidden="1">
          <a:extLst>
            <a:ext uri="{FF2B5EF4-FFF2-40B4-BE49-F238E27FC236}">
              <a16:creationId xmlns:a16="http://schemas.microsoft.com/office/drawing/2014/main" id="{2DB945DB-8BA5-4061-8C3F-0BE2FAF75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6469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113</xdr:row>
      <xdr:rowOff>9525</xdr:rowOff>
    </xdr:from>
    <xdr:ext cx="47625" cy="47625"/>
    <xdr:pic>
      <xdr:nvPicPr>
        <xdr:cNvPr id="334" name="BEx1KD7H6UB1VYCJ7O61P562EIUY" descr="IQGV9140X0K0UPBL8OGU3I44J" hidden="1">
          <a:extLst>
            <a:ext uri="{FF2B5EF4-FFF2-40B4-BE49-F238E27FC236}">
              <a16:creationId xmlns:a16="http://schemas.microsoft.com/office/drawing/2014/main" id="{76D45C08-361F-4B1E-BB1D-97DA4D24D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263937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113</xdr:row>
      <xdr:rowOff>85725</xdr:rowOff>
    </xdr:from>
    <xdr:ext cx="47625" cy="47625"/>
    <xdr:pic>
      <xdr:nvPicPr>
        <xdr:cNvPr id="335" name="BEx5BJQWS6YWHH4ZMSUAMD641V6Y" descr="ZTMFMXCIQSECDX38ALEFHUB00" hidden="1">
          <a:extLst>
            <a:ext uri="{FF2B5EF4-FFF2-40B4-BE49-F238E27FC236}">
              <a16:creationId xmlns:a16="http://schemas.microsoft.com/office/drawing/2014/main" id="{8A37BB67-669B-4D0F-B879-1D46311B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26469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113</xdr:row>
      <xdr:rowOff>9525</xdr:rowOff>
    </xdr:from>
    <xdr:ext cx="47625" cy="47625"/>
    <xdr:pic>
      <xdr:nvPicPr>
        <xdr:cNvPr id="336" name="BExVTO5Q8G2M7BPL4B2584LQS0R0" descr="OB6Q8NA4LZFE4GM9Y3V56BPMQ" hidden="1">
          <a:extLst>
            <a:ext uri="{FF2B5EF4-FFF2-40B4-BE49-F238E27FC236}">
              <a16:creationId xmlns:a16="http://schemas.microsoft.com/office/drawing/2014/main" id="{6AD57D31-7438-481E-9A38-9914423A1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28900" y="263937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113</xdr:row>
      <xdr:rowOff>85725</xdr:rowOff>
    </xdr:from>
    <xdr:ext cx="47625" cy="47625"/>
    <xdr:pic>
      <xdr:nvPicPr>
        <xdr:cNvPr id="337" name="BExIFSCLN1G86X78PFLTSMRP0US5" descr="9JK4SPV4DG7VTCZIILWHXQU5J" hidden="1">
          <a:extLst>
            <a:ext uri="{FF2B5EF4-FFF2-40B4-BE49-F238E27FC236}">
              <a16:creationId xmlns:a16="http://schemas.microsoft.com/office/drawing/2014/main" id="{895FD46E-F84A-47F3-B247-661843937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28900" y="26469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113</xdr:row>
      <xdr:rowOff>9525</xdr:rowOff>
    </xdr:from>
    <xdr:ext cx="47625" cy="47625"/>
    <xdr:pic>
      <xdr:nvPicPr>
        <xdr:cNvPr id="338" name="BEx1I152WN2D3A85O2XN0DGXCWHN" descr="KHBZFMANRA4UMJR1AB4M5NJNT" hidden="1">
          <a:extLst>
            <a:ext uri="{FF2B5EF4-FFF2-40B4-BE49-F238E27FC236}">
              <a16:creationId xmlns:a16="http://schemas.microsoft.com/office/drawing/2014/main" id="{3E20F1E5-62AE-4D0A-ACD7-4DADFA17A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63937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113</xdr:row>
      <xdr:rowOff>85725</xdr:rowOff>
    </xdr:from>
    <xdr:ext cx="47625" cy="47625"/>
    <xdr:pic>
      <xdr:nvPicPr>
        <xdr:cNvPr id="339" name="BExW9676P0SKCVKK25QCGHPA3PAD" descr="9A4PWZ20RMSRF0PNECCDM75CA" hidden="1">
          <a:extLst>
            <a:ext uri="{FF2B5EF4-FFF2-40B4-BE49-F238E27FC236}">
              <a16:creationId xmlns:a16="http://schemas.microsoft.com/office/drawing/2014/main" id="{0EC69BC3-DF62-4103-9397-C2D4CAAB7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6469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115</xdr:row>
      <xdr:rowOff>0</xdr:rowOff>
    </xdr:from>
    <xdr:ext cx="123825" cy="123825"/>
    <xdr:pic>
      <xdr:nvPicPr>
        <xdr:cNvPr id="340" name="BExW253QPOZK9KW8BJC3LBXGCG2N" descr="Y5HX37BEUWSN1NEFJKZJXI3SX" hidden="1">
          <a:extLst>
            <a:ext uri="{FF2B5EF4-FFF2-40B4-BE49-F238E27FC236}">
              <a16:creationId xmlns:a16="http://schemas.microsoft.com/office/drawing/2014/main" id="{8F6DD176-1AC8-43F5-9B00-760F82728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27289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113</xdr:row>
      <xdr:rowOff>9525</xdr:rowOff>
    </xdr:from>
    <xdr:ext cx="47625" cy="47625"/>
    <xdr:pic>
      <xdr:nvPicPr>
        <xdr:cNvPr id="341" name="BExS5CPQ8P8JOQPK7ANNKHLSGOKU" hidden="1">
          <a:extLst>
            <a:ext uri="{FF2B5EF4-FFF2-40B4-BE49-F238E27FC236}">
              <a16:creationId xmlns:a16="http://schemas.microsoft.com/office/drawing/2014/main" id="{C46ADDC1-2DAB-42B0-9162-4DE7D1E79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63937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113</xdr:row>
      <xdr:rowOff>85725</xdr:rowOff>
    </xdr:from>
    <xdr:ext cx="47625" cy="47625"/>
    <xdr:pic>
      <xdr:nvPicPr>
        <xdr:cNvPr id="342" name="BExMM0AVUAIRNJLXB1FW8R0YB4ZZ" hidden="1">
          <a:extLst>
            <a:ext uri="{FF2B5EF4-FFF2-40B4-BE49-F238E27FC236}">
              <a16:creationId xmlns:a16="http://schemas.microsoft.com/office/drawing/2014/main" id="{535DEA5D-FA46-4EEC-9DB4-572727148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6469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113</xdr:row>
      <xdr:rowOff>9525</xdr:rowOff>
    </xdr:from>
    <xdr:ext cx="47625" cy="47625"/>
    <xdr:pic>
      <xdr:nvPicPr>
        <xdr:cNvPr id="343" name="BExXZ7Y09CBS0XA7IPB3IRJ8RJM4" hidden="1">
          <a:extLst>
            <a:ext uri="{FF2B5EF4-FFF2-40B4-BE49-F238E27FC236}">
              <a16:creationId xmlns:a16="http://schemas.microsoft.com/office/drawing/2014/main" id="{FC748063-383C-4FA0-9C81-7940BEC06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63937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113</xdr:row>
      <xdr:rowOff>85725</xdr:rowOff>
    </xdr:from>
    <xdr:ext cx="47625" cy="47625"/>
    <xdr:pic>
      <xdr:nvPicPr>
        <xdr:cNvPr id="344" name="BExQ7SXS9VUG7P6CACU2J7R2SGIZ" hidden="1">
          <a:extLst>
            <a:ext uri="{FF2B5EF4-FFF2-40B4-BE49-F238E27FC236}">
              <a16:creationId xmlns:a16="http://schemas.microsoft.com/office/drawing/2014/main" id="{19F5E689-3081-4514-85EB-2338D4A0E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6469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113</xdr:row>
      <xdr:rowOff>9525</xdr:rowOff>
    </xdr:from>
    <xdr:ext cx="47625" cy="47625"/>
    <xdr:pic>
      <xdr:nvPicPr>
        <xdr:cNvPr id="345" name="BEx5AQZ4ETQ9LMY5EBWVH20Z7VXQ" hidden="1">
          <a:extLst>
            <a:ext uri="{FF2B5EF4-FFF2-40B4-BE49-F238E27FC236}">
              <a16:creationId xmlns:a16="http://schemas.microsoft.com/office/drawing/2014/main" id="{226528DF-6224-42E0-933E-D1FCA9F43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263937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113</xdr:row>
      <xdr:rowOff>85725</xdr:rowOff>
    </xdr:from>
    <xdr:ext cx="47625" cy="47625"/>
    <xdr:pic>
      <xdr:nvPicPr>
        <xdr:cNvPr id="346" name="BExUBK0YZ5VYFY8TTITJGJU9S06A" hidden="1">
          <a:extLst>
            <a:ext uri="{FF2B5EF4-FFF2-40B4-BE49-F238E27FC236}">
              <a16:creationId xmlns:a16="http://schemas.microsoft.com/office/drawing/2014/main" id="{8B2BBEEA-2BF4-46F4-A440-082DDA8DB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26469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113</xdr:row>
      <xdr:rowOff>9525</xdr:rowOff>
    </xdr:from>
    <xdr:ext cx="47625" cy="47625"/>
    <xdr:pic>
      <xdr:nvPicPr>
        <xdr:cNvPr id="347" name="BExUEZCSSJ7RN4J18I2NUIQR2FZS" hidden="1">
          <a:extLst>
            <a:ext uri="{FF2B5EF4-FFF2-40B4-BE49-F238E27FC236}">
              <a16:creationId xmlns:a16="http://schemas.microsoft.com/office/drawing/2014/main" id="{D35636CB-92D5-4D75-B82D-993DB436A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38425" y="263937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113</xdr:row>
      <xdr:rowOff>85725</xdr:rowOff>
    </xdr:from>
    <xdr:ext cx="47625" cy="47625"/>
    <xdr:pic>
      <xdr:nvPicPr>
        <xdr:cNvPr id="348" name="BExS3JDQWF7U3F5JTEVOE16ASIYK" hidden="1">
          <a:extLst>
            <a:ext uri="{FF2B5EF4-FFF2-40B4-BE49-F238E27FC236}">
              <a16:creationId xmlns:a16="http://schemas.microsoft.com/office/drawing/2014/main" id="{3FFF6627-21D9-4046-9388-4A3200BE2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38425" y="26469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116</xdr:row>
      <xdr:rowOff>0</xdr:rowOff>
    </xdr:from>
    <xdr:ext cx="123825" cy="123825"/>
    <xdr:pic>
      <xdr:nvPicPr>
        <xdr:cNvPr id="349" name="BEx973S463FCQVJ7QDFBUIU0WJ3F" descr="ZQTVYL8DCSADVT0QMRXFLU0TR" hidden="1">
          <a:extLst>
            <a:ext uri="{FF2B5EF4-FFF2-40B4-BE49-F238E27FC236}">
              <a16:creationId xmlns:a16="http://schemas.microsoft.com/office/drawing/2014/main" id="{B59EEDF0-05EF-427E-9653-D2C41918D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27479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115</xdr:row>
      <xdr:rowOff>0</xdr:rowOff>
    </xdr:from>
    <xdr:ext cx="123825" cy="123825"/>
    <xdr:pic>
      <xdr:nvPicPr>
        <xdr:cNvPr id="350" name="BEx5FXJGJOT93D0J2IRJ3985IUMI" hidden="1">
          <a:extLst>
            <a:ext uri="{FF2B5EF4-FFF2-40B4-BE49-F238E27FC236}">
              <a16:creationId xmlns:a16="http://schemas.microsoft.com/office/drawing/2014/main" id="{EE3DEB13-5468-497A-A693-8C4BD69FD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7289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114</xdr:row>
      <xdr:rowOff>0</xdr:rowOff>
    </xdr:from>
    <xdr:ext cx="123825" cy="123825"/>
    <xdr:pic>
      <xdr:nvPicPr>
        <xdr:cNvPr id="351" name="BEx3RTMHAR35NUAAK49TV6NU7EPA" descr="QFXLG4ZCXTRQSJYFCKJ58G9N8" hidden="1">
          <a:extLst>
            <a:ext uri="{FF2B5EF4-FFF2-40B4-BE49-F238E27FC236}">
              <a16:creationId xmlns:a16="http://schemas.microsoft.com/office/drawing/2014/main" id="{8699F843-5F31-4CE8-A8B3-A11D9F941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27098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117</xdr:row>
      <xdr:rowOff>0</xdr:rowOff>
    </xdr:from>
    <xdr:ext cx="123825" cy="123825"/>
    <xdr:pic>
      <xdr:nvPicPr>
        <xdr:cNvPr id="352" name="BExS8T38WLC2R738ZC7BDJQAKJAJ" descr="MRI962L5PB0E0YWXCIBN82VJH" hidden="1">
          <a:extLst>
            <a:ext uri="{FF2B5EF4-FFF2-40B4-BE49-F238E27FC236}">
              <a16:creationId xmlns:a16="http://schemas.microsoft.com/office/drawing/2014/main" id="{3E6B7565-288B-46BD-98AB-6B9C9316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27670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115</xdr:row>
      <xdr:rowOff>0</xdr:rowOff>
    </xdr:from>
    <xdr:ext cx="123825" cy="123825"/>
    <xdr:pic>
      <xdr:nvPicPr>
        <xdr:cNvPr id="353" name="BEx5F64BJ6DCM4EJH81D5ZFNPZ0V" descr="7DJ9FILZD2YPS6X1JBP9E76TU" hidden="1">
          <a:extLst>
            <a:ext uri="{FF2B5EF4-FFF2-40B4-BE49-F238E27FC236}">
              <a16:creationId xmlns:a16="http://schemas.microsoft.com/office/drawing/2014/main" id="{1A3A6775-FEC9-4ABD-848D-6A565793A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7289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115</xdr:row>
      <xdr:rowOff>0</xdr:rowOff>
    </xdr:from>
    <xdr:ext cx="123825" cy="123825"/>
    <xdr:pic>
      <xdr:nvPicPr>
        <xdr:cNvPr id="354" name="BExQEXXHA3EEXR44LT6RKCDWM6ZT" hidden="1">
          <a:extLst>
            <a:ext uri="{FF2B5EF4-FFF2-40B4-BE49-F238E27FC236}">
              <a16:creationId xmlns:a16="http://schemas.microsoft.com/office/drawing/2014/main" id="{DCBAF0F5-22D7-4BC0-9899-F45D477C1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7289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119</xdr:row>
      <xdr:rowOff>0</xdr:rowOff>
    </xdr:from>
    <xdr:ext cx="123825" cy="123825"/>
    <xdr:pic>
      <xdr:nvPicPr>
        <xdr:cNvPr id="355" name="BEx1X6AMHV6ZK3UJB2BXIJTJHYJU" descr="OALR4L95ELQLZ1Y1LETHM1CS9" hidden="1">
          <a:extLst>
            <a:ext uri="{FF2B5EF4-FFF2-40B4-BE49-F238E27FC236}">
              <a16:creationId xmlns:a16="http://schemas.microsoft.com/office/drawing/2014/main" id="{7B5F3C55-0128-457F-91C9-90DAA40F8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28051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114</xdr:row>
      <xdr:rowOff>0</xdr:rowOff>
    </xdr:from>
    <xdr:ext cx="123825" cy="123825"/>
    <xdr:pic>
      <xdr:nvPicPr>
        <xdr:cNvPr id="356" name="BExSDIVCE09QKG3CT52PHCS6ZJ09" descr="9F076L7EQCF2COMMGCQG6BQGU" hidden="1">
          <a:extLst>
            <a:ext uri="{FF2B5EF4-FFF2-40B4-BE49-F238E27FC236}">
              <a16:creationId xmlns:a16="http://schemas.microsoft.com/office/drawing/2014/main" id="{2490DA90-23E9-4515-ABCF-6383ABE74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27098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122</xdr:row>
      <xdr:rowOff>0</xdr:rowOff>
    </xdr:from>
    <xdr:ext cx="123825" cy="123825"/>
    <xdr:pic>
      <xdr:nvPicPr>
        <xdr:cNvPr id="357" name="BExS343F8GCKP6HTF9Y97L133DX8" descr="ZRF0KB1IYQSNV63CTXT25G67G" hidden="1">
          <a:extLst>
            <a:ext uri="{FF2B5EF4-FFF2-40B4-BE49-F238E27FC236}">
              <a16:creationId xmlns:a16="http://schemas.microsoft.com/office/drawing/2014/main" id="{AE02E39D-078B-4AB1-AFA1-34017C772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8622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121</xdr:row>
      <xdr:rowOff>0</xdr:rowOff>
    </xdr:from>
    <xdr:ext cx="123825" cy="123825"/>
    <xdr:pic>
      <xdr:nvPicPr>
        <xdr:cNvPr id="358" name="BExZMRC09W87CY4B73NPZMNH21AH" descr="78CUMI0OVLYJRSDRQ3V2YX812" hidden="1">
          <a:extLst>
            <a:ext uri="{FF2B5EF4-FFF2-40B4-BE49-F238E27FC236}">
              <a16:creationId xmlns:a16="http://schemas.microsoft.com/office/drawing/2014/main" id="{B8795EB1-15EA-4D11-BEAD-51EA370FC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8432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120</xdr:row>
      <xdr:rowOff>9525</xdr:rowOff>
    </xdr:from>
    <xdr:ext cx="123825" cy="123825"/>
    <xdr:pic>
      <xdr:nvPicPr>
        <xdr:cNvPr id="359" name="BExZXVFJ4DY4I24AARDT4AMP6EN1" descr="TXSMH2MTH86CYKA26740RQPUC" hidden="1">
          <a:extLst>
            <a:ext uri="{FF2B5EF4-FFF2-40B4-BE49-F238E27FC236}">
              <a16:creationId xmlns:a16="http://schemas.microsoft.com/office/drawing/2014/main" id="{43CD2DD4-3672-46DA-8145-F96FA7518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82511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119</xdr:row>
      <xdr:rowOff>0</xdr:rowOff>
    </xdr:from>
    <xdr:ext cx="123825" cy="123825"/>
    <xdr:pic>
      <xdr:nvPicPr>
        <xdr:cNvPr id="360" name="BExOCUIOFQWUGTBU5ESTW3EYEP5C" descr="9BNF49V0R6VVYPHEVMJ3ABDQZ" hidden="1">
          <a:extLst>
            <a:ext uri="{FF2B5EF4-FFF2-40B4-BE49-F238E27FC236}">
              <a16:creationId xmlns:a16="http://schemas.microsoft.com/office/drawing/2014/main" id="{BACCDBFA-179B-4DD9-82C9-A49E24099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8051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118</xdr:row>
      <xdr:rowOff>0</xdr:rowOff>
    </xdr:from>
    <xdr:ext cx="123825" cy="123825"/>
    <xdr:pic>
      <xdr:nvPicPr>
        <xdr:cNvPr id="361" name="BExU65O9OE4B4MQ2A3OYH13M8BZJ" descr="3INNIMMPDBB0JF37L81M6ID21" hidden="1">
          <a:extLst>
            <a:ext uri="{FF2B5EF4-FFF2-40B4-BE49-F238E27FC236}">
              <a16:creationId xmlns:a16="http://schemas.microsoft.com/office/drawing/2014/main" id="{7C872EB7-A88B-4C07-ABD9-FEE7DA9B4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7860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117</xdr:row>
      <xdr:rowOff>0</xdr:rowOff>
    </xdr:from>
    <xdr:ext cx="123825" cy="123825"/>
    <xdr:pic>
      <xdr:nvPicPr>
        <xdr:cNvPr id="362" name="BExOPRCR0UW7TKXSV5WDTL348FGL" descr="S9JM17GP1802LHN4GT14BJYIC" hidden="1">
          <a:extLst>
            <a:ext uri="{FF2B5EF4-FFF2-40B4-BE49-F238E27FC236}">
              <a16:creationId xmlns:a16="http://schemas.microsoft.com/office/drawing/2014/main" id="{03F16E3B-1CFC-4370-ADA2-3436C894B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7670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116</xdr:row>
      <xdr:rowOff>0</xdr:rowOff>
    </xdr:from>
    <xdr:ext cx="123825" cy="123825"/>
    <xdr:pic>
      <xdr:nvPicPr>
        <xdr:cNvPr id="363" name="BEx5OESAY2W8SEGI3TSB65EHJ04B" descr="9CN2Y88X8WYV1HWZG1QILY9BK" hidden="1">
          <a:extLst>
            <a:ext uri="{FF2B5EF4-FFF2-40B4-BE49-F238E27FC236}">
              <a16:creationId xmlns:a16="http://schemas.microsoft.com/office/drawing/2014/main" id="{8BDF00FD-6EE3-4988-8F70-6E9BD2CEB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7479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115</xdr:row>
      <xdr:rowOff>0</xdr:rowOff>
    </xdr:from>
    <xdr:ext cx="123825" cy="123825"/>
    <xdr:pic>
      <xdr:nvPicPr>
        <xdr:cNvPr id="364" name="BExGMWEQ2BYRY9BAO5T1X850MJN1" descr="AZ9ST0XDIOP50HSUFO5V31BR0" hidden="1">
          <a:extLst>
            <a:ext uri="{FF2B5EF4-FFF2-40B4-BE49-F238E27FC236}">
              <a16:creationId xmlns:a16="http://schemas.microsoft.com/office/drawing/2014/main" id="{8003CA86-9C90-4728-AC48-BC8FD5581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7289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124</xdr:row>
      <xdr:rowOff>9525</xdr:rowOff>
    </xdr:from>
    <xdr:ext cx="47625" cy="47625"/>
    <xdr:pic>
      <xdr:nvPicPr>
        <xdr:cNvPr id="365" name="BExMO7VFCN4EL59982UR4AJ25JNJ" descr="XX6TINEJADZGKR0CTM7ZRT0RA" hidden="1">
          <a:extLst>
            <a:ext uri="{FF2B5EF4-FFF2-40B4-BE49-F238E27FC236}">
              <a16:creationId xmlns:a16="http://schemas.microsoft.com/office/drawing/2014/main" id="{4D5EEA7D-8B25-4D84-9552-F6527D1AA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90131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124</xdr:row>
      <xdr:rowOff>85725</xdr:rowOff>
    </xdr:from>
    <xdr:ext cx="47625" cy="47625"/>
    <xdr:pic>
      <xdr:nvPicPr>
        <xdr:cNvPr id="366" name="BExU3EX5JJCXCII4YKUJBFBGIJR2" descr="OF5ZI9PI5WH36VPANJ2DYLNMI" hidden="1">
          <a:extLst>
            <a:ext uri="{FF2B5EF4-FFF2-40B4-BE49-F238E27FC236}">
              <a16:creationId xmlns:a16="http://schemas.microsoft.com/office/drawing/2014/main" id="{661ADD3A-4F84-496C-BFF0-A6E171F5F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90893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124</xdr:row>
      <xdr:rowOff>9525</xdr:rowOff>
    </xdr:from>
    <xdr:ext cx="47625" cy="47625"/>
    <xdr:pic>
      <xdr:nvPicPr>
        <xdr:cNvPr id="367" name="BEx1KD7H6UB1VYCJ7O61P562EIUY" descr="IQGV9140X0K0UPBL8OGU3I44J" hidden="1">
          <a:extLst>
            <a:ext uri="{FF2B5EF4-FFF2-40B4-BE49-F238E27FC236}">
              <a16:creationId xmlns:a16="http://schemas.microsoft.com/office/drawing/2014/main" id="{86A00429-53AD-4DB5-8F58-64DB188E9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290131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124</xdr:row>
      <xdr:rowOff>85725</xdr:rowOff>
    </xdr:from>
    <xdr:ext cx="47625" cy="47625"/>
    <xdr:pic>
      <xdr:nvPicPr>
        <xdr:cNvPr id="368" name="BEx5BJQWS6YWHH4ZMSUAMD641V6Y" descr="ZTMFMXCIQSECDX38ALEFHUB00" hidden="1">
          <a:extLst>
            <a:ext uri="{FF2B5EF4-FFF2-40B4-BE49-F238E27FC236}">
              <a16:creationId xmlns:a16="http://schemas.microsoft.com/office/drawing/2014/main" id="{FA4E1899-F664-4AAF-A276-C526F5E79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290893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124</xdr:row>
      <xdr:rowOff>9525</xdr:rowOff>
    </xdr:from>
    <xdr:ext cx="47625" cy="47625"/>
    <xdr:pic>
      <xdr:nvPicPr>
        <xdr:cNvPr id="369" name="BExVTO5Q8G2M7BPL4B2584LQS0R0" descr="OB6Q8NA4LZFE4GM9Y3V56BPMQ" hidden="1">
          <a:extLst>
            <a:ext uri="{FF2B5EF4-FFF2-40B4-BE49-F238E27FC236}">
              <a16:creationId xmlns:a16="http://schemas.microsoft.com/office/drawing/2014/main" id="{13FFB24B-D3D7-477E-B183-9A65E09E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28900" y="290131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124</xdr:row>
      <xdr:rowOff>85725</xdr:rowOff>
    </xdr:from>
    <xdr:ext cx="47625" cy="47625"/>
    <xdr:pic>
      <xdr:nvPicPr>
        <xdr:cNvPr id="370" name="BExIFSCLN1G86X78PFLTSMRP0US5" descr="9JK4SPV4DG7VTCZIILWHXQU5J" hidden="1">
          <a:extLst>
            <a:ext uri="{FF2B5EF4-FFF2-40B4-BE49-F238E27FC236}">
              <a16:creationId xmlns:a16="http://schemas.microsoft.com/office/drawing/2014/main" id="{99B06742-48CF-4BB2-B95D-243A88E95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28900" y="290893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124</xdr:row>
      <xdr:rowOff>9525</xdr:rowOff>
    </xdr:from>
    <xdr:ext cx="47625" cy="47625"/>
    <xdr:pic>
      <xdr:nvPicPr>
        <xdr:cNvPr id="371" name="BEx1I152WN2D3A85O2XN0DGXCWHN" descr="KHBZFMANRA4UMJR1AB4M5NJNT" hidden="1">
          <a:extLst>
            <a:ext uri="{FF2B5EF4-FFF2-40B4-BE49-F238E27FC236}">
              <a16:creationId xmlns:a16="http://schemas.microsoft.com/office/drawing/2014/main" id="{B13D9581-A754-497A-A365-E9C8069B3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90131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124</xdr:row>
      <xdr:rowOff>85725</xdr:rowOff>
    </xdr:from>
    <xdr:ext cx="47625" cy="47625"/>
    <xdr:pic>
      <xdr:nvPicPr>
        <xdr:cNvPr id="372" name="BExW9676P0SKCVKK25QCGHPA3PAD" descr="9A4PWZ20RMSRF0PNECCDM75CA" hidden="1">
          <a:extLst>
            <a:ext uri="{FF2B5EF4-FFF2-40B4-BE49-F238E27FC236}">
              <a16:creationId xmlns:a16="http://schemas.microsoft.com/office/drawing/2014/main" id="{ED6B93D0-C15A-48A8-80CB-54407A0EF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90893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126</xdr:row>
      <xdr:rowOff>0</xdr:rowOff>
    </xdr:from>
    <xdr:ext cx="123825" cy="123825"/>
    <xdr:pic>
      <xdr:nvPicPr>
        <xdr:cNvPr id="373" name="BExW253QPOZK9KW8BJC3LBXGCG2N" descr="Y5HX37BEUWSN1NEFJKZJXI3SX" hidden="1">
          <a:extLst>
            <a:ext uri="{FF2B5EF4-FFF2-40B4-BE49-F238E27FC236}">
              <a16:creationId xmlns:a16="http://schemas.microsoft.com/office/drawing/2014/main" id="{83293F13-63B7-49AA-A891-B91CC066E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29908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124</xdr:row>
      <xdr:rowOff>9525</xdr:rowOff>
    </xdr:from>
    <xdr:ext cx="47625" cy="47625"/>
    <xdr:pic>
      <xdr:nvPicPr>
        <xdr:cNvPr id="374" name="BExS5CPQ8P8JOQPK7ANNKHLSGOKU" hidden="1">
          <a:extLst>
            <a:ext uri="{FF2B5EF4-FFF2-40B4-BE49-F238E27FC236}">
              <a16:creationId xmlns:a16="http://schemas.microsoft.com/office/drawing/2014/main" id="{70DC6EA8-0152-4D87-869A-9713B50F1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90131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124</xdr:row>
      <xdr:rowOff>85725</xdr:rowOff>
    </xdr:from>
    <xdr:ext cx="47625" cy="47625"/>
    <xdr:pic>
      <xdr:nvPicPr>
        <xdr:cNvPr id="375" name="BExMM0AVUAIRNJLXB1FW8R0YB4ZZ" hidden="1">
          <a:extLst>
            <a:ext uri="{FF2B5EF4-FFF2-40B4-BE49-F238E27FC236}">
              <a16:creationId xmlns:a16="http://schemas.microsoft.com/office/drawing/2014/main" id="{39578ABB-BF23-40C2-B1D2-4DE89F4B0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90893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124</xdr:row>
      <xdr:rowOff>9525</xdr:rowOff>
    </xdr:from>
    <xdr:ext cx="47625" cy="47625"/>
    <xdr:pic>
      <xdr:nvPicPr>
        <xdr:cNvPr id="376" name="BExXZ7Y09CBS0XA7IPB3IRJ8RJM4" hidden="1">
          <a:extLst>
            <a:ext uri="{FF2B5EF4-FFF2-40B4-BE49-F238E27FC236}">
              <a16:creationId xmlns:a16="http://schemas.microsoft.com/office/drawing/2014/main" id="{99FF082E-A40A-4734-A0E4-F2D30E82A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90131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124</xdr:row>
      <xdr:rowOff>85725</xdr:rowOff>
    </xdr:from>
    <xdr:ext cx="47625" cy="47625"/>
    <xdr:pic>
      <xdr:nvPicPr>
        <xdr:cNvPr id="377" name="BExQ7SXS9VUG7P6CACU2J7R2SGIZ" hidden="1">
          <a:extLst>
            <a:ext uri="{FF2B5EF4-FFF2-40B4-BE49-F238E27FC236}">
              <a16:creationId xmlns:a16="http://schemas.microsoft.com/office/drawing/2014/main" id="{AB8393A2-4D59-4F48-8BA8-CCDE31214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90893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124</xdr:row>
      <xdr:rowOff>9525</xdr:rowOff>
    </xdr:from>
    <xdr:ext cx="47625" cy="47625"/>
    <xdr:pic>
      <xdr:nvPicPr>
        <xdr:cNvPr id="378" name="BEx5AQZ4ETQ9LMY5EBWVH20Z7VXQ" hidden="1">
          <a:extLst>
            <a:ext uri="{FF2B5EF4-FFF2-40B4-BE49-F238E27FC236}">
              <a16:creationId xmlns:a16="http://schemas.microsoft.com/office/drawing/2014/main" id="{34EDDA8D-BD5F-4810-A246-3125E6FBB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6425" y="290131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124</xdr:row>
      <xdr:rowOff>85725</xdr:rowOff>
    </xdr:from>
    <xdr:ext cx="47625" cy="47625"/>
    <xdr:pic>
      <xdr:nvPicPr>
        <xdr:cNvPr id="379" name="BExUBK0YZ5VYFY8TTITJGJU9S06A" hidden="1">
          <a:extLst>
            <a:ext uri="{FF2B5EF4-FFF2-40B4-BE49-F238E27FC236}">
              <a16:creationId xmlns:a16="http://schemas.microsoft.com/office/drawing/2014/main" id="{9317859E-9C4A-4E0F-A8BB-336C41E6C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76425" y="290893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124</xdr:row>
      <xdr:rowOff>9525</xdr:rowOff>
    </xdr:from>
    <xdr:ext cx="47625" cy="47625"/>
    <xdr:pic>
      <xdr:nvPicPr>
        <xdr:cNvPr id="380" name="BExUEZCSSJ7RN4J18I2NUIQR2FZS" hidden="1">
          <a:extLst>
            <a:ext uri="{FF2B5EF4-FFF2-40B4-BE49-F238E27FC236}">
              <a16:creationId xmlns:a16="http://schemas.microsoft.com/office/drawing/2014/main" id="{AB786ECA-B2BF-4E56-B9FF-1C2105564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38425" y="290131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124</xdr:row>
      <xdr:rowOff>85725</xdr:rowOff>
    </xdr:from>
    <xdr:ext cx="47625" cy="47625"/>
    <xdr:pic>
      <xdr:nvPicPr>
        <xdr:cNvPr id="381" name="BExS3JDQWF7U3F5JTEVOE16ASIYK" hidden="1">
          <a:extLst>
            <a:ext uri="{FF2B5EF4-FFF2-40B4-BE49-F238E27FC236}">
              <a16:creationId xmlns:a16="http://schemas.microsoft.com/office/drawing/2014/main" id="{452E5FBD-2F71-4435-B650-A6B7A6B40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38425" y="2908935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127</xdr:row>
      <xdr:rowOff>0</xdr:rowOff>
    </xdr:from>
    <xdr:ext cx="123825" cy="123825"/>
    <xdr:pic>
      <xdr:nvPicPr>
        <xdr:cNvPr id="382" name="BEx973S463FCQVJ7QDFBUIU0WJ3F" descr="ZQTVYL8DCSADVT0QMRXFLU0TR" hidden="1">
          <a:extLst>
            <a:ext uri="{FF2B5EF4-FFF2-40B4-BE49-F238E27FC236}">
              <a16:creationId xmlns:a16="http://schemas.microsoft.com/office/drawing/2014/main" id="{9944C13C-6A97-4ED8-9A36-E070BB77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3009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126</xdr:row>
      <xdr:rowOff>0</xdr:rowOff>
    </xdr:from>
    <xdr:ext cx="123825" cy="123825"/>
    <xdr:pic>
      <xdr:nvPicPr>
        <xdr:cNvPr id="383" name="BEx5FXJGJOT93D0J2IRJ3985IUMI" hidden="1">
          <a:extLst>
            <a:ext uri="{FF2B5EF4-FFF2-40B4-BE49-F238E27FC236}">
              <a16:creationId xmlns:a16="http://schemas.microsoft.com/office/drawing/2014/main" id="{AB04DED1-1B9B-48AA-8457-4BDF2156B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9908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125</xdr:row>
      <xdr:rowOff>0</xdr:rowOff>
    </xdr:from>
    <xdr:ext cx="123825" cy="123825"/>
    <xdr:pic>
      <xdr:nvPicPr>
        <xdr:cNvPr id="384" name="BEx3RTMHAR35NUAAK49TV6NU7EPA" descr="QFXLG4ZCXTRQSJYFCKJ58G9N8" hidden="1">
          <a:extLst>
            <a:ext uri="{FF2B5EF4-FFF2-40B4-BE49-F238E27FC236}">
              <a16:creationId xmlns:a16="http://schemas.microsoft.com/office/drawing/2014/main" id="{EE29DDD9-ABA3-43E7-9808-D2DCC531F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29718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128</xdr:row>
      <xdr:rowOff>0</xdr:rowOff>
    </xdr:from>
    <xdr:ext cx="123825" cy="123825"/>
    <xdr:pic>
      <xdr:nvPicPr>
        <xdr:cNvPr id="385" name="BExS8T38WLC2R738ZC7BDJQAKJAJ" descr="MRI962L5PB0E0YWXCIBN82VJH" hidden="1">
          <a:extLst>
            <a:ext uri="{FF2B5EF4-FFF2-40B4-BE49-F238E27FC236}">
              <a16:creationId xmlns:a16="http://schemas.microsoft.com/office/drawing/2014/main" id="{4917E73C-AD2A-40AB-9EF6-AD3A63C6F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30289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126</xdr:row>
      <xdr:rowOff>0</xdr:rowOff>
    </xdr:from>
    <xdr:ext cx="123825" cy="123825"/>
    <xdr:pic>
      <xdr:nvPicPr>
        <xdr:cNvPr id="386" name="BEx5F64BJ6DCM4EJH81D5ZFNPZ0V" descr="7DJ9FILZD2YPS6X1JBP9E76TU" hidden="1">
          <a:extLst>
            <a:ext uri="{FF2B5EF4-FFF2-40B4-BE49-F238E27FC236}">
              <a16:creationId xmlns:a16="http://schemas.microsoft.com/office/drawing/2014/main" id="{41EB4F48-BB88-4056-9F05-C1511C4C6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9908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126</xdr:row>
      <xdr:rowOff>0</xdr:rowOff>
    </xdr:from>
    <xdr:ext cx="123825" cy="123825"/>
    <xdr:pic>
      <xdr:nvPicPr>
        <xdr:cNvPr id="387" name="BExQEXXHA3EEXR44LT6RKCDWM6ZT" hidden="1">
          <a:extLst>
            <a:ext uri="{FF2B5EF4-FFF2-40B4-BE49-F238E27FC236}">
              <a16:creationId xmlns:a16="http://schemas.microsoft.com/office/drawing/2014/main" id="{7DD28556-1CEF-4E0B-B100-9363D5E2B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9908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130</xdr:row>
      <xdr:rowOff>0</xdr:rowOff>
    </xdr:from>
    <xdr:ext cx="123825" cy="123825"/>
    <xdr:pic>
      <xdr:nvPicPr>
        <xdr:cNvPr id="388" name="BEx1X6AMHV6ZK3UJB2BXIJTJHYJU" descr="OALR4L95ELQLZ1Y1LETHM1CS9" hidden="1">
          <a:extLst>
            <a:ext uri="{FF2B5EF4-FFF2-40B4-BE49-F238E27FC236}">
              <a16:creationId xmlns:a16="http://schemas.microsoft.com/office/drawing/2014/main" id="{5BBE3CA0-F7C4-4035-ABE1-98729981B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30670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125</xdr:row>
      <xdr:rowOff>0</xdr:rowOff>
    </xdr:from>
    <xdr:ext cx="123825" cy="123825"/>
    <xdr:pic>
      <xdr:nvPicPr>
        <xdr:cNvPr id="389" name="BExSDIVCE09QKG3CT52PHCS6ZJ09" descr="9F076L7EQCF2COMMGCQG6BQGU" hidden="1">
          <a:extLst>
            <a:ext uri="{FF2B5EF4-FFF2-40B4-BE49-F238E27FC236}">
              <a16:creationId xmlns:a16="http://schemas.microsoft.com/office/drawing/2014/main" id="{A92C4CAF-E254-4FE4-8738-753AF657F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29718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133</xdr:row>
      <xdr:rowOff>0</xdr:rowOff>
    </xdr:from>
    <xdr:ext cx="123825" cy="123825"/>
    <xdr:pic>
      <xdr:nvPicPr>
        <xdr:cNvPr id="390" name="BExS343F8GCKP6HTF9Y97L133DX8" descr="ZRF0KB1IYQSNV63CTXT25G67G" hidden="1">
          <a:extLst>
            <a:ext uri="{FF2B5EF4-FFF2-40B4-BE49-F238E27FC236}">
              <a16:creationId xmlns:a16="http://schemas.microsoft.com/office/drawing/2014/main" id="{20EA12EC-F280-4406-B969-2D5C5FCBF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3124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132</xdr:row>
      <xdr:rowOff>0</xdr:rowOff>
    </xdr:from>
    <xdr:ext cx="123825" cy="123825"/>
    <xdr:pic>
      <xdr:nvPicPr>
        <xdr:cNvPr id="391" name="BExZMRC09W87CY4B73NPZMNH21AH" descr="78CUMI0OVLYJRSDRQ3V2YX812" hidden="1">
          <a:extLst>
            <a:ext uri="{FF2B5EF4-FFF2-40B4-BE49-F238E27FC236}">
              <a16:creationId xmlns:a16="http://schemas.microsoft.com/office/drawing/2014/main" id="{9D9DE9D3-0CA4-4D02-A6B3-C5659CE2F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3105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131</xdr:row>
      <xdr:rowOff>9525</xdr:rowOff>
    </xdr:from>
    <xdr:ext cx="123825" cy="123825"/>
    <xdr:pic>
      <xdr:nvPicPr>
        <xdr:cNvPr id="392" name="BExZXVFJ4DY4I24AARDT4AMP6EN1" descr="TXSMH2MTH86CYKA26740RQPUC" hidden="1">
          <a:extLst>
            <a:ext uri="{FF2B5EF4-FFF2-40B4-BE49-F238E27FC236}">
              <a16:creationId xmlns:a16="http://schemas.microsoft.com/office/drawing/2014/main" id="{BAE87DD3-8835-4747-9419-41211B712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30870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130</xdr:row>
      <xdr:rowOff>0</xdr:rowOff>
    </xdr:from>
    <xdr:ext cx="123825" cy="123825"/>
    <xdr:pic>
      <xdr:nvPicPr>
        <xdr:cNvPr id="393" name="BExOCUIOFQWUGTBU5ESTW3EYEP5C" descr="9BNF49V0R6VVYPHEVMJ3ABDQZ" hidden="1">
          <a:extLst>
            <a:ext uri="{FF2B5EF4-FFF2-40B4-BE49-F238E27FC236}">
              <a16:creationId xmlns:a16="http://schemas.microsoft.com/office/drawing/2014/main" id="{10E70DF6-B443-447E-9F03-C7615895A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30670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129</xdr:row>
      <xdr:rowOff>0</xdr:rowOff>
    </xdr:from>
    <xdr:ext cx="123825" cy="123825"/>
    <xdr:pic>
      <xdr:nvPicPr>
        <xdr:cNvPr id="394" name="BExU65O9OE4B4MQ2A3OYH13M8BZJ" descr="3INNIMMPDBB0JF37L81M6ID21" hidden="1">
          <a:extLst>
            <a:ext uri="{FF2B5EF4-FFF2-40B4-BE49-F238E27FC236}">
              <a16:creationId xmlns:a16="http://schemas.microsoft.com/office/drawing/2014/main" id="{A4845389-EA33-44D0-9AFA-28AE87969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30480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128</xdr:row>
      <xdr:rowOff>0</xdr:rowOff>
    </xdr:from>
    <xdr:ext cx="123825" cy="123825"/>
    <xdr:pic>
      <xdr:nvPicPr>
        <xdr:cNvPr id="395" name="BExOPRCR0UW7TKXSV5WDTL348FGL" descr="S9JM17GP1802LHN4GT14BJYIC" hidden="1">
          <a:extLst>
            <a:ext uri="{FF2B5EF4-FFF2-40B4-BE49-F238E27FC236}">
              <a16:creationId xmlns:a16="http://schemas.microsoft.com/office/drawing/2014/main" id="{60E75D5C-FD3F-49CC-B1A7-53AA18FCF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30289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127</xdr:row>
      <xdr:rowOff>0</xdr:rowOff>
    </xdr:from>
    <xdr:ext cx="123825" cy="123825"/>
    <xdr:pic>
      <xdr:nvPicPr>
        <xdr:cNvPr id="396" name="BEx5OESAY2W8SEGI3TSB65EHJ04B" descr="9CN2Y88X8WYV1HWZG1QILY9BK" hidden="1">
          <a:extLst>
            <a:ext uri="{FF2B5EF4-FFF2-40B4-BE49-F238E27FC236}">
              <a16:creationId xmlns:a16="http://schemas.microsoft.com/office/drawing/2014/main" id="{C6582F26-4D26-46CF-949B-A8E3E0A02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3009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126</xdr:row>
      <xdr:rowOff>0</xdr:rowOff>
    </xdr:from>
    <xdr:ext cx="123825" cy="123825"/>
    <xdr:pic>
      <xdr:nvPicPr>
        <xdr:cNvPr id="397" name="BExGMWEQ2BYRY9BAO5T1X850MJN1" descr="AZ9ST0XDIOP50HSUFO5V31BR0" hidden="1">
          <a:extLst>
            <a:ext uri="{FF2B5EF4-FFF2-40B4-BE49-F238E27FC236}">
              <a16:creationId xmlns:a16="http://schemas.microsoft.com/office/drawing/2014/main" id="{DA2D7D4F-A4B1-42C5-B97E-EEAD50BD2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9908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1</xdr:row>
      <xdr:rowOff>9525</xdr:rowOff>
    </xdr:from>
    <xdr:ext cx="47625" cy="47625"/>
    <xdr:pic>
      <xdr:nvPicPr>
        <xdr:cNvPr id="2" name="BExMO7VFCN4EL59982UR4AJ25JNJ" descr="XX6TINEJADZGKR0CTM7ZRT0RA" hidden="1">
          <a:extLst>
            <a:ext uri="{FF2B5EF4-FFF2-40B4-BE49-F238E27FC236}">
              <a16:creationId xmlns:a16="http://schemas.microsoft.com/office/drawing/2014/main" id="{1AFFF5EB-1691-41C6-9D12-D8B8A2E74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</xdr:row>
      <xdr:rowOff>85725</xdr:rowOff>
    </xdr:from>
    <xdr:ext cx="47625" cy="47625"/>
    <xdr:pic>
      <xdr:nvPicPr>
        <xdr:cNvPr id="3" name="BExU3EX5JJCXCII4YKUJBFBGIJR2" descr="OF5ZI9PI5WH36VPANJ2DYLNMI" hidden="1">
          <a:extLst>
            <a:ext uri="{FF2B5EF4-FFF2-40B4-BE49-F238E27FC236}">
              <a16:creationId xmlns:a16="http://schemas.microsoft.com/office/drawing/2014/main" id="{C3FBC643-D994-4E27-97B9-650071597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</xdr:row>
      <xdr:rowOff>9525</xdr:rowOff>
    </xdr:from>
    <xdr:ext cx="47625" cy="47625"/>
    <xdr:pic>
      <xdr:nvPicPr>
        <xdr:cNvPr id="4" name="BEx1KD7H6UB1VYCJ7O61P562EIUY" descr="IQGV9140X0K0UPBL8OGU3I44J" hidden="1">
          <a:extLst>
            <a:ext uri="{FF2B5EF4-FFF2-40B4-BE49-F238E27FC236}">
              <a16:creationId xmlns:a16="http://schemas.microsoft.com/office/drawing/2014/main" id="{B3DCED0B-CE56-4A2B-925C-9C634381A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</xdr:row>
      <xdr:rowOff>85725</xdr:rowOff>
    </xdr:from>
    <xdr:ext cx="47625" cy="47625"/>
    <xdr:pic>
      <xdr:nvPicPr>
        <xdr:cNvPr id="5" name="BEx5BJQWS6YWHH4ZMSUAMD641V6Y" descr="ZTMFMXCIQSECDX38ALEFHUB00" hidden="1">
          <a:extLst>
            <a:ext uri="{FF2B5EF4-FFF2-40B4-BE49-F238E27FC236}">
              <a16:creationId xmlns:a16="http://schemas.microsoft.com/office/drawing/2014/main" id="{0CE51144-C352-47C1-999F-2DD0A38E9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1</xdr:row>
      <xdr:rowOff>9525</xdr:rowOff>
    </xdr:from>
    <xdr:ext cx="47625" cy="47625"/>
    <xdr:pic>
      <xdr:nvPicPr>
        <xdr:cNvPr id="6" name="BExVTO5Q8G2M7BPL4B2584LQS0R0" descr="OB6Q8NA4LZFE4GM9Y3V56BPMQ" hidden="1">
          <a:extLst>
            <a:ext uri="{FF2B5EF4-FFF2-40B4-BE49-F238E27FC236}">
              <a16:creationId xmlns:a16="http://schemas.microsoft.com/office/drawing/2014/main" id="{872CC8DF-2AF9-4782-802F-3141909FF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1</xdr:row>
      <xdr:rowOff>85725</xdr:rowOff>
    </xdr:from>
    <xdr:ext cx="47625" cy="47625"/>
    <xdr:pic>
      <xdr:nvPicPr>
        <xdr:cNvPr id="7" name="BExIFSCLN1G86X78PFLTSMRP0US5" descr="9JK4SPV4DG7VTCZIILWHXQU5J" hidden="1">
          <a:extLst>
            <a:ext uri="{FF2B5EF4-FFF2-40B4-BE49-F238E27FC236}">
              <a16:creationId xmlns:a16="http://schemas.microsoft.com/office/drawing/2014/main" id="{54C1B9A3-6B4D-41B7-9156-37ED3EA42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</xdr:row>
      <xdr:rowOff>9525</xdr:rowOff>
    </xdr:from>
    <xdr:ext cx="47625" cy="47625"/>
    <xdr:pic>
      <xdr:nvPicPr>
        <xdr:cNvPr id="8" name="BEx1I152WN2D3A85O2XN0DGXCWHN" descr="KHBZFMANRA4UMJR1AB4M5NJNT" hidden="1">
          <a:extLst>
            <a:ext uri="{FF2B5EF4-FFF2-40B4-BE49-F238E27FC236}">
              <a16:creationId xmlns:a16="http://schemas.microsoft.com/office/drawing/2014/main" id="{CC7649D5-6EDC-45C9-86FD-B5DF44A41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</xdr:row>
      <xdr:rowOff>85725</xdr:rowOff>
    </xdr:from>
    <xdr:ext cx="47625" cy="47625"/>
    <xdr:pic>
      <xdr:nvPicPr>
        <xdr:cNvPr id="9" name="BExW9676P0SKCVKK25QCGHPA3PAD" descr="9A4PWZ20RMSRF0PNECCDM75CA" hidden="1">
          <a:extLst>
            <a:ext uri="{FF2B5EF4-FFF2-40B4-BE49-F238E27FC236}">
              <a16:creationId xmlns:a16="http://schemas.microsoft.com/office/drawing/2014/main" id="{AD3ACC83-EE30-45BE-96D4-F4DF70B82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3</xdr:row>
      <xdr:rowOff>0</xdr:rowOff>
    </xdr:from>
    <xdr:ext cx="123825" cy="123825"/>
    <xdr:pic>
      <xdr:nvPicPr>
        <xdr:cNvPr id="10" name="BExW253QPOZK9KW8BJC3LBXGCG2N" descr="Y5HX37BEUWSN1NEFJKZJXI3SX" hidden="1">
          <a:extLst>
            <a:ext uri="{FF2B5EF4-FFF2-40B4-BE49-F238E27FC236}">
              <a16:creationId xmlns:a16="http://schemas.microsoft.com/office/drawing/2014/main" id="{18CEEEF4-EC41-4893-B03C-18B8025E2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57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</xdr:row>
      <xdr:rowOff>9525</xdr:rowOff>
    </xdr:from>
    <xdr:ext cx="47625" cy="47625"/>
    <xdr:pic>
      <xdr:nvPicPr>
        <xdr:cNvPr id="11" name="BExS5CPQ8P8JOQPK7ANNKHLSGOKU" hidden="1">
          <a:extLst>
            <a:ext uri="{FF2B5EF4-FFF2-40B4-BE49-F238E27FC236}">
              <a16:creationId xmlns:a16="http://schemas.microsoft.com/office/drawing/2014/main" id="{88AEF36F-6241-40FF-998A-AC4263514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</xdr:row>
      <xdr:rowOff>85725</xdr:rowOff>
    </xdr:from>
    <xdr:ext cx="47625" cy="47625"/>
    <xdr:pic>
      <xdr:nvPicPr>
        <xdr:cNvPr id="12" name="BExMM0AVUAIRNJLXB1FW8R0YB4ZZ" hidden="1">
          <a:extLst>
            <a:ext uri="{FF2B5EF4-FFF2-40B4-BE49-F238E27FC236}">
              <a16:creationId xmlns:a16="http://schemas.microsoft.com/office/drawing/2014/main" id="{715D3C0E-F0E1-4F57-AE60-191E100E3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</xdr:row>
      <xdr:rowOff>9525</xdr:rowOff>
    </xdr:from>
    <xdr:ext cx="47625" cy="47625"/>
    <xdr:pic>
      <xdr:nvPicPr>
        <xdr:cNvPr id="13" name="BExXZ7Y09CBS0XA7IPB3IRJ8RJM4" hidden="1">
          <a:extLst>
            <a:ext uri="{FF2B5EF4-FFF2-40B4-BE49-F238E27FC236}">
              <a16:creationId xmlns:a16="http://schemas.microsoft.com/office/drawing/2014/main" id="{9880E513-9A3E-4237-BB1B-B6FE021D7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</xdr:row>
      <xdr:rowOff>85725</xdr:rowOff>
    </xdr:from>
    <xdr:ext cx="47625" cy="47625"/>
    <xdr:pic>
      <xdr:nvPicPr>
        <xdr:cNvPr id="14" name="BExQ7SXS9VUG7P6CACU2J7R2SGIZ" hidden="1">
          <a:extLst>
            <a:ext uri="{FF2B5EF4-FFF2-40B4-BE49-F238E27FC236}">
              <a16:creationId xmlns:a16="http://schemas.microsoft.com/office/drawing/2014/main" id="{D51D1474-1E99-41E1-B7AB-1C50BE4BE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</xdr:row>
      <xdr:rowOff>9525</xdr:rowOff>
    </xdr:from>
    <xdr:ext cx="47625" cy="47625"/>
    <xdr:pic>
      <xdr:nvPicPr>
        <xdr:cNvPr id="15" name="BEx5AQZ4ETQ9LMY5EBWVH20Z7VXQ" hidden="1">
          <a:extLst>
            <a:ext uri="{FF2B5EF4-FFF2-40B4-BE49-F238E27FC236}">
              <a16:creationId xmlns:a16="http://schemas.microsoft.com/office/drawing/2014/main" id="{3D6EE9E7-21D4-41AC-B2D7-998CF8B8C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</xdr:row>
      <xdr:rowOff>85725</xdr:rowOff>
    </xdr:from>
    <xdr:ext cx="47625" cy="47625"/>
    <xdr:pic>
      <xdr:nvPicPr>
        <xdr:cNvPr id="16" name="BExUBK0YZ5VYFY8TTITJGJU9S06A" hidden="1">
          <a:extLst>
            <a:ext uri="{FF2B5EF4-FFF2-40B4-BE49-F238E27FC236}">
              <a16:creationId xmlns:a16="http://schemas.microsoft.com/office/drawing/2014/main" id="{B1C5B48D-2852-470A-9274-0A1D9A46B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</xdr:row>
      <xdr:rowOff>9525</xdr:rowOff>
    </xdr:from>
    <xdr:ext cx="47625" cy="47625"/>
    <xdr:pic>
      <xdr:nvPicPr>
        <xdr:cNvPr id="17" name="BExUEZCSSJ7RN4J18I2NUIQR2FZS" hidden="1">
          <a:extLst>
            <a:ext uri="{FF2B5EF4-FFF2-40B4-BE49-F238E27FC236}">
              <a16:creationId xmlns:a16="http://schemas.microsoft.com/office/drawing/2014/main" id="{2884BF98-04F3-4FCA-AF39-1BE32DD1F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</xdr:row>
      <xdr:rowOff>85725</xdr:rowOff>
    </xdr:from>
    <xdr:ext cx="47625" cy="47625"/>
    <xdr:pic>
      <xdr:nvPicPr>
        <xdr:cNvPr id="18" name="BExS3JDQWF7U3F5JTEVOE16ASIYK" hidden="1">
          <a:extLst>
            <a:ext uri="{FF2B5EF4-FFF2-40B4-BE49-F238E27FC236}">
              <a16:creationId xmlns:a16="http://schemas.microsoft.com/office/drawing/2014/main" id="{AABDDA50-AE6D-4A1B-A97E-A756A91A9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4</xdr:row>
      <xdr:rowOff>0</xdr:rowOff>
    </xdr:from>
    <xdr:ext cx="123825" cy="123825"/>
    <xdr:pic>
      <xdr:nvPicPr>
        <xdr:cNvPr id="19" name="BEx973S463FCQVJ7QDFBUIU0WJ3F" descr="ZQTVYL8DCSADVT0QMRXFLU0TR" hidden="1">
          <a:extLst>
            <a:ext uri="{FF2B5EF4-FFF2-40B4-BE49-F238E27FC236}">
              <a16:creationId xmlns:a16="http://schemas.microsoft.com/office/drawing/2014/main" id="{82FB11E3-EDD6-4669-B66B-DB3D10A65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76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</xdr:row>
      <xdr:rowOff>0</xdr:rowOff>
    </xdr:from>
    <xdr:ext cx="123825" cy="123825"/>
    <xdr:pic>
      <xdr:nvPicPr>
        <xdr:cNvPr id="20" name="BEx5FXJGJOT93D0J2IRJ3985IUMI" hidden="1">
          <a:extLst>
            <a:ext uri="{FF2B5EF4-FFF2-40B4-BE49-F238E27FC236}">
              <a16:creationId xmlns:a16="http://schemas.microsoft.com/office/drawing/2014/main" id="{FB7F3825-6C17-4C37-9EDF-998AADAA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57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2</xdr:row>
      <xdr:rowOff>0</xdr:rowOff>
    </xdr:from>
    <xdr:ext cx="123825" cy="123825"/>
    <xdr:pic>
      <xdr:nvPicPr>
        <xdr:cNvPr id="21" name="BEx3RTMHAR35NUAAK49TV6NU7EPA" descr="QFXLG4ZCXTRQSJYFCKJ58G9N8" hidden="1">
          <a:extLst>
            <a:ext uri="{FF2B5EF4-FFF2-40B4-BE49-F238E27FC236}">
              <a16:creationId xmlns:a16="http://schemas.microsoft.com/office/drawing/2014/main" id="{1C0333B4-DAAF-403A-8D74-764F25F80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38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5</xdr:row>
      <xdr:rowOff>0</xdr:rowOff>
    </xdr:from>
    <xdr:ext cx="123825" cy="123825"/>
    <xdr:pic>
      <xdr:nvPicPr>
        <xdr:cNvPr id="22" name="BExS8T38WLC2R738ZC7BDJQAKJAJ" descr="MRI962L5PB0E0YWXCIBN82VJH" hidden="1">
          <a:extLst>
            <a:ext uri="{FF2B5EF4-FFF2-40B4-BE49-F238E27FC236}">
              <a16:creationId xmlns:a16="http://schemas.microsoft.com/office/drawing/2014/main" id="{158E8C4F-E29B-475C-8E36-E3B6E4370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95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</xdr:row>
      <xdr:rowOff>0</xdr:rowOff>
    </xdr:from>
    <xdr:ext cx="123825" cy="123825"/>
    <xdr:pic>
      <xdr:nvPicPr>
        <xdr:cNvPr id="23" name="BEx5F64BJ6DCM4EJH81D5ZFNPZ0V" descr="7DJ9FILZD2YPS6X1JBP9E76TU" hidden="1">
          <a:extLst>
            <a:ext uri="{FF2B5EF4-FFF2-40B4-BE49-F238E27FC236}">
              <a16:creationId xmlns:a16="http://schemas.microsoft.com/office/drawing/2014/main" id="{195E2892-FA5D-4B94-9EBC-FA33BAA84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57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</xdr:row>
      <xdr:rowOff>0</xdr:rowOff>
    </xdr:from>
    <xdr:ext cx="123825" cy="123825"/>
    <xdr:pic>
      <xdr:nvPicPr>
        <xdr:cNvPr id="24" name="BExQEXXHA3EEXR44LT6RKCDWM6ZT" hidden="1">
          <a:extLst>
            <a:ext uri="{FF2B5EF4-FFF2-40B4-BE49-F238E27FC236}">
              <a16:creationId xmlns:a16="http://schemas.microsoft.com/office/drawing/2014/main" id="{13F022D5-8373-458D-86D6-F4D391DAF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57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7</xdr:row>
      <xdr:rowOff>0</xdr:rowOff>
    </xdr:from>
    <xdr:ext cx="123825" cy="123825"/>
    <xdr:pic>
      <xdr:nvPicPr>
        <xdr:cNvPr id="25" name="BEx1X6AMHV6ZK3UJB2BXIJTJHYJU" descr="OALR4L95ELQLZ1Y1LETHM1CS9" hidden="1">
          <a:extLst>
            <a:ext uri="{FF2B5EF4-FFF2-40B4-BE49-F238E27FC236}">
              <a16:creationId xmlns:a16="http://schemas.microsoft.com/office/drawing/2014/main" id="{0B3E4347-5478-4ED2-9D4E-92B323AFE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133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2</xdr:row>
      <xdr:rowOff>0</xdr:rowOff>
    </xdr:from>
    <xdr:ext cx="123825" cy="123825"/>
    <xdr:pic>
      <xdr:nvPicPr>
        <xdr:cNvPr id="26" name="BExSDIVCE09QKG3CT52PHCS6ZJ09" descr="9F076L7EQCF2COMMGCQG6BQGU" hidden="1">
          <a:extLst>
            <a:ext uri="{FF2B5EF4-FFF2-40B4-BE49-F238E27FC236}">
              <a16:creationId xmlns:a16="http://schemas.microsoft.com/office/drawing/2014/main" id="{D76EDA89-D368-402B-B109-6A3AD6481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38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</xdr:row>
      <xdr:rowOff>0</xdr:rowOff>
    </xdr:from>
    <xdr:ext cx="123825" cy="123825"/>
    <xdr:pic>
      <xdr:nvPicPr>
        <xdr:cNvPr id="27" name="BExS343F8GCKP6HTF9Y97L133DX8" descr="ZRF0KB1IYQSNV63CTXT25G67G" hidden="1">
          <a:extLst>
            <a:ext uri="{FF2B5EF4-FFF2-40B4-BE49-F238E27FC236}">
              <a16:creationId xmlns:a16="http://schemas.microsoft.com/office/drawing/2014/main" id="{F36E643C-0411-466A-BC4B-0B74D6118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905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</xdr:row>
      <xdr:rowOff>0</xdr:rowOff>
    </xdr:from>
    <xdr:ext cx="123825" cy="123825"/>
    <xdr:pic>
      <xdr:nvPicPr>
        <xdr:cNvPr id="28" name="BExZMRC09W87CY4B73NPZMNH21AH" descr="78CUMI0OVLYJRSDRQ3V2YX812" hidden="1">
          <a:extLst>
            <a:ext uri="{FF2B5EF4-FFF2-40B4-BE49-F238E27FC236}">
              <a16:creationId xmlns:a16="http://schemas.microsoft.com/office/drawing/2014/main" id="{447E0295-2E76-4E5B-A0FB-D53905A64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71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</xdr:row>
      <xdr:rowOff>9525</xdr:rowOff>
    </xdr:from>
    <xdr:ext cx="123825" cy="123825"/>
    <xdr:pic>
      <xdr:nvPicPr>
        <xdr:cNvPr id="29" name="BExZXVFJ4DY4I24AARDT4AMP6EN1" descr="TXSMH2MTH86CYKA26740RQPUC" hidden="1">
          <a:extLst>
            <a:ext uri="{FF2B5EF4-FFF2-40B4-BE49-F238E27FC236}">
              <a16:creationId xmlns:a16="http://schemas.microsoft.com/office/drawing/2014/main" id="{1D91890D-D89F-44F1-896F-8BECC0949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533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</xdr:row>
      <xdr:rowOff>0</xdr:rowOff>
    </xdr:from>
    <xdr:ext cx="123825" cy="123825"/>
    <xdr:pic>
      <xdr:nvPicPr>
        <xdr:cNvPr id="30" name="BExOCUIOFQWUGTBU5ESTW3EYEP5C" descr="9BNF49V0R6VVYPHEVMJ3ABDQZ" hidden="1">
          <a:extLst>
            <a:ext uri="{FF2B5EF4-FFF2-40B4-BE49-F238E27FC236}">
              <a16:creationId xmlns:a16="http://schemas.microsoft.com/office/drawing/2014/main" id="{5BCADF7C-C1DF-48D0-A630-C9559CEE1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33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</xdr:row>
      <xdr:rowOff>0</xdr:rowOff>
    </xdr:from>
    <xdr:ext cx="123825" cy="123825"/>
    <xdr:pic>
      <xdr:nvPicPr>
        <xdr:cNvPr id="31" name="BExU65O9OE4B4MQ2A3OYH13M8BZJ" descr="3INNIMMPDBB0JF37L81M6ID21" hidden="1">
          <a:extLst>
            <a:ext uri="{FF2B5EF4-FFF2-40B4-BE49-F238E27FC236}">
              <a16:creationId xmlns:a16="http://schemas.microsoft.com/office/drawing/2014/main" id="{31CF8BAA-2BF6-46C2-A082-E807899E0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4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</xdr:row>
      <xdr:rowOff>0</xdr:rowOff>
    </xdr:from>
    <xdr:ext cx="123825" cy="123825"/>
    <xdr:pic>
      <xdr:nvPicPr>
        <xdr:cNvPr id="32" name="BExOPRCR0UW7TKXSV5WDTL348FGL" descr="S9JM17GP1802LHN4GT14BJYIC" hidden="1">
          <a:extLst>
            <a:ext uri="{FF2B5EF4-FFF2-40B4-BE49-F238E27FC236}">
              <a16:creationId xmlns:a16="http://schemas.microsoft.com/office/drawing/2014/main" id="{C3FE4F33-ABDC-4B8C-BD9F-C45AA86D1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95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</xdr:row>
      <xdr:rowOff>0</xdr:rowOff>
    </xdr:from>
    <xdr:ext cx="123825" cy="123825"/>
    <xdr:pic>
      <xdr:nvPicPr>
        <xdr:cNvPr id="33" name="BEx5OESAY2W8SEGI3TSB65EHJ04B" descr="9CN2Y88X8WYV1HWZG1QILY9BK" hidden="1">
          <a:extLst>
            <a:ext uri="{FF2B5EF4-FFF2-40B4-BE49-F238E27FC236}">
              <a16:creationId xmlns:a16="http://schemas.microsoft.com/office/drawing/2014/main" id="{60EFA982-FE39-48F3-A165-709986408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76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</xdr:row>
      <xdr:rowOff>0</xdr:rowOff>
    </xdr:from>
    <xdr:ext cx="123825" cy="123825"/>
    <xdr:pic>
      <xdr:nvPicPr>
        <xdr:cNvPr id="34" name="BExGMWEQ2BYRY9BAO5T1X850MJN1" descr="AZ9ST0XDIOP50HSUFO5V31BR0" hidden="1">
          <a:extLst>
            <a:ext uri="{FF2B5EF4-FFF2-40B4-BE49-F238E27FC236}">
              <a16:creationId xmlns:a16="http://schemas.microsoft.com/office/drawing/2014/main" id="{441A4B28-7EE9-42A6-A429-D022D55B6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57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12</xdr:row>
      <xdr:rowOff>9525</xdr:rowOff>
    </xdr:from>
    <xdr:ext cx="47625" cy="47625"/>
    <xdr:pic>
      <xdr:nvPicPr>
        <xdr:cNvPr id="35" name="BExMO7VFCN4EL59982UR4AJ25JNJ" descr="XX6TINEJADZGKR0CTM7ZRT0RA" hidden="1">
          <a:extLst>
            <a:ext uri="{FF2B5EF4-FFF2-40B4-BE49-F238E27FC236}">
              <a16:creationId xmlns:a16="http://schemas.microsoft.com/office/drawing/2014/main" id="{F3DA7E57-6768-4E28-B4FD-CDCADD3E8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295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</xdr:row>
      <xdr:rowOff>85725</xdr:rowOff>
    </xdr:from>
    <xdr:ext cx="47625" cy="47625"/>
    <xdr:pic>
      <xdr:nvPicPr>
        <xdr:cNvPr id="36" name="BExU3EX5JJCXCII4YKUJBFBGIJR2" descr="OF5ZI9PI5WH36VPANJ2DYLNMI" hidden="1">
          <a:extLst>
            <a:ext uri="{FF2B5EF4-FFF2-40B4-BE49-F238E27FC236}">
              <a16:creationId xmlns:a16="http://schemas.microsoft.com/office/drawing/2014/main" id="{0DF3C04E-CC3C-4CC8-9DA7-37E930441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371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12</xdr:row>
      <xdr:rowOff>9525</xdr:rowOff>
    </xdr:from>
    <xdr:ext cx="47625" cy="47625"/>
    <xdr:pic>
      <xdr:nvPicPr>
        <xdr:cNvPr id="37" name="BEx1KD7H6UB1VYCJ7O61P562EIUY" descr="IQGV9140X0K0UPBL8OGU3I44J" hidden="1">
          <a:extLst>
            <a:ext uri="{FF2B5EF4-FFF2-40B4-BE49-F238E27FC236}">
              <a16:creationId xmlns:a16="http://schemas.microsoft.com/office/drawing/2014/main" id="{BC909633-F5A8-422C-82A9-2EABD335D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2295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12</xdr:row>
      <xdr:rowOff>85725</xdr:rowOff>
    </xdr:from>
    <xdr:ext cx="47625" cy="47625"/>
    <xdr:pic>
      <xdr:nvPicPr>
        <xdr:cNvPr id="38" name="BEx5BJQWS6YWHH4ZMSUAMD641V6Y" descr="ZTMFMXCIQSECDX38ALEFHUB00" hidden="1">
          <a:extLst>
            <a:ext uri="{FF2B5EF4-FFF2-40B4-BE49-F238E27FC236}">
              <a16:creationId xmlns:a16="http://schemas.microsoft.com/office/drawing/2014/main" id="{8C79D554-8273-423B-A37A-F8C8BBB08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2371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12</xdr:row>
      <xdr:rowOff>9525</xdr:rowOff>
    </xdr:from>
    <xdr:ext cx="47625" cy="47625"/>
    <xdr:pic>
      <xdr:nvPicPr>
        <xdr:cNvPr id="39" name="BExVTO5Q8G2M7BPL4B2584LQS0R0" descr="OB6Q8NA4LZFE4GM9Y3V56BPMQ" hidden="1">
          <a:extLst>
            <a:ext uri="{FF2B5EF4-FFF2-40B4-BE49-F238E27FC236}">
              <a16:creationId xmlns:a16="http://schemas.microsoft.com/office/drawing/2014/main" id="{2297F468-BE71-4443-B0AA-5A7B6F514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2295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12</xdr:row>
      <xdr:rowOff>85725</xdr:rowOff>
    </xdr:from>
    <xdr:ext cx="47625" cy="47625"/>
    <xdr:pic>
      <xdr:nvPicPr>
        <xdr:cNvPr id="40" name="BExIFSCLN1G86X78PFLTSMRP0US5" descr="9JK4SPV4DG7VTCZIILWHXQU5J" hidden="1">
          <a:extLst>
            <a:ext uri="{FF2B5EF4-FFF2-40B4-BE49-F238E27FC236}">
              <a16:creationId xmlns:a16="http://schemas.microsoft.com/office/drawing/2014/main" id="{6DE83AFC-B897-45AE-A23E-F867CFC32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2371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</xdr:row>
      <xdr:rowOff>9525</xdr:rowOff>
    </xdr:from>
    <xdr:ext cx="47625" cy="47625"/>
    <xdr:pic>
      <xdr:nvPicPr>
        <xdr:cNvPr id="41" name="BEx1I152WN2D3A85O2XN0DGXCWHN" descr="KHBZFMANRA4UMJR1AB4M5NJNT" hidden="1">
          <a:extLst>
            <a:ext uri="{FF2B5EF4-FFF2-40B4-BE49-F238E27FC236}">
              <a16:creationId xmlns:a16="http://schemas.microsoft.com/office/drawing/2014/main" id="{5F9A752E-EF5A-4BB4-8C9E-BC9265B5A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295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</xdr:row>
      <xdr:rowOff>85725</xdr:rowOff>
    </xdr:from>
    <xdr:ext cx="47625" cy="47625"/>
    <xdr:pic>
      <xdr:nvPicPr>
        <xdr:cNvPr id="42" name="BExW9676P0SKCVKK25QCGHPA3PAD" descr="9A4PWZ20RMSRF0PNECCDM75CA" hidden="1">
          <a:extLst>
            <a:ext uri="{FF2B5EF4-FFF2-40B4-BE49-F238E27FC236}">
              <a16:creationId xmlns:a16="http://schemas.microsoft.com/office/drawing/2014/main" id="{9AC05942-FBFF-4992-9D0E-4090AC971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371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14</xdr:row>
      <xdr:rowOff>0</xdr:rowOff>
    </xdr:from>
    <xdr:ext cx="123825" cy="123825"/>
    <xdr:pic>
      <xdr:nvPicPr>
        <xdr:cNvPr id="43" name="BExW253QPOZK9KW8BJC3LBXGCG2N" descr="Y5HX37BEUWSN1NEFJKZJXI3SX" hidden="1">
          <a:extLst>
            <a:ext uri="{FF2B5EF4-FFF2-40B4-BE49-F238E27FC236}">
              <a16:creationId xmlns:a16="http://schemas.microsoft.com/office/drawing/2014/main" id="{B47C78CB-11C3-4B0D-AE76-E4DB0288F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2667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12</xdr:row>
      <xdr:rowOff>9525</xdr:rowOff>
    </xdr:from>
    <xdr:ext cx="47625" cy="47625"/>
    <xdr:pic>
      <xdr:nvPicPr>
        <xdr:cNvPr id="44" name="BExS5CPQ8P8JOQPK7ANNKHLSGOKU" hidden="1">
          <a:extLst>
            <a:ext uri="{FF2B5EF4-FFF2-40B4-BE49-F238E27FC236}">
              <a16:creationId xmlns:a16="http://schemas.microsoft.com/office/drawing/2014/main" id="{E5378986-5DD6-4551-967B-C2417BD9E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295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</xdr:row>
      <xdr:rowOff>85725</xdr:rowOff>
    </xdr:from>
    <xdr:ext cx="47625" cy="47625"/>
    <xdr:pic>
      <xdr:nvPicPr>
        <xdr:cNvPr id="45" name="BExMM0AVUAIRNJLXB1FW8R0YB4ZZ" hidden="1">
          <a:extLst>
            <a:ext uri="{FF2B5EF4-FFF2-40B4-BE49-F238E27FC236}">
              <a16:creationId xmlns:a16="http://schemas.microsoft.com/office/drawing/2014/main" id="{AEFA324A-6F15-4592-BA41-2DD02FA25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371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12</xdr:row>
      <xdr:rowOff>9525</xdr:rowOff>
    </xdr:from>
    <xdr:ext cx="47625" cy="47625"/>
    <xdr:pic>
      <xdr:nvPicPr>
        <xdr:cNvPr id="46" name="BExXZ7Y09CBS0XA7IPB3IRJ8RJM4" hidden="1">
          <a:extLst>
            <a:ext uri="{FF2B5EF4-FFF2-40B4-BE49-F238E27FC236}">
              <a16:creationId xmlns:a16="http://schemas.microsoft.com/office/drawing/2014/main" id="{C2F83DF3-87CD-4B4A-825E-A1CEF395C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295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</xdr:row>
      <xdr:rowOff>85725</xdr:rowOff>
    </xdr:from>
    <xdr:ext cx="47625" cy="47625"/>
    <xdr:pic>
      <xdr:nvPicPr>
        <xdr:cNvPr id="47" name="BExQ7SXS9VUG7P6CACU2J7R2SGIZ" hidden="1">
          <a:extLst>
            <a:ext uri="{FF2B5EF4-FFF2-40B4-BE49-F238E27FC236}">
              <a16:creationId xmlns:a16="http://schemas.microsoft.com/office/drawing/2014/main" id="{8E024459-919B-4B12-887A-2983110C9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371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12</xdr:row>
      <xdr:rowOff>9525</xdr:rowOff>
    </xdr:from>
    <xdr:ext cx="47625" cy="47625"/>
    <xdr:pic>
      <xdr:nvPicPr>
        <xdr:cNvPr id="48" name="BEx5AQZ4ETQ9LMY5EBWVH20Z7VXQ" hidden="1">
          <a:extLst>
            <a:ext uri="{FF2B5EF4-FFF2-40B4-BE49-F238E27FC236}">
              <a16:creationId xmlns:a16="http://schemas.microsoft.com/office/drawing/2014/main" id="{39674AE4-2581-46D4-A05E-A1A2E4F1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2295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12</xdr:row>
      <xdr:rowOff>85725</xdr:rowOff>
    </xdr:from>
    <xdr:ext cx="47625" cy="47625"/>
    <xdr:pic>
      <xdr:nvPicPr>
        <xdr:cNvPr id="49" name="BExUBK0YZ5VYFY8TTITJGJU9S06A" hidden="1">
          <a:extLst>
            <a:ext uri="{FF2B5EF4-FFF2-40B4-BE49-F238E27FC236}">
              <a16:creationId xmlns:a16="http://schemas.microsoft.com/office/drawing/2014/main" id="{30EDE8B5-2EB4-4FAA-9B4B-6A5EF3A71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2371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12</xdr:row>
      <xdr:rowOff>9525</xdr:rowOff>
    </xdr:from>
    <xdr:ext cx="47625" cy="47625"/>
    <xdr:pic>
      <xdr:nvPicPr>
        <xdr:cNvPr id="50" name="BExUEZCSSJ7RN4J18I2NUIQR2FZS" hidden="1">
          <a:extLst>
            <a:ext uri="{FF2B5EF4-FFF2-40B4-BE49-F238E27FC236}">
              <a16:creationId xmlns:a16="http://schemas.microsoft.com/office/drawing/2014/main" id="{C099E619-882B-44B1-B1AF-EF5DB6C1F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2295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12</xdr:row>
      <xdr:rowOff>85725</xdr:rowOff>
    </xdr:from>
    <xdr:ext cx="47625" cy="47625"/>
    <xdr:pic>
      <xdr:nvPicPr>
        <xdr:cNvPr id="51" name="BExS3JDQWF7U3F5JTEVOE16ASIYK" hidden="1">
          <a:extLst>
            <a:ext uri="{FF2B5EF4-FFF2-40B4-BE49-F238E27FC236}">
              <a16:creationId xmlns:a16="http://schemas.microsoft.com/office/drawing/2014/main" id="{01E4DB15-1038-43A4-9AC3-52B740CA0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2371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15</xdr:row>
      <xdr:rowOff>0</xdr:rowOff>
    </xdr:from>
    <xdr:ext cx="123825" cy="123825"/>
    <xdr:pic>
      <xdr:nvPicPr>
        <xdr:cNvPr id="52" name="BEx973S463FCQVJ7QDFBUIU0WJ3F" descr="ZQTVYL8DCSADVT0QMRXFLU0TR" hidden="1">
          <a:extLst>
            <a:ext uri="{FF2B5EF4-FFF2-40B4-BE49-F238E27FC236}">
              <a16:creationId xmlns:a16="http://schemas.microsoft.com/office/drawing/2014/main" id="{77B72779-101A-4668-A3EF-BD3CE92B2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2857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14</xdr:row>
      <xdr:rowOff>0</xdr:rowOff>
    </xdr:from>
    <xdr:ext cx="123825" cy="123825"/>
    <xdr:pic>
      <xdr:nvPicPr>
        <xdr:cNvPr id="53" name="BEx5FXJGJOT93D0J2IRJ3985IUMI" hidden="1">
          <a:extLst>
            <a:ext uri="{FF2B5EF4-FFF2-40B4-BE49-F238E27FC236}">
              <a16:creationId xmlns:a16="http://schemas.microsoft.com/office/drawing/2014/main" id="{10108098-2BBE-46DB-BED1-2BD0196FC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667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13</xdr:row>
      <xdr:rowOff>0</xdr:rowOff>
    </xdr:from>
    <xdr:ext cx="123825" cy="123825"/>
    <xdr:pic>
      <xdr:nvPicPr>
        <xdr:cNvPr id="54" name="BEx3RTMHAR35NUAAK49TV6NU7EPA" descr="QFXLG4ZCXTRQSJYFCKJ58G9N8" hidden="1">
          <a:extLst>
            <a:ext uri="{FF2B5EF4-FFF2-40B4-BE49-F238E27FC236}">
              <a16:creationId xmlns:a16="http://schemas.microsoft.com/office/drawing/2014/main" id="{175043FB-C3DA-44F8-B7B6-47CD0E5FC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247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16</xdr:row>
      <xdr:rowOff>0</xdr:rowOff>
    </xdr:from>
    <xdr:ext cx="123825" cy="123825"/>
    <xdr:pic>
      <xdr:nvPicPr>
        <xdr:cNvPr id="55" name="BExS8T38WLC2R738ZC7BDJQAKJAJ" descr="MRI962L5PB0E0YWXCIBN82VJH" hidden="1">
          <a:extLst>
            <a:ext uri="{FF2B5EF4-FFF2-40B4-BE49-F238E27FC236}">
              <a16:creationId xmlns:a16="http://schemas.microsoft.com/office/drawing/2014/main" id="{3A9C7443-360A-4ECA-97E3-DF786D406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3048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14</xdr:row>
      <xdr:rowOff>0</xdr:rowOff>
    </xdr:from>
    <xdr:ext cx="123825" cy="123825"/>
    <xdr:pic>
      <xdr:nvPicPr>
        <xdr:cNvPr id="56" name="BEx5F64BJ6DCM4EJH81D5ZFNPZ0V" descr="7DJ9FILZD2YPS6X1JBP9E76TU" hidden="1">
          <a:extLst>
            <a:ext uri="{FF2B5EF4-FFF2-40B4-BE49-F238E27FC236}">
              <a16:creationId xmlns:a16="http://schemas.microsoft.com/office/drawing/2014/main" id="{FA3DD589-355C-42E9-B8A2-4A5FEC023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667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14</xdr:row>
      <xdr:rowOff>0</xdr:rowOff>
    </xdr:from>
    <xdr:ext cx="123825" cy="123825"/>
    <xdr:pic>
      <xdr:nvPicPr>
        <xdr:cNvPr id="57" name="BExQEXXHA3EEXR44LT6RKCDWM6ZT" hidden="1">
          <a:extLst>
            <a:ext uri="{FF2B5EF4-FFF2-40B4-BE49-F238E27FC236}">
              <a16:creationId xmlns:a16="http://schemas.microsoft.com/office/drawing/2014/main" id="{4A43C9DB-D257-4AC5-8BD1-3D6422DC7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667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18</xdr:row>
      <xdr:rowOff>0</xdr:rowOff>
    </xdr:from>
    <xdr:ext cx="123825" cy="123825"/>
    <xdr:pic>
      <xdr:nvPicPr>
        <xdr:cNvPr id="58" name="BEx1X6AMHV6ZK3UJB2BXIJTJHYJU" descr="OALR4L95ELQLZ1Y1LETHM1CS9" hidden="1">
          <a:extLst>
            <a:ext uri="{FF2B5EF4-FFF2-40B4-BE49-F238E27FC236}">
              <a16:creationId xmlns:a16="http://schemas.microsoft.com/office/drawing/2014/main" id="{D34EB862-481C-4827-A5D4-ABC204DEC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342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13</xdr:row>
      <xdr:rowOff>0</xdr:rowOff>
    </xdr:from>
    <xdr:ext cx="123825" cy="123825"/>
    <xdr:pic>
      <xdr:nvPicPr>
        <xdr:cNvPr id="59" name="BExSDIVCE09QKG3CT52PHCS6ZJ09" descr="9F076L7EQCF2COMMGCQG6BQGU" hidden="1">
          <a:extLst>
            <a:ext uri="{FF2B5EF4-FFF2-40B4-BE49-F238E27FC236}">
              <a16:creationId xmlns:a16="http://schemas.microsoft.com/office/drawing/2014/main" id="{758AE560-59D2-4B9B-90F9-0BC379A3B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247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21</xdr:row>
      <xdr:rowOff>0</xdr:rowOff>
    </xdr:from>
    <xdr:ext cx="123825" cy="123825"/>
    <xdr:pic>
      <xdr:nvPicPr>
        <xdr:cNvPr id="60" name="BExS343F8GCKP6HTF9Y97L133DX8" descr="ZRF0KB1IYQSNV63CTXT25G67G" hidden="1">
          <a:extLst>
            <a:ext uri="{FF2B5EF4-FFF2-40B4-BE49-F238E27FC236}">
              <a16:creationId xmlns:a16="http://schemas.microsoft.com/office/drawing/2014/main" id="{0AC4CD65-781C-4E82-9236-5933E4739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4000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20</xdr:row>
      <xdr:rowOff>0</xdr:rowOff>
    </xdr:from>
    <xdr:ext cx="123825" cy="123825"/>
    <xdr:pic>
      <xdr:nvPicPr>
        <xdr:cNvPr id="61" name="BExZMRC09W87CY4B73NPZMNH21AH" descr="78CUMI0OVLYJRSDRQ3V2YX812" hidden="1">
          <a:extLst>
            <a:ext uri="{FF2B5EF4-FFF2-40B4-BE49-F238E27FC236}">
              <a16:creationId xmlns:a16="http://schemas.microsoft.com/office/drawing/2014/main" id="{555C9083-1A34-4765-85B4-45E084109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3810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19</xdr:row>
      <xdr:rowOff>9525</xdr:rowOff>
    </xdr:from>
    <xdr:ext cx="123825" cy="123825"/>
    <xdr:pic>
      <xdr:nvPicPr>
        <xdr:cNvPr id="62" name="BExZXVFJ4DY4I24AARDT4AMP6EN1" descr="TXSMH2MTH86CYKA26740RQPUC" hidden="1">
          <a:extLst>
            <a:ext uri="{FF2B5EF4-FFF2-40B4-BE49-F238E27FC236}">
              <a16:creationId xmlns:a16="http://schemas.microsoft.com/office/drawing/2014/main" id="{CC2362E2-422B-4C80-A98D-5D13BF31E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3629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18</xdr:row>
      <xdr:rowOff>0</xdr:rowOff>
    </xdr:from>
    <xdr:ext cx="123825" cy="123825"/>
    <xdr:pic>
      <xdr:nvPicPr>
        <xdr:cNvPr id="63" name="BExOCUIOFQWUGTBU5ESTW3EYEP5C" descr="9BNF49V0R6VVYPHEVMJ3ABDQZ" hidden="1">
          <a:extLst>
            <a:ext uri="{FF2B5EF4-FFF2-40B4-BE49-F238E27FC236}">
              <a16:creationId xmlns:a16="http://schemas.microsoft.com/office/drawing/2014/main" id="{5C0CCFC9-E071-4AF7-8217-996F043A7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342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17</xdr:row>
      <xdr:rowOff>0</xdr:rowOff>
    </xdr:from>
    <xdr:ext cx="123825" cy="123825"/>
    <xdr:pic>
      <xdr:nvPicPr>
        <xdr:cNvPr id="64" name="BExU65O9OE4B4MQ2A3OYH13M8BZJ" descr="3INNIMMPDBB0JF37L81M6ID21" hidden="1">
          <a:extLst>
            <a:ext uri="{FF2B5EF4-FFF2-40B4-BE49-F238E27FC236}">
              <a16:creationId xmlns:a16="http://schemas.microsoft.com/office/drawing/2014/main" id="{6525AF03-683A-4E80-811D-E431F0498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3238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16</xdr:row>
      <xdr:rowOff>0</xdr:rowOff>
    </xdr:from>
    <xdr:ext cx="123825" cy="123825"/>
    <xdr:pic>
      <xdr:nvPicPr>
        <xdr:cNvPr id="65" name="BExOPRCR0UW7TKXSV5WDTL348FGL" descr="S9JM17GP1802LHN4GT14BJYIC" hidden="1">
          <a:extLst>
            <a:ext uri="{FF2B5EF4-FFF2-40B4-BE49-F238E27FC236}">
              <a16:creationId xmlns:a16="http://schemas.microsoft.com/office/drawing/2014/main" id="{75373ADE-7FB2-48EC-8F01-6C41641C0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3048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15</xdr:row>
      <xdr:rowOff>0</xdr:rowOff>
    </xdr:from>
    <xdr:ext cx="123825" cy="123825"/>
    <xdr:pic>
      <xdr:nvPicPr>
        <xdr:cNvPr id="66" name="BEx5OESAY2W8SEGI3TSB65EHJ04B" descr="9CN2Y88X8WYV1HWZG1QILY9BK" hidden="1">
          <a:extLst>
            <a:ext uri="{FF2B5EF4-FFF2-40B4-BE49-F238E27FC236}">
              <a16:creationId xmlns:a16="http://schemas.microsoft.com/office/drawing/2014/main" id="{0037ED61-448F-4511-9BE6-DC8BC1B17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857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14</xdr:row>
      <xdr:rowOff>0</xdr:rowOff>
    </xdr:from>
    <xdr:ext cx="123825" cy="123825"/>
    <xdr:pic>
      <xdr:nvPicPr>
        <xdr:cNvPr id="67" name="BExGMWEQ2BYRY9BAO5T1X850MJN1" descr="AZ9ST0XDIOP50HSUFO5V31BR0" hidden="1">
          <a:extLst>
            <a:ext uri="{FF2B5EF4-FFF2-40B4-BE49-F238E27FC236}">
              <a16:creationId xmlns:a16="http://schemas.microsoft.com/office/drawing/2014/main" id="{BE77D0D1-8FA2-4760-9690-C90797006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667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23</xdr:row>
      <xdr:rowOff>9525</xdr:rowOff>
    </xdr:from>
    <xdr:ext cx="47625" cy="47625"/>
    <xdr:pic>
      <xdr:nvPicPr>
        <xdr:cNvPr id="68" name="BExMO7VFCN4EL59982UR4AJ25JNJ" descr="XX6TINEJADZGKR0CTM7ZRT0RA" hidden="1">
          <a:extLst>
            <a:ext uri="{FF2B5EF4-FFF2-40B4-BE49-F238E27FC236}">
              <a16:creationId xmlns:a16="http://schemas.microsoft.com/office/drawing/2014/main" id="{67AA5A08-B5E9-4C38-BE7E-818377FE8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4391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23</xdr:row>
      <xdr:rowOff>85725</xdr:rowOff>
    </xdr:from>
    <xdr:ext cx="47625" cy="47625"/>
    <xdr:pic>
      <xdr:nvPicPr>
        <xdr:cNvPr id="69" name="BExU3EX5JJCXCII4YKUJBFBGIJR2" descr="OF5ZI9PI5WH36VPANJ2DYLNMI" hidden="1">
          <a:extLst>
            <a:ext uri="{FF2B5EF4-FFF2-40B4-BE49-F238E27FC236}">
              <a16:creationId xmlns:a16="http://schemas.microsoft.com/office/drawing/2014/main" id="{5FB1E14B-D53B-4360-BE69-7720DB114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4467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23</xdr:row>
      <xdr:rowOff>9525</xdr:rowOff>
    </xdr:from>
    <xdr:ext cx="47625" cy="47625"/>
    <xdr:pic>
      <xdr:nvPicPr>
        <xdr:cNvPr id="70" name="BEx1KD7H6UB1VYCJ7O61P562EIUY" descr="IQGV9140X0K0UPBL8OGU3I44J" hidden="1">
          <a:extLst>
            <a:ext uri="{FF2B5EF4-FFF2-40B4-BE49-F238E27FC236}">
              <a16:creationId xmlns:a16="http://schemas.microsoft.com/office/drawing/2014/main" id="{94058C53-B742-4EB0-941B-CF4714C25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4391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23</xdr:row>
      <xdr:rowOff>85725</xdr:rowOff>
    </xdr:from>
    <xdr:ext cx="47625" cy="47625"/>
    <xdr:pic>
      <xdr:nvPicPr>
        <xdr:cNvPr id="71" name="BEx5BJQWS6YWHH4ZMSUAMD641V6Y" descr="ZTMFMXCIQSECDX38ALEFHUB00" hidden="1">
          <a:extLst>
            <a:ext uri="{FF2B5EF4-FFF2-40B4-BE49-F238E27FC236}">
              <a16:creationId xmlns:a16="http://schemas.microsoft.com/office/drawing/2014/main" id="{C11F80A9-2C75-4F29-8542-3214AC9B7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4467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23</xdr:row>
      <xdr:rowOff>9525</xdr:rowOff>
    </xdr:from>
    <xdr:ext cx="47625" cy="47625"/>
    <xdr:pic>
      <xdr:nvPicPr>
        <xdr:cNvPr id="72" name="BExVTO5Q8G2M7BPL4B2584LQS0R0" descr="OB6Q8NA4LZFE4GM9Y3V56BPMQ" hidden="1">
          <a:extLst>
            <a:ext uri="{FF2B5EF4-FFF2-40B4-BE49-F238E27FC236}">
              <a16:creationId xmlns:a16="http://schemas.microsoft.com/office/drawing/2014/main" id="{73C5F999-4582-497E-BF03-924A822D1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4391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23</xdr:row>
      <xdr:rowOff>85725</xdr:rowOff>
    </xdr:from>
    <xdr:ext cx="47625" cy="47625"/>
    <xdr:pic>
      <xdr:nvPicPr>
        <xdr:cNvPr id="73" name="BExIFSCLN1G86X78PFLTSMRP0US5" descr="9JK4SPV4DG7VTCZIILWHXQU5J" hidden="1">
          <a:extLst>
            <a:ext uri="{FF2B5EF4-FFF2-40B4-BE49-F238E27FC236}">
              <a16:creationId xmlns:a16="http://schemas.microsoft.com/office/drawing/2014/main" id="{75BFC76A-FFAC-4852-BE74-1AB24949A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4467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23</xdr:row>
      <xdr:rowOff>9525</xdr:rowOff>
    </xdr:from>
    <xdr:ext cx="47625" cy="47625"/>
    <xdr:pic>
      <xdr:nvPicPr>
        <xdr:cNvPr id="74" name="BEx1I152WN2D3A85O2XN0DGXCWHN" descr="KHBZFMANRA4UMJR1AB4M5NJNT" hidden="1">
          <a:extLst>
            <a:ext uri="{FF2B5EF4-FFF2-40B4-BE49-F238E27FC236}">
              <a16:creationId xmlns:a16="http://schemas.microsoft.com/office/drawing/2014/main" id="{AB4D7D4D-4759-4772-B839-0D1E471F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4391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23</xdr:row>
      <xdr:rowOff>85725</xdr:rowOff>
    </xdr:from>
    <xdr:ext cx="47625" cy="47625"/>
    <xdr:pic>
      <xdr:nvPicPr>
        <xdr:cNvPr id="75" name="BExW9676P0SKCVKK25QCGHPA3PAD" descr="9A4PWZ20RMSRF0PNECCDM75CA" hidden="1">
          <a:extLst>
            <a:ext uri="{FF2B5EF4-FFF2-40B4-BE49-F238E27FC236}">
              <a16:creationId xmlns:a16="http://schemas.microsoft.com/office/drawing/2014/main" id="{879D6323-D3F6-4BB5-96A4-AE301621A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4467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25</xdr:row>
      <xdr:rowOff>0</xdr:rowOff>
    </xdr:from>
    <xdr:ext cx="123825" cy="123825"/>
    <xdr:pic>
      <xdr:nvPicPr>
        <xdr:cNvPr id="76" name="BExW253QPOZK9KW8BJC3LBXGCG2N" descr="Y5HX37BEUWSN1NEFJKZJXI3SX" hidden="1">
          <a:extLst>
            <a:ext uri="{FF2B5EF4-FFF2-40B4-BE49-F238E27FC236}">
              <a16:creationId xmlns:a16="http://schemas.microsoft.com/office/drawing/2014/main" id="{FC687844-8C24-4005-AD54-7C2A75A90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476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23</xdr:row>
      <xdr:rowOff>9525</xdr:rowOff>
    </xdr:from>
    <xdr:ext cx="47625" cy="47625"/>
    <xdr:pic>
      <xdr:nvPicPr>
        <xdr:cNvPr id="77" name="BExS5CPQ8P8JOQPK7ANNKHLSGOKU" hidden="1">
          <a:extLst>
            <a:ext uri="{FF2B5EF4-FFF2-40B4-BE49-F238E27FC236}">
              <a16:creationId xmlns:a16="http://schemas.microsoft.com/office/drawing/2014/main" id="{0C04056C-8AF9-4FE2-A0F3-BF41E51F6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4391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23</xdr:row>
      <xdr:rowOff>85725</xdr:rowOff>
    </xdr:from>
    <xdr:ext cx="47625" cy="47625"/>
    <xdr:pic>
      <xdr:nvPicPr>
        <xdr:cNvPr id="78" name="BExMM0AVUAIRNJLXB1FW8R0YB4ZZ" hidden="1">
          <a:extLst>
            <a:ext uri="{FF2B5EF4-FFF2-40B4-BE49-F238E27FC236}">
              <a16:creationId xmlns:a16="http://schemas.microsoft.com/office/drawing/2014/main" id="{370C0EEB-1F97-4D08-9C39-3B60D639A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4467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23</xdr:row>
      <xdr:rowOff>9525</xdr:rowOff>
    </xdr:from>
    <xdr:ext cx="47625" cy="47625"/>
    <xdr:pic>
      <xdr:nvPicPr>
        <xdr:cNvPr id="79" name="BExXZ7Y09CBS0XA7IPB3IRJ8RJM4" hidden="1">
          <a:extLst>
            <a:ext uri="{FF2B5EF4-FFF2-40B4-BE49-F238E27FC236}">
              <a16:creationId xmlns:a16="http://schemas.microsoft.com/office/drawing/2014/main" id="{EF21E91E-0BBD-4C40-98D2-ADFBE6DEB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4391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23</xdr:row>
      <xdr:rowOff>85725</xdr:rowOff>
    </xdr:from>
    <xdr:ext cx="47625" cy="47625"/>
    <xdr:pic>
      <xdr:nvPicPr>
        <xdr:cNvPr id="80" name="BExQ7SXS9VUG7P6CACU2J7R2SGIZ" hidden="1">
          <a:extLst>
            <a:ext uri="{FF2B5EF4-FFF2-40B4-BE49-F238E27FC236}">
              <a16:creationId xmlns:a16="http://schemas.microsoft.com/office/drawing/2014/main" id="{88303DBD-A659-4B91-9EC2-537ADEE86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4467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23</xdr:row>
      <xdr:rowOff>9525</xdr:rowOff>
    </xdr:from>
    <xdr:ext cx="47625" cy="47625"/>
    <xdr:pic>
      <xdr:nvPicPr>
        <xdr:cNvPr id="81" name="BEx5AQZ4ETQ9LMY5EBWVH20Z7VXQ" hidden="1">
          <a:extLst>
            <a:ext uri="{FF2B5EF4-FFF2-40B4-BE49-F238E27FC236}">
              <a16:creationId xmlns:a16="http://schemas.microsoft.com/office/drawing/2014/main" id="{7A9FA60E-A4DE-49CC-8FB6-9236697D4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4391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23</xdr:row>
      <xdr:rowOff>85725</xdr:rowOff>
    </xdr:from>
    <xdr:ext cx="47625" cy="47625"/>
    <xdr:pic>
      <xdr:nvPicPr>
        <xdr:cNvPr id="82" name="BExUBK0YZ5VYFY8TTITJGJU9S06A" hidden="1">
          <a:extLst>
            <a:ext uri="{FF2B5EF4-FFF2-40B4-BE49-F238E27FC236}">
              <a16:creationId xmlns:a16="http://schemas.microsoft.com/office/drawing/2014/main" id="{8DAD52D8-D4B7-40F6-9485-FDD944739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4467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23</xdr:row>
      <xdr:rowOff>9525</xdr:rowOff>
    </xdr:from>
    <xdr:ext cx="47625" cy="47625"/>
    <xdr:pic>
      <xdr:nvPicPr>
        <xdr:cNvPr id="83" name="BExUEZCSSJ7RN4J18I2NUIQR2FZS" hidden="1">
          <a:extLst>
            <a:ext uri="{FF2B5EF4-FFF2-40B4-BE49-F238E27FC236}">
              <a16:creationId xmlns:a16="http://schemas.microsoft.com/office/drawing/2014/main" id="{5945F577-3EAF-4D4F-A2F6-37870EF4F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4391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23</xdr:row>
      <xdr:rowOff>85725</xdr:rowOff>
    </xdr:from>
    <xdr:ext cx="47625" cy="47625"/>
    <xdr:pic>
      <xdr:nvPicPr>
        <xdr:cNvPr id="84" name="BExS3JDQWF7U3F5JTEVOE16ASIYK" hidden="1">
          <a:extLst>
            <a:ext uri="{FF2B5EF4-FFF2-40B4-BE49-F238E27FC236}">
              <a16:creationId xmlns:a16="http://schemas.microsoft.com/office/drawing/2014/main" id="{3B63CC13-A340-4F47-8086-CC3149C78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4467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26</xdr:row>
      <xdr:rowOff>0</xdr:rowOff>
    </xdr:from>
    <xdr:ext cx="123825" cy="123825"/>
    <xdr:pic>
      <xdr:nvPicPr>
        <xdr:cNvPr id="85" name="BEx973S463FCQVJ7QDFBUIU0WJ3F" descr="ZQTVYL8DCSADVT0QMRXFLU0TR" hidden="1">
          <a:extLst>
            <a:ext uri="{FF2B5EF4-FFF2-40B4-BE49-F238E27FC236}">
              <a16:creationId xmlns:a16="http://schemas.microsoft.com/office/drawing/2014/main" id="{E6BE080B-6167-43D1-9A54-68DD1DBE7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495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25</xdr:row>
      <xdr:rowOff>0</xdr:rowOff>
    </xdr:from>
    <xdr:ext cx="123825" cy="123825"/>
    <xdr:pic>
      <xdr:nvPicPr>
        <xdr:cNvPr id="86" name="BEx5FXJGJOT93D0J2IRJ3985IUMI" hidden="1">
          <a:extLst>
            <a:ext uri="{FF2B5EF4-FFF2-40B4-BE49-F238E27FC236}">
              <a16:creationId xmlns:a16="http://schemas.microsoft.com/office/drawing/2014/main" id="{8992EE1A-5A17-4615-8708-AAFCF4020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476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24</xdr:row>
      <xdr:rowOff>0</xdr:rowOff>
    </xdr:from>
    <xdr:ext cx="123825" cy="123825"/>
    <xdr:pic>
      <xdr:nvPicPr>
        <xdr:cNvPr id="87" name="BEx3RTMHAR35NUAAK49TV6NU7EPA" descr="QFXLG4ZCXTRQSJYFCKJ58G9N8" hidden="1">
          <a:extLst>
            <a:ext uri="{FF2B5EF4-FFF2-40B4-BE49-F238E27FC236}">
              <a16:creationId xmlns:a16="http://schemas.microsoft.com/office/drawing/2014/main" id="{8545DDB1-199F-49E7-9594-D057F3E19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457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27</xdr:row>
      <xdr:rowOff>0</xdr:rowOff>
    </xdr:from>
    <xdr:ext cx="123825" cy="123825"/>
    <xdr:pic>
      <xdr:nvPicPr>
        <xdr:cNvPr id="88" name="BExS8T38WLC2R738ZC7BDJQAKJAJ" descr="MRI962L5PB0E0YWXCIBN82VJH" hidden="1">
          <a:extLst>
            <a:ext uri="{FF2B5EF4-FFF2-40B4-BE49-F238E27FC236}">
              <a16:creationId xmlns:a16="http://schemas.microsoft.com/office/drawing/2014/main" id="{ABB8C29B-6AFF-4C83-AA6B-2FD0DE622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514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25</xdr:row>
      <xdr:rowOff>0</xdr:rowOff>
    </xdr:from>
    <xdr:ext cx="123825" cy="123825"/>
    <xdr:pic>
      <xdr:nvPicPr>
        <xdr:cNvPr id="89" name="BEx5F64BJ6DCM4EJH81D5ZFNPZ0V" descr="7DJ9FILZD2YPS6X1JBP9E76TU" hidden="1">
          <a:extLst>
            <a:ext uri="{FF2B5EF4-FFF2-40B4-BE49-F238E27FC236}">
              <a16:creationId xmlns:a16="http://schemas.microsoft.com/office/drawing/2014/main" id="{4BDCA016-DA07-4B2A-86BB-93A2284EA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476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25</xdr:row>
      <xdr:rowOff>0</xdr:rowOff>
    </xdr:from>
    <xdr:ext cx="123825" cy="123825"/>
    <xdr:pic>
      <xdr:nvPicPr>
        <xdr:cNvPr id="90" name="BExQEXXHA3EEXR44LT6RKCDWM6ZT" hidden="1">
          <a:extLst>
            <a:ext uri="{FF2B5EF4-FFF2-40B4-BE49-F238E27FC236}">
              <a16:creationId xmlns:a16="http://schemas.microsoft.com/office/drawing/2014/main" id="{1D8353FD-2DAD-4346-8272-199860CB3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476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29</xdr:row>
      <xdr:rowOff>0</xdr:rowOff>
    </xdr:from>
    <xdr:ext cx="123825" cy="123825"/>
    <xdr:pic>
      <xdr:nvPicPr>
        <xdr:cNvPr id="91" name="BEx1X6AMHV6ZK3UJB2BXIJTJHYJU" descr="OALR4L95ELQLZ1Y1LETHM1CS9" hidden="1">
          <a:extLst>
            <a:ext uri="{FF2B5EF4-FFF2-40B4-BE49-F238E27FC236}">
              <a16:creationId xmlns:a16="http://schemas.microsoft.com/office/drawing/2014/main" id="{3ABD6871-E882-4DE7-BA96-B666CEF6A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552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24</xdr:row>
      <xdr:rowOff>0</xdr:rowOff>
    </xdr:from>
    <xdr:ext cx="123825" cy="123825"/>
    <xdr:pic>
      <xdr:nvPicPr>
        <xdr:cNvPr id="92" name="BExSDIVCE09QKG3CT52PHCS6ZJ09" descr="9F076L7EQCF2COMMGCQG6BQGU" hidden="1">
          <a:extLst>
            <a:ext uri="{FF2B5EF4-FFF2-40B4-BE49-F238E27FC236}">
              <a16:creationId xmlns:a16="http://schemas.microsoft.com/office/drawing/2014/main" id="{9FDAE902-76C8-4B75-8C41-D9AE14F65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457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32</xdr:row>
      <xdr:rowOff>0</xdr:rowOff>
    </xdr:from>
    <xdr:ext cx="123825" cy="123825"/>
    <xdr:pic>
      <xdr:nvPicPr>
        <xdr:cNvPr id="93" name="BExS343F8GCKP6HTF9Y97L133DX8" descr="ZRF0KB1IYQSNV63CTXT25G67G" hidden="1">
          <a:extLst>
            <a:ext uri="{FF2B5EF4-FFF2-40B4-BE49-F238E27FC236}">
              <a16:creationId xmlns:a16="http://schemas.microsoft.com/office/drawing/2014/main" id="{DEB950C7-253B-424A-9CF3-8D48D60B7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6096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31</xdr:row>
      <xdr:rowOff>0</xdr:rowOff>
    </xdr:from>
    <xdr:ext cx="123825" cy="123825"/>
    <xdr:pic>
      <xdr:nvPicPr>
        <xdr:cNvPr id="94" name="BExZMRC09W87CY4B73NPZMNH21AH" descr="78CUMI0OVLYJRSDRQ3V2YX812" hidden="1">
          <a:extLst>
            <a:ext uri="{FF2B5EF4-FFF2-40B4-BE49-F238E27FC236}">
              <a16:creationId xmlns:a16="http://schemas.microsoft.com/office/drawing/2014/main" id="{3CDD25FD-B7C0-41B4-BBDA-A9866429A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590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30</xdr:row>
      <xdr:rowOff>9525</xdr:rowOff>
    </xdr:from>
    <xdr:ext cx="123825" cy="123825"/>
    <xdr:pic>
      <xdr:nvPicPr>
        <xdr:cNvPr id="95" name="BExZXVFJ4DY4I24AARDT4AMP6EN1" descr="TXSMH2MTH86CYKA26740RQPUC" hidden="1">
          <a:extLst>
            <a:ext uri="{FF2B5EF4-FFF2-40B4-BE49-F238E27FC236}">
              <a16:creationId xmlns:a16="http://schemas.microsoft.com/office/drawing/2014/main" id="{1D12A0DF-69D5-4463-8032-AF866402F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5724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29</xdr:row>
      <xdr:rowOff>0</xdr:rowOff>
    </xdr:from>
    <xdr:ext cx="123825" cy="123825"/>
    <xdr:pic>
      <xdr:nvPicPr>
        <xdr:cNvPr id="96" name="BExOCUIOFQWUGTBU5ESTW3EYEP5C" descr="9BNF49V0R6VVYPHEVMJ3ABDQZ" hidden="1">
          <a:extLst>
            <a:ext uri="{FF2B5EF4-FFF2-40B4-BE49-F238E27FC236}">
              <a16:creationId xmlns:a16="http://schemas.microsoft.com/office/drawing/2014/main" id="{03BFCD38-BE87-482C-A169-3A3CDF969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552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28</xdr:row>
      <xdr:rowOff>0</xdr:rowOff>
    </xdr:from>
    <xdr:ext cx="123825" cy="123825"/>
    <xdr:pic>
      <xdr:nvPicPr>
        <xdr:cNvPr id="97" name="BExU65O9OE4B4MQ2A3OYH13M8BZJ" descr="3INNIMMPDBB0JF37L81M6ID21" hidden="1">
          <a:extLst>
            <a:ext uri="{FF2B5EF4-FFF2-40B4-BE49-F238E27FC236}">
              <a16:creationId xmlns:a16="http://schemas.microsoft.com/office/drawing/2014/main" id="{83C9F8CA-6646-4C09-B71A-502E75A3D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5334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27</xdr:row>
      <xdr:rowOff>0</xdr:rowOff>
    </xdr:from>
    <xdr:ext cx="123825" cy="123825"/>
    <xdr:pic>
      <xdr:nvPicPr>
        <xdr:cNvPr id="98" name="BExOPRCR0UW7TKXSV5WDTL348FGL" descr="S9JM17GP1802LHN4GT14BJYIC" hidden="1">
          <a:extLst>
            <a:ext uri="{FF2B5EF4-FFF2-40B4-BE49-F238E27FC236}">
              <a16:creationId xmlns:a16="http://schemas.microsoft.com/office/drawing/2014/main" id="{419C579C-7A21-4703-8843-30BACB23F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514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26</xdr:row>
      <xdr:rowOff>0</xdr:rowOff>
    </xdr:from>
    <xdr:ext cx="123825" cy="123825"/>
    <xdr:pic>
      <xdr:nvPicPr>
        <xdr:cNvPr id="99" name="BEx5OESAY2W8SEGI3TSB65EHJ04B" descr="9CN2Y88X8WYV1HWZG1QILY9BK" hidden="1">
          <a:extLst>
            <a:ext uri="{FF2B5EF4-FFF2-40B4-BE49-F238E27FC236}">
              <a16:creationId xmlns:a16="http://schemas.microsoft.com/office/drawing/2014/main" id="{9D78BAFE-DCDB-4187-BE91-8B33BC29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495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25</xdr:row>
      <xdr:rowOff>0</xdr:rowOff>
    </xdr:from>
    <xdr:ext cx="123825" cy="123825"/>
    <xdr:pic>
      <xdr:nvPicPr>
        <xdr:cNvPr id="100" name="BExGMWEQ2BYRY9BAO5T1X850MJN1" descr="AZ9ST0XDIOP50HSUFO5V31BR0" hidden="1">
          <a:extLst>
            <a:ext uri="{FF2B5EF4-FFF2-40B4-BE49-F238E27FC236}">
              <a16:creationId xmlns:a16="http://schemas.microsoft.com/office/drawing/2014/main" id="{4BF58E42-3AE4-4AB2-809E-39C1C8137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476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34</xdr:row>
      <xdr:rowOff>9525</xdr:rowOff>
    </xdr:from>
    <xdr:ext cx="47625" cy="47625"/>
    <xdr:pic>
      <xdr:nvPicPr>
        <xdr:cNvPr id="101" name="BExMO7VFCN4EL59982UR4AJ25JNJ" descr="XX6TINEJADZGKR0CTM7ZRT0RA" hidden="1">
          <a:extLst>
            <a:ext uri="{FF2B5EF4-FFF2-40B4-BE49-F238E27FC236}">
              <a16:creationId xmlns:a16="http://schemas.microsoft.com/office/drawing/2014/main" id="{1905B141-E2B0-46DA-B488-CEEB30890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6486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34</xdr:row>
      <xdr:rowOff>85725</xdr:rowOff>
    </xdr:from>
    <xdr:ext cx="47625" cy="47625"/>
    <xdr:pic>
      <xdr:nvPicPr>
        <xdr:cNvPr id="102" name="BExU3EX5JJCXCII4YKUJBFBGIJR2" descr="OF5ZI9PI5WH36VPANJ2DYLNMI" hidden="1">
          <a:extLst>
            <a:ext uri="{FF2B5EF4-FFF2-40B4-BE49-F238E27FC236}">
              <a16:creationId xmlns:a16="http://schemas.microsoft.com/office/drawing/2014/main" id="{1C5CAC68-0180-49F0-841F-EC686E1BB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6562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34</xdr:row>
      <xdr:rowOff>9525</xdr:rowOff>
    </xdr:from>
    <xdr:ext cx="47625" cy="47625"/>
    <xdr:pic>
      <xdr:nvPicPr>
        <xdr:cNvPr id="103" name="BEx1KD7H6UB1VYCJ7O61P562EIUY" descr="IQGV9140X0K0UPBL8OGU3I44J" hidden="1">
          <a:extLst>
            <a:ext uri="{FF2B5EF4-FFF2-40B4-BE49-F238E27FC236}">
              <a16:creationId xmlns:a16="http://schemas.microsoft.com/office/drawing/2014/main" id="{54F922D6-842F-4A64-8CD8-3609C8D61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6486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34</xdr:row>
      <xdr:rowOff>85725</xdr:rowOff>
    </xdr:from>
    <xdr:ext cx="47625" cy="47625"/>
    <xdr:pic>
      <xdr:nvPicPr>
        <xdr:cNvPr id="104" name="BEx5BJQWS6YWHH4ZMSUAMD641V6Y" descr="ZTMFMXCIQSECDX38ALEFHUB00" hidden="1">
          <a:extLst>
            <a:ext uri="{FF2B5EF4-FFF2-40B4-BE49-F238E27FC236}">
              <a16:creationId xmlns:a16="http://schemas.microsoft.com/office/drawing/2014/main" id="{E1DCC7EB-863A-42A1-A785-CC72A7406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6562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34</xdr:row>
      <xdr:rowOff>9525</xdr:rowOff>
    </xdr:from>
    <xdr:ext cx="47625" cy="47625"/>
    <xdr:pic>
      <xdr:nvPicPr>
        <xdr:cNvPr id="105" name="BExVTO5Q8G2M7BPL4B2584LQS0R0" descr="OB6Q8NA4LZFE4GM9Y3V56BPMQ" hidden="1">
          <a:extLst>
            <a:ext uri="{FF2B5EF4-FFF2-40B4-BE49-F238E27FC236}">
              <a16:creationId xmlns:a16="http://schemas.microsoft.com/office/drawing/2014/main" id="{8EEEDB14-30FE-4BD8-A41C-6275B84F2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6486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34</xdr:row>
      <xdr:rowOff>85725</xdr:rowOff>
    </xdr:from>
    <xdr:ext cx="47625" cy="47625"/>
    <xdr:pic>
      <xdr:nvPicPr>
        <xdr:cNvPr id="106" name="BExIFSCLN1G86X78PFLTSMRP0US5" descr="9JK4SPV4DG7VTCZIILWHXQU5J" hidden="1">
          <a:extLst>
            <a:ext uri="{FF2B5EF4-FFF2-40B4-BE49-F238E27FC236}">
              <a16:creationId xmlns:a16="http://schemas.microsoft.com/office/drawing/2014/main" id="{919EA154-3763-463A-93FD-898097F0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6562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34</xdr:row>
      <xdr:rowOff>9525</xdr:rowOff>
    </xdr:from>
    <xdr:ext cx="47625" cy="47625"/>
    <xdr:pic>
      <xdr:nvPicPr>
        <xdr:cNvPr id="107" name="BEx1I152WN2D3A85O2XN0DGXCWHN" descr="KHBZFMANRA4UMJR1AB4M5NJNT" hidden="1">
          <a:extLst>
            <a:ext uri="{FF2B5EF4-FFF2-40B4-BE49-F238E27FC236}">
              <a16:creationId xmlns:a16="http://schemas.microsoft.com/office/drawing/2014/main" id="{098130D6-02F6-46B6-895F-E2D21C466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6486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34</xdr:row>
      <xdr:rowOff>85725</xdr:rowOff>
    </xdr:from>
    <xdr:ext cx="47625" cy="47625"/>
    <xdr:pic>
      <xdr:nvPicPr>
        <xdr:cNvPr id="108" name="BExW9676P0SKCVKK25QCGHPA3PAD" descr="9A4PWZ20RMSRF0PNECCDM75CA" hidden="1">
          <a:extLst>
            <a:ext uri="{FF2B5EF4-FFF2-40B4-BE49-F238E27FC236}">
              <a16:creationId xmlns:a16="http://schemas.microsoft.com/office/drawing/2014/main" id="{66C3588C-1B85-47E5-B04D-C73553460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6562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36</xdr:row>
      <xdr:rowOff>0</xdr:rowOff>
    </xdr:from>
    <xdr:ext cx="123825" cy="123825"/>
    <xdr:pic>
      <xdr:nvPicPr>
        <xdr:cNvPr id="109" name="BExW253QPOZK9KW8BJC3LBXGCG2N" descr="Y5HX37BEUWSN1NEFJKZJXI3SX" hidden="1">
          <a:extLst>
            <a:ext uri="{FF2B5EF4-FFF2-40B4-BE49-F238E27FC236}">
              <a16:creationId xmlns:a16="http://schemas.microsoft.com/office/drawing/2014/main" id="{6C85C0AC-97FF-4AD0-806B-BFD55C9AC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6858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34</xdr:row>
      <xdr:rowOff>9525</xdr:rowOff>
    </xdr:from>
    <xdr:ext cx="47625" cy="47625"/>
    <xdr:pic>
      <xdr:nvPicPr>
        <xdr:cNvPr id="110" name="BExS5CPQ8P8JOQPK7ANNKHLSGOKU" hidden="1">
          <a:extLst>
            <a:ext uri="{FF2B5EF4-FFF2-40B4-BE49-F238E27FC236}">
              <a16:creationId xmlns:a16="http://schemas.microsoft.com/office/drawing/2014/main" id="{DF8969CF-525F-4625-9E88-4986DE77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6486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34</xdr:row>
      <xdr:rowOff>85725</xdr:rowOff>
    </xdr:from>
    <xdr:ext cx="47625" cy="47625"/>
    <xdr:pic>
      <xdr:nvPicPr>
        <xdr:cNvPr id="111" name="BExMM0AVUAIRNJLXB1FW8R0YB4ZZ" hidden="1">
          <a:extLst>
            <a:ext uri="{FF2B5EF4-FFF2-40B4-BE49-F238E27FC236}">
              <a16:creationId xmlns:a16="http://schemas.microsoft.com/office/drawing/2014/main" id="{453BB711-71DC-4929-A96B-0FCD4CBA7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6562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34</xdr:row>
      <xdr:rowOff>9525</xdr:rowOff>
    </xdr:from>
    <xdr:ext cx="47625" cy="47625"/>
    <xdr:pic>
      <xdr:nvPicPr>
        <xdr:cNvPr id="112" name="BExXZ7Y09CBS0XA7IPB3IRJ8RJM4" hidden="1">
          <a:extLst>
            <a:ext uri="{FF2B5EF4-FFF2-40B4-BE49-F238E27FC236}">
              <a16:creationId xmlns:a16="http://schemas.microsoft.com/office/drawing/2014/main" id="{C977EFC4-FC96-463D-9F6A-6DD807A45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6486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34</xdr:row>
      <xdr:rowOff>85725</xdr:rowOff>
    </xdr:from>
    <xdr:ext cx="47625" cy="47625"/>
    <xdr:pic>
      <xdr:nvPicPr>
        <xdr:cNvPr id="113" name="BExQ7SXS9VUG7P6CACU2J7R2SGIZ" hidden="1">
          <a:extLst>
            <a:ext uri="{FF2B5EF4-FFF2-40B4-BE49-F238E27FC236}">
              <a16:creationId xmlns:a16="http://schemas.microsoft.com/office/drawing/2014/main" id="{E5A967E5-8161-4184-BA27-959D14684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6562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34</xdr:row>
      <xdr:rowOff>9525</xdr:rowOff>
    </xdr:from>
    <xdr:ext cx="47625" cy="47625"/>
    <xdr:pic>
      <xdr:nvPicPr>
        <xdr:cNvPr id="114" name="BEx5AQZ4ETQ9LMY5EBWVH20Z7VXQ" hidden="1">
          <a:extLst>
            <a:ext uri="{FF2B5EF4-FFF2-40B4-BE49-F238E27FC236}">
              <a16:creationId xmlns:a16="http://schemas.microsoft.com/office/drawing/2014/main" id="{F7A19586-715A-406F-B8E5-E270720BF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6486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34</xdr:row>
      <xdr:rowOff>85725</xdr:rowOff>
    </xdr:from>
    <xdr:ext cx="47625" cy="47625"/>
    <xdr:pic>
      <xdr:nvPicPr>
        <xdr:cNvPr id="115" name="BExUBK0YZ5VYFY8TTITJGJU9S06A" hidden="1">
          <a:extLst>
            <a:ext uri="{FF2B5EF4-FFF2-40B4-BE49-F238E27FC236}">
              <a16:creationId xmlns:a16="http://schemas.microsoft.com/office/drawing/2014/main" id="{9D851283-B2E0-420E-B7BB-40197A9DB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6562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34</xdr:row>
      <xdr:rowOff>9525</xdr:rowOff>
    </xdr:from>
    <xdr:ext cx="47625" cy="47625"/>
    <xdr:pic>
      <xdr:nvPicPr>
        <xdr:cNvPr id="116" name="BExUEZCSSJ7RN4J18I2NUIQR2FZS" hidden="1">
          <a:extLst>
            <a:ext uri="{FF2B5EF4-FFF2-40B4-BE49-F238E27FC236}">
              <a16:creationId xmlns:a16="http://schemas.microsoft.com/office/drawing/2014/main" id="{B9322C02-41FA-4E93-99C9-3113E9CC9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6486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34</xdr:row>
      <xdr:rowOff>85725</xdr:rowOff>
    </xdr:from>
    <xdr:ext cx="47625" cy="47625"/>
    <xdr:pic>
      <xdr:nvPicPr>
        <xdr:cNvPr id="117" name="BExS3JDQWF7U3F5JTEVOE16ASIYK" hidden="1">
          <a:extLst>
            <a:ext uri="{FF2B5EF4-FFF2-40B4-BE49-F238E27FC236}">
              <a16:creationId xmlns:a16="http://schemas.microsoft.com/office/drawing/2014/main" id="{7A89E884-83D9-44E1-A42E-9DF7C1C2F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6562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37</xdr:row>
      <xdr:rowOff>0</xdr:rowOff>
    </xdr:from>
    <xdr:ext cx="123825" cy="123825"/>
    <xdr:pic>
      <xdr:nvPicPr>
        <xdr:cNvPr id="118" name="BEx973S463FCQVJ7QDFBUIU0WJ3F" descr="ZQTVYL8DCSADVT0QMRXFLU0TR" hidden="1">
          <a:extLst>
            <a:ext uri="{FF2B5EF4-FFF2-40B4-BE49-F238E27FC236}">
              <a16:creationId xmlns:a16="http://schemas.microsoft.com/office/drawing/2014/main" id="{BC0F73B8-F836-43F2-9766-9C0C993B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7048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36</xdr:row>
      <xdr:rowOff>0</xdr:rowOff>
    </xdr:from>
    <xdr:ext cx="123825" cy="123825"/>
    <xdr:pic>
      <xdr:nvPicPr>
        <xdr:cNvPr id="119" name="BEx5FXJGJOT93D0J2IRJ3985IUMI" hidden="1">
          <a:extLst>
            <a:ext uri="{FF2B5EF4-FFF2-40B4-BE49-F238E27FC236}">
              <a16:creationId xmlns:a16="http://schemas.microsoft.com/office/drawing/2014/main" id="{D136EB5F-D90A-487E-A05B-E51E785E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6858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35</xdr:row>
      <xdr:rowOff>0</xdr:rowOff>
    </xdr:from>
    <xdr:ext cx="123825" cy="123825"/>
    <xdr:pic>
      <xdr:nvPicPr>
        <xdr:cNvPr id="120" name="BEx3RTMHAR35NUAAK49TV6NU7EPA" descr="QFXLG4ZCXTRQSJYFCKJ58G9N8" hidden="1">
          <a:extLst>
            <a:ext uri="{FF2B5EF4-FFF2-40B4-BE49-F238E27FC236}">
              <a16:creationId xmlns:a16="http://schemas.microsoft.com/office/drawing/2014/main" id="{5E26F75F-E65E-4CF0-8D62-38375CE8D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6667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38</xdr:row>
      <xdr:rowOff>0</xdr:rowOff>
    </xdr:from>
    <xdr:ext cx="123825" cy="123825"/>
    <xdr:pic>
      <xdr:nvPicPr>
        <xdr:cNvPr id="121" name="BExS8T38WLC2R738ZC7BDJQAKJAJ" descr="MRI962L5PB0E0YWXCIBN82VJH" hidden="1">
          <a:extLst>
            <a:ext uri="{FF2B5EF4-FFF2-40B4-BE49-F238E27FC236}">
              <a16:creationId xmlns:a16="http://schemas.microsoft.com/office/drawing/2014/main" id="{06607BEE-3D97-4389-9770-8D8CC25B5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723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36</xdr:row>
      <xdr:rowOff>0</xdr:rowOff>
    </xdr:from>
    <xdr:ext cx="123825" cy="123825"/>
    <xdr:pic>
      <xdr:nvPicPr>
        <xdr:cNvPr id="122" name="BEx5F64BJ6DCM4EJH81D5ZFNPZ0V" descr="7DJ9FILZD2YPS6X1JBP9E76TU" hidden="1">
          <a:extLst>
            <a:ext uri="{FF2B5EF4-FFF2-40B4-BE49-F238E27FC236}">
              <a16:creationId xmlns:a16="http://schemas.microsoft.com/office/drawing/2014/main" id="{80B77AFD-2797-44DF-B1AC-395096C5A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6858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36</xdr:row>
      <xdr:rowOff>0</xdr:rowOff>
    </xdr:from>
    <xdr:ext cx="123825" cy="123825"/>
    <xdr:pic>
      <xdr:nvPicPr>
        <xdr:cNvPr id="123" name="BExQEXXHA3EEXR44LT6RKCDWM6ZT" hidden="1">
          <a:extLst>
            <a:ext uri="{FF2B5EF4-FFF2-40B4-BE49-F238E27FC236}">
              <a16:creationId xmlns:a16="http://schemas.microsoft.com/office/drawing/2014/main" id="{A3C40E11-6EB6-47CF-AF16-4F8AA1CE4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6858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40</xdr:row>
      <xdr:rowOff>0</xdr:rowOff>
    </xdr:from>
    <xdr:ext cx="123825" cy="123825"/>
    <xdr:pic>
      <xdr:nvPicPr>
        <xdr:cNvPr id="124" name="BEx1X6AMHV6ZK3UJB2BXIJTJHYJU" descr="OALR4L95ELQLZ1Y1LETHM1CS9" hidden="1">
          <a:extLst>
            <a:ext uri="{FF2B5EF4-FFF2-40B4-BE49-F238E27FC236}">
              <a16:creationId xmlns:a16="http://schemas.microsoft.com/office/drawing/2014/main" id="{0853E0E5-0593-40C8-9479-68BB3D13E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7620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35</xdr:row>
      <xdr:rowOff>0</xdr:rowOff>
    </xdr:from>
    <xdr:ext cx="123825" cy="123825"/>
    <xdr:pic>
      <xdr:nvPicPr>
        <xdr:cNvPr id="125" name="BExSDIVCE09QKG3CT52PHCS6ZJ09" descr="9F076L7EQCF2COMMGCQG6BQGU" hidden="1">
          <a:extLst>
            <a:ext uri="{FF2B5EF4-FFF2-40B4-BE49-F238E27FC236}">
              <a16:creationId xmlns:a16="http://schemas.microsoft.com/office/drawing/2014/main" id="{DBE5FD68-6786-4197-949A-D00B1069F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6667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126" name="BExS343F8GCKP6HTF9Y97L133DX8" descr="ZRF0KB1IYQSNV63CTXT25G67G" hidden="1">
          <a:extLst>
            <a:ext uri="{FF2B5EF4-FFF2-40B4-BE49-F238E27FC236}">
              <a16:creationId xmlns:a16="http://schemas.microsoft.com/office/drawing/2014/main" id="{57B065FF-7527-4592-B61B-9CDDB6BE5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819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42</xdr:row>
      <xdr:rowOff>0</xdr:rowOff>
    </xdr:from>
    <xdr:ext cx="123825" cy="123825"/>
    <xdr:pic>
      <xdr:nvPicPr>
        <xdr:cNvPr id="127" name="BExZMRC09W87CY4B73NPZMNH21AH" descr="78CUMI0OVLYJRSDRQ3V2YX812" hidden="1">
          <a:extLst>
            <a:ext uri="{FF2B5EF4-FFF2-40B4-BE49-F238E27FC236}">
              <a16:creationId xmlns:a16="http://schemas.microsoft.com/office/drawing/2014/main" id="{4EFA9067-B0AB-409B-8662-D7FE2B544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800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41</xdr:row>
      <xdr:rowOff>9525</xdr:rowOff>
    </xdr:from>
    <xdr:ext cx="123825" cy="123825"/>
    <xdr:pic>
      <xdr:nvPicPr>
        <xdr:cNvPr id="128" name="BExZXVFJ4DY4I24AARDT4AMP6EN1" descr="TXSMH2MTH86CYKA26740RQPUC" hidden="1">
          <a:extLst>
            <a:ext uri="{FF2B5EF4-FFF2-40B4-BE49-F238E27FC236}">
              <a16:creationId xmlns:a16="http://schemas.microsoft.com/office/drawing/2014/main" id="{7B75ED61-C47F-4460-A005-9C1248E96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7820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40</xdr:row>
      <xdr:rowOff>0</xdr:rowOff>
    </xdr:from>
    <xdr:ext cx="123825" cy="123825"/>
    <xdr:pic>
      <xdr:nvPicPr>
        <xdr:cNvPr id="129" name="BExOCUIOFQWUGTBU5ESTW3EYEP5C" descr="9BNF49V0R6VVYPHEVMJ3ABDQZ" hidden="1">
          <a:extLst>
            <a:ext uri="{FF2B5EF4-FFF2-40B4-BE49-F238E27FC236}">
              <a16:creationId xmlns:a16="http://schemas.microsoft.com/office/drawing/2014/main" id="{0A8D473D-F437-4232-A7F2-1879CEB1F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7620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39</xdr:row>
      <xdr:rowOff>0</xdr:rowOff>
    </xdr:from>
    <xdr:ext cx="123825" cy="123825"/>
    <xdr:pic>
      <xdr:nvPicPr>
        <xdr:cNvPr id="130" name="BExU65O9OE4B4MQ2A3OYH13M8BZJ" descr="3INNIMMPDBB0JF37L81M6ID21" hidden="1">
          <a:extLst>
            <a:ext uri="{FF2B5EF4-FFF2-40B4-BE49-F238E27FC236}">
              <a16:creationId xmlns:a16="http://schemas.microsoft.com/office/drawing/2014/main" id="{55686CE3-87D6-4A4E-A44E-FB74B980E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7429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38</xdr:row>
      <xdr:rowOff>0</xdr:rowOff>
    </xdr:from>
    <xdr:ext cx="123825" cy="123825"/>
    <xdr:pic>
      <xdr:nvPicPr>
        <xdr:cNvPr id="131" name="BExOPRCR0UW7TKXSV5WDTL348FGL" descr="S9JM17GP1802LHN4GT14BJYIC" hidden="1">
          <a:extLst>
            <a:ext uri="{FF2B5EF4-FFF2-40B4-BE49-F238E27FC236}">
              <a16:creationId xmlns:a16="http://schemas.microsoft.com/office/drawing/2014/main" id="{9A210940-5DB7-4B28-994C-BA88CD3BF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723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37</xdr:row>
      <xdr:rowOff>0</xdr:rowOff>
    </xdr:from>
    <xdr:ext cx="123825" cy="123825"/>
    <xdr:pic>
      <xdr:nvPicPr>
        <xdr:cNvPr id="132" name="BEx5OESAY2W8SEGI3TSB65EHJ04B" descr="9CN2Y88X8WYV1HWZG1QILY9BK" hidden="1">
          <a:extLst>
            <a:ext uri="{FF2B5EF4-FFF2-40B4-BE49-F238E27FC236}">
              <a16:creationId xmlns:a16="http://schemas.microsoft.com/office/drawing/2014/main" id="{8E793EF7-FDF0-4B2D-9890-79D30920C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7048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36</xdr:row>
      <xdr:rowOff>0</xdr:rowOff>
    </xdr:from>
    <xdr:ext cx="123825" cy="123825"/>
    <xdr:pic>
      <xdr:nvPicPr>
        <xdr:cNvPr id="133" name="BExGMWEQ2BYRY9BAO5T1X850MJN1" descr="AZ9ST0XDIOP50HSUFO5V31BR0" hidden="1">
          <a:extLst>
            <a:ext uri="{FF2B5EF4-FFF2-40B4-BE49-F238E27FC236}">
              <a16:creationId xmlns:a16="http://schemas.microsoft.com/office/drawing/2014/main" id="{10DD58BC-28E1-4920-A57B-6108E3024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6858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45</xdr:row>
      <xdr:rowOff>9525</xdr:rowOff>
    </xdr:from>
    <xdr:ext cx="47625" cy="47625"/>
    <xdr:pic>
      <xdr:nvPicPr>
        <xdr:cNvPr id="134" name="BExMO7VFCN4EL59982UR4AJ25JNJ" descr="XX6TINEJADZGKR0CTM7ZRT0RA" hidden="1">
          <a:extLst>
            <a:ext uri="{FF2B5EF4-FFF2-40B4-BE49-F238E27FC236}">
              <a16:creationId xmlns:a16="http://schemas.microsoft.com/office/drawing/2014/main" id="{29266ABD-1824-48D6-9DE1-920353CB6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8582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45</xdr:row>
      <xdr:rowOff>85725</xdr:rowOff>
    </xdr:from>
    <xdr:ext cx="47625" cy="47625"/>
    <xdr:pic>
      <xdr:nvPicPr>
        <xdr:cNvPr id="135" name="BExU3EX5JJCXCII4YKUJBFBGIJR2" descr="OF5ZI9PI5WH36VPANJ2DYLNMI" hidden="1">
          <a:extLst>
            <a:ext uri="{FF2B5EF4-FFF2-40B4-BE49-F238E27FC236}">
              <a16:creationId xmlns:a16="http://schemas.microsoft.com/office/drawing/2014/main" id="{14D71CC0-C43A-4C84-9877-1B4264643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8658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45</xdr:row>
      <xdr:rowOff>9525</xdr:rowOff>
    </xdr:from>
    <xdr:ext cx="47625" cy="47625"/>
    <xdr:pic>
      <xdr:nvPicPr>
        <xdr:cNvPr id="136" name="BEx1KD7H6UB1VYCJ7O61P562EIUY" descr="IQGV9140X0K0UPBL8OGU3I44J" hidden="1">
          <a:extLst>
            <a:ext uri="{FF2B5EF4-FFF2-40B4-BE49-F238E27FC236}">
              <a16:creationId xmlns:a16="http://schemas.microsoft.com/office/drawing/2014/main" id="{A360B9C3-E80F-4C91-A0AC-0FDC329FC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8582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45</xdr:row>
      <xdr:rowOff>85725</xdr:rowOff>
    </xdr:from>
    <xdr:ext cx="47625" cy="47625"/>
    <xdr:pic>
      <xdr:nvPicPr>
        <xdr:cNvPr id="137" name="BEx5BJQWS6YWHH4ZMSUAMD641V6Y" descr="ZTMFMXCIQSECDX38ALEFHUB00" hidden="1">
          <a:extLst>
            <a:ext uri="{FF2B5EF4-FFF2-40B4-BE49-F238E27FC236}">
              <a16:creationId xmlns:a16="http://schemas.microsoft.com/office/drawing/2014/main" id="{9DBC681F-A9A9-4EE9-BAE6-2B884B279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8658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45</xdr:row>
      <xdr:rowOff>9525</xdr:rowOff>
    </xdr:from>
    <xdr:ext cx="47625" cy="47625"/>
    <xdr:pic>
      <xdr:nvPicPr>
        <xdr:cNvPr id="138" name="BExVTO5Q8G2M7BPL4B2584LQS0R0" descr="OB6Q8NA4LZFE4GM9Y3V56BPMQ" hidden="1">
          <a:extLst>
            <a:ext uri="{FF2B5EF4-FFF2-40B4-BE49-F238E27FC236}">
              <a16:creationId xmlns:a16="http://schemas.microsoft.com/office/drawing/2014/main" id="{14181487-97E5-4304-9143-F5CA01AA0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8582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45</xdr:row>
      <xdr:rowOff>85725</xdr:rowOff>
    </xdr:from>
    <xdr:ext cx="47625" cy="47625"/>
    <xdr:pic>
      <xdr:nvPicPr>
        <xdr:cNvPr id="139" name="BExIFSCLN1G86X78PFLTSMRP0US5" descr="9JK4SPV4DG7VTCZIILWHXQU5J" hidden="1">
          <a:extLst>
            <a:ext uri="{FF2B5EF4-FFF2-40B4-BE49-F238E27FC236}">
              <a16:creationId xmlns:a16="http://schemas.microsoft.com/office/drawing/2014/main" id="{B5639354-950A-4F91-A433-862AD6A0C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8658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45</xdr:row>
      <xdr:rowOff>9525</xdr:rowOff>
    </xdr:from>
    <xdr:ext cx="47625" cy="47625"/>
    <xdr:pic>
      <xdr:nvPicPr>
        <xdr:cNvPr id="140" name="BEx1I152WN2D3A85O2XN0DGXCWHN" descr="KHBZFMANRA4UMJR1AB4M5NJNT" hidden="1">
          <a:extLst>
            <a:ext uri="{FF2B5EF4-FFF2-40B4-BE49-F238E27FC236}">
              <a16:creationId xmlns:a16="http://schemas.microsoft.com/office/drawing/2014/main" id="{DBE3704A-CEFF-4CC2-BAE6-0D7491CED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8582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45</xdr:row>
      <xdr:rowOff>85725</xdr:rowOff>
    </xdr:from>
    <xdr:ext cx="47625" cy="47625"/>
    <xdr:pic>
      <xdr:nvPicPr>
        <xdr:cNvPr id="141" name="BExW9676P0SKCVKK25QCGHPA3PAD" descr="9A4PWZ20RMSRF0PNECCDM75CA" hidden="1">
          <a:extLst>
            <a:ext uri="{FF2B5EF4-FFF2-40B4-BE49-F238E27FC236}">
              <a16:creationId xmlns:a16="http://schemas.microsoft.com/office/drawing/2014/main" id="{D38F033B-E1C3-42EE-A9FB-5CCA98DB6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8658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47</xdr:row>
      <xdr:rowOff>0</xdr:rowOff>
    </xdr:from>
    <xdr:ext cx="123825" cy="123825"/>
    <xdr:pic>
      <xdr:nvPicPr>
        <xdr:cNvPr id="142" name="BExW253QPOZK9KW8BJC3LBXGCG2N" descr="Y5HX37BEUWSN1NEFJKZJXI3SX" hidden="1">
          <a:extLst>
            <a:ext uri="{FF2B5EF4-FFF2-40B4-BE49-F238E27FC236}">
              <a16:creationId xmlns:a16="http://schemas.microsoft.com/office/drawing/2014/main" id="{28782BE5-0813-46E4-A547-BFFA09BA6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895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45</xdr:row>
      <xdr:rowOff>9525</xdr:rowOff>
    </xdr:from>
    <xdr:ext cx="47625" cy="47625"/>
    <xdr:pic>
      <xdr:nvPicPr>
        <xdr:cNvPr id="143" name="BExS5CPQ8P8JOQPK7ANNKHLSGOKU" hidden="1">
          <a:extLst>
            <a:ext uri="{FF2B5EF4-FFF2-40B4-BE49-F238E27FC236}">
              <a16:creationId xmlns:a16="http://schemas.microsoft.com/office/drawing/2014/main" id="{56031432-7C18-4353-BB02-B47C1C3E0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8582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45</xdr:row>
      <xdr:rowOff>85725</xdr:rowOff>
    </xdr:from>
    <xdr:ext cx="47625" cy="47625"/>
    <xdr:pic>
      <xdr:nvPicPr>
        <xdr:cNvPr id="144" name="BExMM0AVUAIRNJLXB1FW8R0YB4ZZ" hidden="1">
          <a:extLst>
            <a:ext uri="{FF2B5EF4-FFF2-40B4-BE49-F238E27FC236}">
              <a16:creationId xmlns:a16="http://schemas.microsoft.com/office/drawing/2014/main" id="{3C704BC5-A15D-432C-9B4C-B8ACFD58E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8658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45</xdr:row>
      <xdr:rowOff>9525</xdr:rowOff>
    </xdr:from>
    <xdr:ext cx="47625" cy="47625"/>
    <xdr:pic>
      <xdr:nvPicPr>
        <xdr:cNvPr id="145" name="BExXZ7Y09CBS0XA7IPB3IRJ8RJM4" hidden="1">
          <a:extLst>
            <a:ext uri="{FF2B5EF4-FFF2-40B4-BE49-F238E27FC236}">
              <a16:creationId xmlns:a16="http://schemas.microsoft.com/office/drawing/2014/main" id="{93A6FCD9-088C-44A0-8C4B-C3EF8385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8582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45</xdr:row>
      <xdr:rowOff>85725</xdr:rowOff>
    </xdr:from>
    <xdr:ext cx="47625" cy="47625"/>
    <xdr:pic>
      <xdr:nvPicPr>
        <xdr:cNvPr id="146" name="BExQ7SXS9VUG7P6CACU2J7R2SGIZ" hidden="1">
          <a:extLst>
            <a:ext uri="{FF2B5EF4-FFF2-40B4-BE49-F238E27FC236}">
              <a16:creationId xmlns:a16="http://schemas.microsoft.com/office/drawing/2014/main" id="{AD686AE5-E07B-4BC4-B478-C4D6CA170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8658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45</xdr:row>
      <xdr:rowOff>9525</xdr:rowOff>
    </xdr:from>
    <xdr:ext cx="47625" cy="47625"/>
    <xdr:pic>
      <xdr:nvPicPr>
        <xdr:cNvPr id="147" name="BEx5AQZ4ETQ9LMY5EBWVH20Z7VXQ" hidden="1">
          <a:extLst>
            <a:ext uri="{FF2B5EF4-FFF2-40B4-BE49-F238E27FC236}">
              <a16:creationId xmlns:a16="http://schemas.microsoft.com/office/drawing/2014/main" id="{2606F6B2-BDCD-4C8F-AA74-4DDA3F6E5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8582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45</xdr:row>
      <xdr:rowOff>85725</xdr:rowOff>
    </xdr:from>
    <xdr:ext cx="47625" cy="47625"/>
    <xdr:pic>
      <xdr:nvPicPr>
        <xdr:cNvPr id="148" name="BExUBK0YZ5VYFY8TTITJGJU9S06A" hidden="1">
          <a:extLst>
            <a:ext uri="{FF2B5EF4-FFF2-40B4-BE49-F238E27FC236}">
              <a16:creationId xmlns:a16="http://schemas.microsoft.com/office/drawing/2014/main" id="{76A0F7C0-B024-426A-8075-33099C340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8658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45</xdr:row>
      <xdr:rowOff>9525</xdr:rowOff>
    </xdr:from>
    <xdr:ext cx="47625" cy="47625"/>
    <xdr:pic>
      <xdr:nvPicPr>
        <xdr:cNvPr id="149" name="BExUEZCSSJ7RN4J18I2NUIQR2FZS" hidden="1">
          <a:extLst>
            <a:ext uri="{FF2B5EF4-FFF2-40B4-BE49-F238E27FC236}">
              <a16:creationId xmlns:a16="http://schemas.microsoft.com/office/drawing/2014/main" id="{C0B1DA76-69D7-4FF2-8B4C-698ABBB2E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8582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45</xdr:row>
      <xdr:rowOff>85725</xdr:rowOff>
    </xdr:from>
    <xdr:ext cx="47625" cy="47625"/>
    <xdr:pic>
      <xdr:nvPicPr>
        <xdr:cNvPr id="150" name="BExS3JDQWF7U3F5JTEVOE16ASIYK" hidden="1">
          <a:extLst>
            <a:ext uri="{FF2B5EF4-FFF2-40B4-BE49-F238E27FC236}">
              <a16:creationId xmlns:a16="http://schemas.microsoft.com/office/drawing/2014/main" id="{3BEC9818-16A7-443C-9F96-7EA8368EE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8658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151" name="BEx973S463FCQVJ7QDFBUIU0WJ3F" descr="ZQTVYL8DCSADVT0QMRXFLU0TR" hidden="1">
          <a:extLst>
            <a:ext uri="{FF2B5EF4-FFF2-40B4-BE49-F238E27FC236}">
              <a16:creationId xmlns:a16="http://schemas.microsoft.com/office/drawing/2014/main" id="{06CEC424-9364-41EE-96F1-E9B2BE112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9144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47</xdr:row>
      <xdr:rowOff>0</xdr:rowOff>
    </xdr:from>
    <xdr:ext cx="123825" cy="123825"/>
    <xdr:pic>
      <xdr:nvPicPr>
        <xdr:cNvPr id="152" name="BEx5FXJGJOT93D0J2IRJ3985IUMI" hidden="1">
          <a:extLst>
            <a:ext uri="{FF2B5EF4-FFF2-40B4-BE49-F238E27FC236}">
              <a16:creationId xmlns:a16="http://schemas.microsoft.com/office/drawing/2014/main" id="{9077DE5D-85FE-4245-ADC2-316C7D066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895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46</xdr:row>
      <xdr:rowOff>0</xdr:rowOff>
    </xdr:from>
    <xdr:ext cx="123825" cy="123825"/>
    <xdr:pic>
      <xdr:nvPicPr>
        <xdr:cNvPr id="153" name="BEx3RTMHAR35NUAAK49TV6NU7EPA" descr="QFXLG4ZCXTRQSJYFCKJ58G9N8" hidden="1">
          <a:extLst>
            <a:ext uri="{FF2B5EF4-FFF2-40B4-BE49-F238E27FC236}">
              <a16:creationId xmlns:a16="http://schemas.microsoft.com/office/drawing/2014/main" id="{398AAD29-E26F-4719-B754-003C25E95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876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49</xdr:row>
      <xdr:rowOff>0</xdr:rowOff>
    </xdr:from>
    <xdr:ext cx="123825" cy="123825"/>
    <xdr:pic>
      <xdr:nvPicPr>
        <xdr:cNvPr id="154" name="BExS8T38WLC2R738ZC7BDJQAKJAJ" descr="MRI962L5PB0E0YWXCIBN82VJH" hidden="1">
          <a:extLst>
            <a:ext uri="{FF2B5EF4-FFF2-40B4-BE49-F238E27FC236}">
              <a16:creationId xmlns:a16="http://schemas.microsoft.com/office/drawing/2014/main" id="{2ED35C80-8A02-46A6-8C61-84D54CC9A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933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47</xdr:row>
      <xdr:rowOff>0</xdr:rowOff>
    </xdr:from>
    <xdr:ext cx="123825" cy="123825"/>
    <xdr:pic>
      <xdr:nvPicPr>
        <xdr:cNvPr id="155" name="BEx5F64BJ6DCM4EJH81D5ZFNPZ0V" descr="7DJ9FILZD2YPS6X1JBP9E76TU" hidden="1">
          <a:extLst>
            <a:ext uri="{FF2B5EF4-FFF2-40B4-BE49-F238E27FC236}">
              <a16:creationId xmlns:a16="http://schemas.microsoft.com/office/drawing/2014/main" id="{2688CF2E-1DDE-46B4-ABC0-83FEBB83E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895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47</xdr:row>
      <xdr:rowOff>0</xdr:rowOff>
    </xdr:from>
    <xdr:ext cx="123825" cy="123825"/>
    <xdr:pic>
      <xdr:nvPicPr>
        <xdr:cNvPr id="156" name="BExQEXXHA3EEXR44LT6RKCDWM6ZT" hidden="1">
          <a:extLst>
            <a:ext uri="{FF2B5EF4-FFF2-40B4-BE49-F238E27FC236}">
              <a16:creationId xmlns:a16="http://schemas.microsoft.com/office/drawing/2014/main" id="{2CEFA0E2-2A66-4428-B377-57C5E1577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895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51</xdr:row>
      <xdr:rowOff>0</xdr:rowOff>
    </xdr:from>
    <xdr:ext cx="123825" cy="123825"/>
    <xdr:pic>
      <xdr:nvPicPr>
        <xdr:cNvPr id="157" name="BEx1X6AMHV6ZK3UJB2BXIJTJHYJU" descr="OALR4L95ELQLZ1Y1LETHM1CS9" hidden="1">
          <a:extLst>
            <a:ext uri="{FF2B5EF4-FFF2-40B4-BE49-F238E27FC236}">
              <a16:creationId xmlns:a16="http://schemas.microsoft.com/office/drawing/2014/main" id="{F9B2CBDA-BD87-4320-B82D-8176343BF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971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46</xdr:row>
      <xdr:rowOff>0</xdr:rowOff>
    </xdr:from>
    <xdr:ext cx="123825" cy="123825"/>
    <xdr:pic>
      <xdr:nvPicPr>
        <xdr:cNvPr id="158" name="BExSDIVCE09QKG3CT52PHCS6ZJ09" descr="9F076L7EQCF2COMMGCQG6BQGU" hidden="1">
          <a:extLst>
            <a:ext uri="{FF2B5EF4-FFF2-40B4-BE49-F238E27FC236}">
              <a16:creationId xmlns:a16="http://schemas.microsoft.com/office/drawing/2014/main" id="{3D72D734-163D-472E-AAF2-7B87A22C5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876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54</xdr:row>
      <xdr:rowOff>0</xdr:rowOff>
    </xdr:from>
    <xdr:ext cx="123825" cy="123825"/>
    <xdr:pic>
      <xdr:nvPicPr>
        <xdr:cNvPr id="159" name="BExS343F8GCKP6HTF9Y97L133DX8" descr="ZRF0KB1IYQSNV63CTXT25G67G" hidden="1">
          <a:extLst>
            <a:ext uri="{FF2B5EF4-FFF2-40B4-BE49-F238E27FC236}">
              <a16:creationId xmlns:a16="http://schemas.microsoft.com/office/drawing/2014/main" id="{641EB218-07BE-4A59-8363-190DE2EFB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0287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53</xdr:row>
      <xdr:rowOff>0</xdr:rowOff>
    </xdr:from>
    <xdr:ext cx="123825" cy="123825"/>
    <xdr:pic>
      <xdr:nvPicPr>
        <xdr:cNvPr id="160" name="BExZMRC09W87CY4B73NPZMNH21AH" descr="78CUMI0OVLYJRSDRQ3V2YX812" hidden="1">
          <a:extLst>
            <a:ext uri="{FF2B5EF4-FFF2-40B4-BE49-F238E27FC236}">
              <a16:creationId xmlns:a16="http://schemas.microsoft.com/office/drawing/2014/main" id="{535FFFF8-C81D-4CEB-A58D-A684F6110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009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52</xdr:row>
      <xdr:rowOff>9525</xdr:rowOff>
    </xdr:from>
    <xdr:ext cx="123825" cy="123825"/>
    <xdr:pic>
      <xdr:nvPicPr>
        <xdr:cNvPr id="161" name="BExZXVFJ4DY4I24AARDT4AMP6EN1" descr="TXSMH2MTH86CYKA26740RQPUC" hidden="1">
          <a:extLst>
            <a:ext uri="{FF2B5EF4-FFF2-40B4-BE49-F238E27FC236}">
              <a16:creationId xmlns:a16="http://schemas.microsoft.com/office/drawing/2014/main" id="{54E230AD-A53F-4B0E-9FFB-EC35F24B0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9915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51</xdr:row>
      <xdr:rowOff>0</xdr:rowOff>
    </xdr:from>
    <xdr:ext cx="123825" cy="123825"/>
    <xdr:pic>
      <xdr:nvPicPr>
        <xdr:cNvPr id="162" name="BExOCUIOFQWUGTBU5ESTW3EYEP5C" descr="9BNF49V0R6VVYPHEVMJ3ABDQZ" hidden="1">
          <a:extLst>
            <a:ext uri="{FF2B5EF4-FFF2-40B4-BE49-F238E27FC236}">
              <a16:creationId xmlns:a16="http://schemas.microsoft.com/office/drawing/2014/main" id="{9A39C2F9-F6D9-4BBB-908A-81EF0BC29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971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50</xdr:row>
      <xdr:rowOff>0</xdr:rowOff>
    </xdr:from>
    <xdr:ext cx="123825" cy="123825"/>
    <xdr:pic>
      <xdr:nvPicPr>
        <xdr:cNvPr id="163" name="BExU65O9OE4B4MQ2A3OYH13M8BZJ" descr="3INNIMMPDBB0JF37L81M6ID21" hidden="1">
          <a:extLst>
            <a:ext uri="{FF2B5EF4-FFF2-40B4-BE49-F238E27FC236}">
              <a16:creationId xmlns:a16="http://schemas.microsoft.com/office/drawing/2014/main" id="{BEED3CF7-EB15-4603-991F-7E31ACB0E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9525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49</xdr:row>
      <xdr:rowOff>0</xdr:rowOff>
    </xdr:from>
    <xdr:ext cx="123825" cy="123825"/>
    <xdr:pic>
      <xdr:nvPicPr>
        <xdr:cNvPr id="164" name="BExOPRCR0UW7TKXSV5WDTL348FGL" descr="S9JM17GP1802LHN4GT14BJYIC" hidden="1">
          <a:extLst>
            <a:ext uri="{FF2B5EF4-FFF2-40B4-BE49-F238E27FC236}">
              <a16:creationId xmlns:a16="http://schemas.microsoft.com/office/drawing/2014/main" id="{042F56A0-87F3-4FA7-8574-098082DC0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933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165" name="BEx5OESAY2W8SEGI3TSB65EHJ04B" descr="9CN2Y88X8WYV1HWZG1QILY9BK" hidden="1">
          <a:extLst>
            <a:ext uri="{FF2B5EF4-FFF2-40B4-BE49-F238E27FC236}">
              <a16:creationId xmlns:a16="http://schemas.microsoft.com/office/drawing/2014/main" id="{28F70591-0A1F-47D3-BD9F-422D76910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9144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47</xdr:row>
      <xdr:rowOff>0</xdr:rowOff>
    </xdr:from>
    <xdr:ext cx="123825" cy="123825"/>
    <xdr:pic>
      <xdr:nvPicPr>
        <xdr:cNvPr id="166" name="BExGMWEQ2BYRY9BAO5T1X850MJN1" descr="AZ9ST0XDIOP50HSUFO5V31BR0" hidden="1">
          <a:extLst>
            <a:ext uri="{FF2B5EF4-FFF2-40B4-BE49-F238E27FC236}">
              <a16:creationId xmlns:a16="http://schemas.microsoft.com/office/drawing/2014/main" id="{3F69A7C0-BDED-4FDA-BEF7-D3F7B1478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895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56</xdr:row>
      <xdr:rowOff>9525</xdr:rowOff>
    </xdr:from>
    <xdr:ext cx="47625" cy="47625"/>
    <xdr:pic>
      <xdr:nvPicPr>
        <xdr:cNvPr id="167" name="BExMO7VFCN4EL59982UR4AJ25JNJ" descr="XX6TINEJADZGKR0CTM7ZRT0RA" hidden="1">
          <a:extLst>
            <a:ext uri="{FF2B5EF4-FFF2-40B4-BE49-F238E27FC236}">
              <a16:creationId xmlns:a16="http://schemas.microsoft.com/office/drawing/2014/main" id="{384B449D-BEB4-474B-95BF-EBDACBDF4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56</xdr:row>
      <xdr:rowOff>85725</xdr:rowOff>
    </xdr:from>
    <xdr:ext cx="47625" cy="47625"/>
    <xdr:pic>
      <xdr:nvPicPr>
        <xdr:cNvPr id="168" name="BExU3EX5JJCXCII4YKUJBFBGIJR2" descr="OF5ZI9PI5WH36VPANJ2DYLNMI" hidden="1">
          <a:extLst>
            <a:ext uri="{FF2B5EF4-FFF2-40B4-BE49-F238E27FC236}">
              <a16:creationId xmlns:a16="http://schemas.microsoft.com/office/drawing/2014/main" id="{54D5A3B6-7448-456F-BE61-F60B243BC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56</xdr:row>
      <xdr:rowOff>9525</xdr:rowOff>
    </xdr:from>
    <xdr:ext cx="47625" cy="47625"/>
    <xdr:pic>
      <xdr:nvPicPr>
        <xdr:cNvPr id="169" name="BEx1KD7H6UB1VYCJ7O61P562EIUY" descr="IQGV9140X0K0UPBL8OGU3I44J" hidden="1">
          <a:extLst>
            <a:ext uri="{FF2B5EF4-FFF2-40B4-BE49-F238E27FC236}">
              <a16:creationId xmlns:a16="http://schemas.microsoft.com/office/drawing/2014/main" id="{BAE32470-5CEC-4C87-9A89-704A0ACBE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56</xdr:row>
      <xdr:rowOff>85725</xdr:rowOff>
    </xdr:from>
    <xdr:ext cx="47625" cy="47625"/>
    <xdr:pic>
      <xdr:nvPicPr>
        <xdr:cNvPr id="170" name="BEx5BJQWS6YWHH4ZMSUAMD641V6Y" descr="ZTMFMXCIQSECDX38ALEFHUB00" hidden="1">
          <a:extLst>
            <a:ext uri="{FF2B5EF4-FFF2-40B4-BE49-F238E27FC236}">
              <a16:creationId xmlns:a16="http://schemas.microsoft.com/office/drawing/2014/main" id="{A68ECDEC-7ABE-44DF-B0F8-EC7905A74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56</xdr:row>
      <xdr:rowOff>9525</xdr:rowOff>
    </xdr:from>
    <xdr:ext cx="47625" cy="47625"/>
    <xdr:pic>
      <xdr:nvPicPr>
        <xdr:cNvPr id="171" name="BExVTO5Q8G2M7BPL4B2584LQS0R0" descr="OB6Q8NA4LZFE4GM9Y3V56BPMQ" hidden="1">
          <a:extLst>
            <a:ext uri="{FF2B5EF4-FFF2-40B4-BE49-F238E27FC236}">
              <a16:creationId xmlns:a16="http://schemas.microsoft.com/office/drawing/2014/main" id="{52805024-CCF5-4431-9D93-A993205AE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56</xdr:row>
      <xdr:rowOff>85725</xdr:rowOff>
    </xdr:from>
    <xdr:ext cx="47625" cy="47625"/>
    <xdr:pic>
      <xdr:nvPicPr>
        <xdr:cNvPr id="172" name="BExIFSCLN1G86X78PFLTSMRP0US5" descr="9JK4SPV4DG7VTCZIILWHXQU5J" hidden="1">
          <a:extLst>
            <a:ext uri="{FF2B5EF4-FFF2-40B4-BE49-F238E27FC236}">
              <a16:creationId xmlns:a16="http://schemas.microsoft.com/office/drawing/2014/main" id="{94D362BF-24BF-4D6F-AEA3-BE8C6EBC1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56</xdr:row>
      <xdr:rowOff>9525</xdr:rowOff>
    </xdr:from>
    <xdr:ext cx="47625" cy="47625"/>
    <xdr:pic>
      <xdr:nvPicPr>
        <xdr:cNvPr id="173" name="BEx1I152WN2D3A85O2XN0DGXCWHN" descr="KHBZFMANRA4UMJR1AB4M5NJNT" hidden="1">
          <a:extLst>
            <a:ext uri="{FF2B5EF4-FFF2-40B4-BE49-F238E27FC236}">
              <a16:creationId xmlns:a16="http://schemas.microsoft.com/office/drawing/2014/main" id="{40F0C34A-31BA-4DDC-9D5F-639EBD343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56</xdr:row>
      <xdr:rowOff>85725</xdr:rowOff>
    </xdr:from>
    <xdr:ext cx="47625" cy="47625"/>
    <xdr:pic>
      <xdr:nvPicPr>
        <xdr:cNvPr id="174" name="BExW9676P0SKCVKK25QCGHPA3PAD" descr="9A4PWZ20RMSRF0PNECCDM75CA" hidden="1">
          <a:extLst>
            <a:ext uri="{FF2B5EF4-FFF2-40B4-BE49-F238E27FC236}">
              <a16:creationId xmlns:a16="http://schemas.microsoft.com/office/drawing/2014/main" id="{CA57BE3B-4BBB-4C10-B03C-A11B6E64A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58</xdr:row>
      <xdr:rowOff>0</xdr:rowOff>
    </xdr:from>
    <xdr:ext cx="123825" cy="123825"/>
    <xdr:pic>
      <xdr:nvPicPr>
        <xdr:cNvPr id="175" name="BExW253QPOZK9KW8BJC3LBXGCG2N" descr="Y5HX37BEUWSN1NEFJKZJXI3SX" hidden="1">
          <a:extLst>
            <a:ext uri="{FF2B5EF4-FFF2-40B4-BE49-F238E27FC236}">
              <a16:creationId xmlns:a16="http://schemas.microsoft.com/office/drawing/2014/main" id="{A0393C26-98DA-4EBB-BF75-C225FA21F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1104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56</xdr:row>
      <xdr:rowOff>9525</xdr:rowOff>
    </xdr:from>
    <xdr:ext cx="47625" cy="47625"/>
    <xdr:pic>
      <xdr:nvPicPr>
        <xdr:cNvPr id="176" name="BExS5CPQ8P8JOQPK7ANNKHLSGOKU" hidden="1">
          <a:extLst>
            <a:ext uri="{FF2B5EF4-FFF2-40B4-BE49-F238E27FC236}">
              <a16:creationId xmlns:a16="http://schemas.microsoft.com/office/drawing/2014/main" id="{C00EEE6B-D550-4B91-A7DD-DA9D8C4E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56</xdr:row>
      <xdr:rowOff>85725</xdr:rowOff>
    </xdr:from>
    <xdr:ext cx="47625" cy="47625"/>
    <xdr:pic>
      <xdr:nvPicPr>
        <xdr:cNvPr id="177" name="BExMM0AVUAIRNJLXB1FW8R0YB4ZZ" hidden="1">
          <a:extLst>
            <a:ext uri="{FF2B5EF4-FFF2-40B4-BE49-F238E27FC236}">
              <a16:creationId xmlns:a16="http://schemas.microsoft.com/office/drawing/2014/main" id="{CCFF5156-A47E-463E-8B16-9D5CDA995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56</xdr:row>
      <xdr:rowOff>9525</xdr:rowOff>
    </xdr:from>
    <xdr:ext cx="47625" cy="47625"/>
    <xdr:pic>
      <xdr:nvPicPr>
        <xdr:cNvPr id="178" name="BExXZ7Y09CBS0XA7IPB3IRJ8RJM4" hidden="1">
          <a:extLst>
            <a:ext uri="{FF2B5EF4-FFF2-40B4-BE49-F238E27FC236}">
              <a16:creationId xmlns:a16="http://schemas.microsoft.com/office/drawing/2014/main" id="{B83521FD-C4E0-4F20-A720-D7920985D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56</xdr:row>
      <xdr:rowOff>85725</xdr:rowOff>
    </xdr:from>
    <xdr:ext cx="47625" cy="47625"/>
    <xdr:pic>
      <xdr:nvPicPr>
        <xdr:cNvPr id="179" name="BExQ7SXS9VUG7P6CACU2J7R2SGIZ" hidden="1">
          <a:extLst>
            <a:ext uri="{FF2B5EF4-FFF2-40B4-BE49-F238E27FC236}">
              <a16:creationId xmlns:a16="http://schemas.microsoft.com/office/drawing/2014/main" id="{9B757A2A-0FB6-4C77-AA4D-5BD5EBA5C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56</xdr:row>
      <xdr:rowOff>9525</xdr:rowOff>
    </xdr:from>
    <xdr:ext cx="47625" cy="47625"/>
    <xdr:pic>
      <xdr:nvPicPr>
        <xdr:cNvPr id="180" name="BEx5AQZ4ETQ9LMY5EBWVH20Z7VXQ" hidden="1">
          <a:extLst>
            <a:ext uri="{FF2B5EF4-FFF2-40B4-BE49-F238E27FC236}">
              <a16:creationId xmlns:a16="http://schemas.microsoft.com/office/drawing/2014/main" id="{57D0B349-9013-49D0-84DF-3A307A1F0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56</xdr:row>
      <xdr:rowOff>85725</xdr:rowOff>
    </xdr:from>
    <xdr:ext cx="47625" cy="47625"/>
    <xdr:pic>
      <xdr:nvPicPr>
        <xdr:cNvPr id="181" name="BExUBK0YZ5VYFY8TTITJGJU9S06A" hidden="1">
          <a:extLst>
            <a:ext uri="{FF2B5EF4-FFF2-40B4-BE49-F238E27FC236}">
              <a16:creationId xmlns:a16="http://schemas.microsoft.com/office/drawing/2014/main" id="{159C98C3-4D10-4C51-B713-AAAFA7DEE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56</xdr:row>
      <xdr:rowOff>9525</xdr:rowOff>
    </xdr:from>
    <xdr:ext cx="47625" cy="47625"/>
    <xdr:pic>
      <xdr:nvPicPr>
        <xdr:cNvPr id="182" name="BExUEZCSSJ7RN4J18I2NUIQR2FZS" hidden="1">
          <a:extLst>
            <a:ext uri="{FF2B5EF4-FFF2-40B4-BE49-F238E27FC236}">
              <a16:creationId xmlns:a16="http://schemas.microsoft.com/office/drawing/2014/main" id="{B8FA074C-97AF-4509-B0ED-FEA58FD27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56</xdr:row>
      <xdr:rowOff>85725</xdr:rowOff>
    </xdr:from>
    <xdr:ext cx="47625" cy="47625"/>
    <xdr:pic>
      <xdr:nvPicPr>
        <xdr:cNvPr id="183" name="BExS3JDQWF7U3F5JTEVOE16ASIYK" hidden="1">
          <a:extLst>
            <a:ext uri="{FF2B5EF4-FFF2-40B4-BE49-F238E27FC236}">
              <a16:creationId xmlns:a16="http://schemas.microsoft.com/office/drawing/2014/main" id="{BBFA7FA8-B18C-4FD1-B0C5-49FEAA921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59</xdr:row>
      <xdr:rowOff>0</xdr:rowOff>
    </xdr:from>
    <xdr:ext cx="123825" cy="123825"/>
    <xdr:pic>
      <xdr:nvPicPr>
        <xdr:cNvPr id="184" name="BEx973S463FCQVJ7QDFBUIU0WJ3F" descr="ZQTVYL8DCSADVT0QMRXFLU0TR" hidden="1">
          <a:extLst>
            <a:ext uri="{FF2B5EF4-FFF2-40B4-BE49-F238E27FC236}">
              <a16:creationId xmlns:a16="http://schemas.microsoft.com/office/drawing/2014/main" id="{B35F4525-352C-4B3D-8578-44D581CC8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11239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58</xdr:row>
      <xdr:rowOff>0</xdr:rowOff>
    </xdr:from>
    <xdr:ext cx="123825" cy="123825"/>
    <xdr:pic>
      <xdr:nvPicPr>
        <xdr:cNvPr id="185" name="BEx5FXJGJOT93D0J2IRJ3985IUMI" hidden="1">
          <a:extLst>
            <a:ext uri="{FF2B5EF4-FFF2-40B4-BE49-F238E27FC236}">
              <a16:creationId xmlns:a16="http://schemas.microsoft.com/office/drawing/2014/main" id="{CEEFF958-1907-491E-B045-17A978A0E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04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57</xdr:row>
      <xdr:rowOff>0</xdr:rowOff>
    </xdr:from>
    <xdr:ext cx="123825" cy="123825"/>
    <xdr:pic>
      <xdr:nvPicPr>
        <xdr:cNvPr id="186" name="BEx3RTMHAR35NUAAK49TV6NU7EPA" descr="QFXLG4ZCXTRQSJYFCKJ58G9N8" hidden="1">
          <a:extLst>
            <a:ext uri="{FF2B5EF4-FFF2-40B4-BE49-F238E27FC236}">
              <a16:creationId xmlns:a16="http://schemas.microsoft.com/office/drawing/2014/main" id="{D7516559-D9FE-49BF-9A89-C10FE6C16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0858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60</xdr:row>
      <xdr:rowOff>0</xdr:rowOff>
    </xdr:from>
    <xdr:ext cx="123825" cy="123825"/>
    <xdr:pic>
      <xdr:nvPicPr>
        <xdr:cNvPr id="187" name="BExS8T38WLC2R738ZC7BDJQAKJAJ" descr="MRI962L5PB0E0YWXCIBN82VJH" hidden="1">
          <a:extLst>
            <a:ext uri="{FF2B5EF4-FFF2-40B4-BE49-F238E27FC236}">
              <a16:creationId xmlns:a16="http://schemas.microsoft.com/office/drawing/2014/main" id="{9EF74B77-4807-407F-9830-064843DD2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11430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58</xdr:row>
      <xdr:rowOff>0</xdr:rowOff>
    </xdr:from>
    <xdr:ext cx="123825" cy="123825"/>
    <xdr:pic>
      <xdr:nvPicPr>
        <xdr:cNvPr id="188" name="BEx5F64BJ6DCM4EJH81D5ZFNPZ0V" descr="7DJ9FILZD2YPS6X1JBP9E76TU" hidden="1">
          <a:extLst>
            <a:ext uri="{FF2B5EF4-FFF2-40B4-BE49-F238E27FC236}">
              <a16:creationId xmlns:a16="http://schemas.microsoft.com/office/drawing/2014/main" id="{0D8CFA81-E598-4DB4-B2CE-D114D203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04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58</xdr:row>
      <xdr:rowOff>0</xdr:rowOff>
    </xdr:from>
    <xdr:ext cx="123825" cy="123825"/>
    <xdr:pic>
      <xdr:nvPicPr>
        <xdr:cNvPr id="189" name="BExQEXXHA3EEXR44LT6RKCDWM6ZT" hidden="1">
          <a:extLst>
            <a:ext uri="{FF2B5EF4-FFF2-40B4-BE49-F238E27FC236}">
              <a16:creationId xmlns:a16="http://schemas.microsoft.com/office/drawing/2014/main" id="{045064CC-30AC-48FB-BEBE-B6C461C65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04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62</xdr:row>
      <xdr:rowOff>0</xdr:rowOff>
    </xdr:from>
    <xdr:ext cx="123825" cy="123825"/>
    <xdr:pic>
      <xdr:nvPicPr>
        <xdr:cNvPr id="190" name="BEx1X6AMHV6ZK3UJB2BXIJTJHYJU" descr="OALR4L95ELQLZ1Y1LETHM1CS9" hidden="1">
          <a:extLst>
            <a:ext uri="{FF2B5EF4-FFF2-40B4-BE49-F238E27FC236}">
              <a16:creationId xmlns:a16="http://schemas.microsoft.com/office/drawing/2014/main" id="{AB62F34C-B7A3-4FD8-890E-FA909CC80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1181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57</xdr:row>
      <xdr:rowOff>0</xdr:rowOff>
    </xdr:from>
    <xdr:ext cx="123825" cy="123825"/>
    <xdr:pic>
      <xdr:nvPicPr>
        <xdr:cNvPr id="191" name="BExSDIVCE09QKG3CT52PHCS6ZJ09" descr="9F076L7EQCF2COMMGCQG6BQGU" hidden="1">
          <a:extLst>
            <a:ext uri="{FF2B5EF4-FFF2-40B4-BE49-F238E27FC236}">
              <a16:creationId xmlns:a16="http://schemas.microsoft.com/office/drawing/2014/main" id="{9E7F36C2-C8E6-4846-BAEA-EC8E20D09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0858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65</xdr:row>
      <xdr:rowOff>0</xdr:rowOff>
    </xdr:from>
    <xdr:ext cx="123825" cy="123825"/>
    <xdr:pic>
      <xdr:nvPicPr>
        <xdr:cNvPr id="192" name="BExS343F8GCKP6HTF9Y97L133DX8" descr="ZRF0KB1IYQSNV63CTXT25G67G" hidden="1">
          <a:extLst>
            <a:ext uri="{FF2B5EF4-FFF2-40B4-BE49-F238E27FC236}">
              <a16:creationId xmlns:a16="http://schemas.microsoft.com/office/drawing/2014/main" id="{85B05F09-A461-4F39-9FDE-0EFA79BB3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238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64</xdr:row>
      <xdr:rowOff>0</xdr:rowOff>
    </xdr:from>
    <xdr:ext cx="123825" cy="123825"/>
    <xdr:pic>
      <xdr:nvPicPr>
        <xdr:cNvPr id="193" name="BExZMRC09W87CY4B73NPZMNH21AH" descr="78CUMI0OVLYJRSDRQ3V2YX812" hidden="1">
          <a:extLst>
            <a:ext uri="{FF2B5EF4-FFF2-40B4-BE49-F238E27FC236}">
              <a16:creationId xmlns:a16="http://schemas.microsoft.com/office/drawing/2014/main" id="{11C9DF38-3ACC-432A-A852-47DBA6A96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219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63</xdr:row>
      <xdr:rowOff>9525</xdr:rowOff>
    </xdr:from>
    <xdr:ext cx="123825" cy="123825"/>
    <xdr:pic>
      <xdr:nvPicPr>
        <xdr:cNvPr id="194" name="BExZXVFJ4DY4I24AARDT4AMP6EN1" descr="TXSMH2MTH86CYKA26740RQPUC" hidden="1">
          <a:extLst>
            <a:ext uri="{FF2B5EF4-FFF2-40B4-BE49-F238E27FC236}">
              <a16:creationId xmlns:a16="http://schemas.microsoft.com/office/drawing/2014/main" id="{88A0C20D-EBD1-4D5F-B9DF-F2AD465D3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2011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62</xdr:row>
      <xdr:rowOff>0</xdr:rowOff>
    </xdr:from>
    <xdr:ext cx="123825" cy="123825"/>
    <xdr:pic>
      <xdr:nvPicPr>
        <xdr:cNvPr id="195" name="BExOCUIOFQWUGTBU5ESTW3EYEP5C" descr="9BNF49V0R6VVYPHEVMJ3ABDQZ" hidden="1">
          <a:extLst>
            <a:ext uri="{FF2B5EF4-FFF2-40B4-BE49-F238E27FC236}">
              <a16:creationId xmlns:a16="http://schemas.microsoft.com/office/drawing/2014/main" id="{54A51707-0A54-4EE7-8345-E58B4C612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81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61</xdr:row>
      <xdr:rowOff>0</xdr:rowOff>
    </xdr:from>
    <xdr:ext cx="123825" cy="123825"/>
    <xdr:pic>
      <xdr:nvPicPr>
        <xdr:cNvPr id="196" name="BExU65O9OE4B4MQ2A3OYH13M8BZJ" descr="3INNIMMPDBB0JF37L81M6ID21" hidden="1">
          <a:extLst>
            <a:ext uri="{FF2B5EF4-FFF2-40B4-BE49-F238E27FC236}">
              <a16:creationId xmlns:a16="http://schemas.microsoft.com/office/drawing/2014/main" id="{1D80FCEA-D72E-44D3-A414-A8F1ED6F2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620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60</xdr:row>
      <xdr:rowOff>0</xdr:rowOff>
    </xdr:from>
    <xdr:ext cx="123825" cy="123825"/>
    <xdr:pic>
      <xdr:nvPicPr>
        <xdr:cNvPr id="197" name="BExOPRCR0UW7TKXSV5WDTL348FGL" descr="S9JM17GP1802LHN4GT14BJYIC" hidden="1">
          <a:extLst>
            <a:ext uri="{FF2B5EF4-FFF2-40B4-BE49-F238E27FC236}">
              <a16:creationId xmlns:a16="http://schemas.microsoft.com/office/drawing/2014/main" id="{F56AB2F4-C728-45CE-9763-9ECC64DC7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430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59</xdr:row>
      <xdr:rowOff>0</xdr:rowOff>
    </xdr:from>
    <xdr:ext cx="123825" cy="123825"/>
    <xdr:pic>
      <xdr:nvPicPr>
        <xdr:cNvPr id="198" name="BEx5OESAY2W8SEGI3TSB65EHJ04B" descr="9CN2Y88X8WYV1HWZG1QILY9BK" hidden="1">
          <a:extLst>
            <a:ext uri="{FF2B5EF4-FFF2-40B4-BE49-F238E27FC236}">
              <a16:creationId xmlns:a16="http://schemas.microsoft.com/office/drawing/2014/main" id="{090D4988-A1E9-4913-AA4A-5B1169A64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239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58</xdr:row>
      <xdr:rowOff>0</xdr:rowOff>
    </xdr:from>
    <xdr:ext cx="123825" cy="123825"/>
    <xdr:pic>
      <xdr:nvPicPr>
        <xdr:cNvPr id="199" name="BExGMWEQ2BYRY9BAO5T1X850MJN1" descr="AZ9ST0XDIOP50HSUFO5V31BR0" hidden="1">
          <a:extLst>
            <a:ext uri="{FF2B5EF4-FFF2-40B4-BE49-F238E27FC236}">
              <a16:creationId xmlns:a16="http://schemas.microsoft.com/office/drawing/2014/main" id="{06D13680-B73E-433A-B528-88101D475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04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67</xdr:row>
      <xdr:rowOff>9525</xdr:rowOff>
    </xdr:from>
    <xdr:ext cx="47625" cy="47625"/>
    <xdr:pic>
      <xdr:nvPicPr>
        <xdr:cNvPr id="200" name="BExMO7VFCN4EL59982UR4AJ25JNJ" descr="XX6TINEJADZGKR0CTM7ZRT0RA" hidden="1">
          <a:extLst>
            <a:ext uri="{FF2B5EF4-FFF2-40B4-BE49-F238E27FC236}">
              <a16:creationId xmlns:a16="http://schemas.microsoft.com/office/drawing/2014/main" id="{5FB166F7-4534-4BDC-A054-2B36DCAB0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2773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67</xdr:row>
      <xdr:rowOff>85725</xdr:rowOff>
    </xdr:from>
    <xdr:ext cx="47625" cy="47625"/>
    <xdr:pic>
      <xdr:nvPicPr>
        <xdr:cNvPr id="201" name="BExU3EX5JJCXCII4YKUJBFBGIJR2" descr="OF5ZI9PI5WH36VPANJ2DYLNMI" hidden="1">
          <a:extLst>
            <a:ext uri="{FF2B5EF4-FFF2-40B4-BE49-F238E27FC236}">
              <a16:creationId xmlns:a16="http://schemas.microsoft.com/office/drawing/2014/main" id="{8808FCC1-D5DE-475A-AE65-B3A402493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2849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67</xdr:row>
      <xdr:rowOff>9525</xdr:rowOff>
    </xdr:from>
    <xdr:ext cx="47625" cy="47625"/>
    <xdr:pic>
      <xdr:nvPicPr>
        <xdr:cNvPr id="202" name="BEx1KD7H6UB1VYCJ7O61P562EIUY" descr="IQGV9140X0K0UPBL8OGU3I44J" hidden="1">
          <a:extLst>
            <a:ext uri="{FF2B5EF4-FFF2-40B4-BE49-F238E27FC236}">
              <a16:creationId xmlns:a16="http://schemas.microsoft.com/office/drawing/2014/main" id="{8990C237-7BC8-48B0-9BE3-9C21D3745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12773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67</xdr:row>
      <xdr:rowOff>85725</xdr:rowOff>
    </xdr:from>
    <xdr:ext cx="47625" cy="47625"/>
    <xdr:pic>
      <xdr:nvPicPr>
        <xdr:cNvPr id="203" name="BEx5BJQWS6YWHH4ZMSUAMD641V6Y" descr="ZTMFMXCIQSECDX38ALEFHUB00" hidden="1">
          <a:extLst>
            <a:ext uri="{FF2B5EF4-FFF2-40B4-BE49-F238E27FC236}">
              <a16:creationId xmlns:a16="http://schemas.microsoft.com/office/drawing/2014/main" id="{8E55D47C-8469-4B4E-AA19-0EF2E767A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12849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67</xdr:row>
      <xdr:rowOff>9525</xdr:rowOff>
    </xdr:from>
    <xdr:ext cx="47625" cy="47625"/>
    <xdr:pic>
      <xdr:nvPicPr>
        <xdr:cNvPr id="204" name="BExVTO5Q8G2M7BPL4B2584LQS0R0" descr="OB6Q8NA4LZFE4GM9Y3V56BPMQ" hidden="1">
          <a:extLst>
            <a:ext uri="{FF2B5EF4-FFF2-40B4-BE49-F238E27FC236}">
              <a16:creationId xmlns:a16="http://schemas.microsoft.com/office/drawing/2014/main" id="{89DA0332-68FD-438A-B018-9298BF9C1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12773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67</xdr:row>
      <xdr:rowOff>85725</xdr:rowOff>
    </xdr:from>
    <xdr:ext cx="47625" cy="47625"/>
    <xdr:pic>
      <xdr:nvPicPr>
        <xdr:cNvPr id="205" name="BExIFSCLN1G86X78PFLTSMRP0US5" descr="9JK4SPV4DG7VTCZIILWHXQU5J" hidden="1">
          <a:extLst>
            <a:ext uri="{FF2B5EF4-FFF2-40B4-BE49-F238E27FC236}">
              <a16:creationId xmlns:a16="http://schemas.microsoft.com/office/drawing/2014/main" id="{90A37203-23BA-4697-997F-6CF22CF9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12849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67</xdr:row>
      <xdr:rowOff>9525</xdr:rowOff>
    </xdr:from>
    <xdr:ext cx="47625" cy="47625"/>
    <xdr:pic>
      <xdr:nvPicPr>
        <xdr:cNvPr id="206" name="BEx1I152WN2D3A85O2XN0DGXCWHN" descr="KHBZFMANRA4UMJR1AB4M5NJNT" hidden="1">
          <a:extLst>
            <a:ext uri="{FF2B5EF4-FFF2-40B4-BE49-F238E27FC236}">
              <a16:creationId xmlns:a16="http://schemas.microsoft.com/office/drawing/2014/main" id="{88D517BC-33AC-4EEA-98F7-930EC4713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2773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67</xdr:row>
      <xdr:rowOff>85725</xdr:rowOff>
    </xdr:from>
    <xdr:ext cx="47625" cy="47625"/>
    <xdr:pic>
      <xdr:nvPicPr>
        <xdr:cNvPr id="207" name="BExW9676P0SKCVKK25QCGHPA3PAD" descr="9A4PWZ20RMSRF0PNECCDM75CA" hidden="1">
          <a:extLst>
            <a:ext uri="{FF2B5EF4-FFF2-40B4-BE49-F238E27FC236}">
              <a16:creationId xmlns:a16="http://schemas.microsoft.com/office/drawing/2014/main" id="{7A5B7490-46F3-4059-AF4C-2EA585C5F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2849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69</xdr:row>
      <xdr:rowOff>0</xdr:rowOff>
    </xdr:from>
    <xdr:ext cx="123825" cy="123825"/>
    <xdr:pic>
      <xdr:nvPicPr>
        <xdr:cNvPr id="208" name="BExW253QPOZK9KW8BJC3LBXGCG2N" descr="Y5HX37BEUWSN1NEFJKZJXI3SX" hidden="1">
          <a:extLst>
            <a:ext uri="{FF2B5EF4-FFF2-40B4-BE49-F238E27FC236}">
              <a16:creationId xmlns:a16="http://schemas.microsoft.com/office/drawing/2014/main" id="{549473E0-BC52-4D7E-ACF4-FA435A42A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1314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67</xdr:row>
      <xdr:rowOff>9525</xdr:rowOff>
    </xdr:from>
    <xdr:ext cx="47625" cy="47625"/>
    <xdr:pic>
      <xdr:nvPicPr>
        <xdr:cNvPr id="209" name="BExS5CPQ8P8JOQPK7ANNKHLSGOKU" hidden="1">
          <a:extLst>
            <a:ext uri="{FF2B5EF4-FFF2-40B4-BE49-F238E27FC236}">
              <a16:creationId xmlns:a16="http://schemas.microsoft.com/office/drawing/2014/main" id="{2EDF4A32-5106-4F50-A977-D439A5B89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2773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67</xdr:row>
      <xdr:rowOff>85725</xdr:rowOff>
    </xdr:from>
    <xdr:ext cx="47625" cy="47625"/>
    <xdr:pic>
      <xdr:nvPicPr>
        <xdr:cNvPr id="210" name="BExMM0AVUAIRNJLXB1FW8R0YB4ZZ" hidden="1">
          <a:extLst>
            <a:ext uri="{FF2B5EF4-FFF2-40B4-BE49-F238E27FC236}">
              <a16:creationId xmlns:a16="http://schemas.microsoft.com/office/drawing/2014/main" id="{3A4A4B45-1D4E-4101-B3E7-1079DEBBF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2849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67</xdr:row>
      <xdr:rowOff>9525</xdr:rowOff>
    </xdr:from>
    <xdr:ext cx="47625" cy="47625"/>
    <xdr:pic>
      <xdr:nvPicPr>
        <xdr:cNvPr id="211" name="BExXZ7Y09CBS0XA7IPB3IRJ8RJM4" hidden="1">
          <a:extLst>
            <a:ext uri="{FF2B5EF4-FFF2-40B4-BE49-F238E27FC236}">
              <a16:creationId xmlns:a16="http://schemas.microsoft.com/office/drawing/2014/main" id="{4B83B3CA-F006-483E-8AC6-FB1AA3776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2773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67</xdr:row>
      <xdr:rowOff>85725</xdr:rowOff>
    </xdr:from>
    <xdr:ext cx="47625" cy="47625"/>
    <xdr:pic>
      <xdr:nvPicPr>
        <xdr:cNvPr id="212" name="BExQ7SXS9VUG7P6CACU2J7R2SGIZ" hidden="1">
          <a:extLst>
            <a:ext uri="{FF2B5EF4-FFF2-40B4-BE49-F238E27FC236}">
              <a16:creationId xmlns:a16="http://schemas.microsoft.com/office/drawing/2014/main" id="{690321D5-94DD-455B-B08D-BE093D507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2849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67</xdr:row>
      <xdr:rowOff>9525</xdr:rowOff>
    </xdr:from>
    <xdr:ext cx="47625" cy="47625"/>
    <xdr:pic>
      <xdr:nvPicPr>
        <xdr:cNvPr id="213" name="BEx5AQZ4ETQ9LMY5EBWVH20Z7VXQ" hidden="1">
          <a:extLst>
            <a:ext uri="{FF2B5EF4-FFF2-40B4-BE49-F238E27FC236}">
              <a16:creationId xmlns:a16="http://schemas.microsoft.com/office/drawing/2014/main" id="{F900D8F4-5CDD-4733-B875-D543BB3E2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12773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67</xdr:row>
      <xdr:rowOff>85725</xdr:rowOff>
    </xdr:from>
    <xdr:ext cx="47625" cy="47625"/>
    <xdr:pic>
      <xdr:nvPicPr>
        <xdr:cNvPr id="214" name="BExUBK0YZ5VYFY8TTITJGJU9S06A" hidden="1">
          <a:extLst>
            <a:ext uri="{FF2B5EF4-FFF2-40B4-BE49-F238E27FC236}">
              <a16:creationId xmlns:a16="http://schemas.microsoft.com/office/drawing/2014/main" id="{7E50AD8D-A123-447A-A097-F4AA393E3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12849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67</xdr:row>
      <xdr:rowOff>9525</xdr:rowOff>
    </xdr:from>
    <xdr:ext cx="47625" cy="47625"/>
    <xdr:pic>
      <xdr:nvPicPr>
        <xdr:cNvPr id="215" name="BExUEZCSSJ7RN4J18I2NUIQR2FZS" hidden="1">
          <a:extLst>
            <a:ext uri="{FF2B5EF4-FFF2-40B4-BE49-F238E27FC236}">
              <a16:creationId xmlns:a16="http://schemas.microsoft.com/office/drawing/2014/main" id="{399924D6-C5DE-46F6-9F35-33F91CE10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12773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67</xdr:row>
      <xdr:rowOff>85725</xdr:rowOff>
    </xdr:from>
    <xdr:ext cx="47625" cy="47625"/>
    <xdr:pic>
      <xdr:nvPicPr>
        <xdr:cNvPr id="216" name="BExS3JDQWF7U3F5JTEVOE16ASIYK" hidden="1">
          <a:extLst>
            <a:ext uri="{FF2B5EF4-FFF2-40B4-BE49-F238E27FC236}">
              <a16:creationId xmlns:a16="http://schemas.microsoft.com/office/drawing/2014/main" id="{42FB299C-0780-4530-8EEC-7230957DC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12849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70</xdr:row>
      <xdr:rowOff>0</xdr:rowOff>
    </xdr:from>
    <xdr:ext cx="123825" cy="123825"/>
    <xdr:pic>
      <xdr:nvPicPr>
        <xdr:cNvPr id="217" name="BEx973S463FCQVJ7QDFBUIU0WJ3F" descr="ZQTVYL8DCSADVT0QMRXFLU0TR" hidden="1">
          <a:extLst>
            <a:ext uri="{FF2B5EF4-FFF2-40B4-BE49-F238E27FC236}">
              <a16:creationId xmlns:a16="http://schemas.microsoft.com/office/drawing/2014/main" id="{BDDE4B40-5BDB-432D-8B65-241227216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13335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69</xdr:row>
      <xdr:rowOff>0</xdr:rowOff>
    </xdr:from>
    <xdr:ext cx="123825" cy="123825"/>
    <xdr:pic>
      <xdr:nvPicPr>
        <xdr:cNvPr id="218" name="BEx5FXJGJOT93D0J2IRJ3985IUMI" hidden="1">
          <a:extLst>
            <a:ext uri="{FF2B5EF4-FFF2-40B4-BE49-F238E27FC236}">
              <a16:creationId xmlns:a16="http://schemas.microsoft.com/office/drawing/2014/main" id="{D89FDF77-5AD1-48FD-A63E-6185F48D5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314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68</xdr:row>
      <xdr:rowOff>0</xdr:rowOff>
    </xdr:from>
    <xdr:ext cx="123825" cy="123825"/>
    <xdr:pic>
      <xdr:nvPicPr>
        <xdr:cNvPr id="219" name="BEx3RTMHAR35NUAAK49TV6NU7EPA" descr="QFXLG4ZCXTRQSJYFCKJ58G9N8" hidden="1">
          <a:extLst>
            <a:ext uri="{FF2B5EF4-FFF2-40B4-BE49-F238E27FC236}">
              <a16:creationId xmlns:a16="http://schemas.microsoft.com/office/drawing/2014/main" id="{03302C5B-ACA3-459B-911F-2A931047B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2954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71</xdr:row>
      <xdr:rowOff>0</xdr:rowOff>
    </xdr:from>
    <xdr:ext cx="123825" cy="123825"/>
    <xdr:pic>
      <xdr:nvPicPr>
        <xdr:cNvPr id="220" name="BExS8T38WLC2R738ZC7BDJQAKJAJ" descr="MRI962L5PB0E0YWXCIBN82VJH" hidden="1">
          <a:extLst>
            <a:ext uri="{FF2B5EF4-FFF2-40B4-BE49-F238E27FC236}">
              <a16:creationId xmlns:a16="http://schemas.microsoft.com/office/drawing/2014/main" id="{6DB45882-365A-4188-BEE5-D7992362D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1352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69</xdr:row>
      <xdr:rowOff>0</xdr:rowOff>
    </xdr:from>
    <xdr:ext cx="123825" cy="123825"/>
    <xdr:pic>
      <xdr:nvPicPr>
        <xdr:cNvPr id="221" name="BEx5F64BJ6DCM4EJH81D5ZFNPZ0V" descr="7DJ9FILZD2YPS6X1JBP9E76TU" hidden="1">
          <a:extLst>
            <a:ext uri="{FF2B5EF4-FFF2-40B4-BE49-F238E27FC236}">
              <a16:creationId xmlns:a16="http://schemas.microsoft.com/office/drawing/2014/main" id="{549795D3-F804-4290-A0F2-933A55687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314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69</xdr:row>
      <xdr:rowOff>0</xdr:rowOff>
    </xdr:from>
    <xdr:ext cx="123825" cy="123825"/>
    <xdr:pic>
      <xdr:nvPicPr>
        <xdr:cNvPr id="222" name="BExQEXXHA3EEXR44LT6RKCDWM6ZT" hidden="1">
          <a:extLst>
            <a:ext uri="{FF2B5EF4-FFF2-40B4-BE49-F238E27FC236}">
              <a16:creationId xmlns:a16="http://schemas.microsoft.com/office/drawing/2014/main" id="{07B0CF5D-CA66-462A-8E1D-042E8599C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314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73</xdr:row>
      <xdr:rowOff>0</xdr:rowOff>
    </xdr:from>
    <xdr:ext cx="123825" cy="123825"/>
    <xdr:pic>
      <xdr:nvPicPr>
        <xdr:cNvPr id="223" name="BEx1X6AMHV6ZK3UJB2BXIJTJHYJU" descr="OALR4L95ELQLZ1Y1LETHM1CS9" hidden="1">
          <a:extLst>
            <a:ext uri="{FF2B5EF4-FFF2-40B4-BE49-F238E27FC236}">
              <a16:creationId xmlns:a16="http://schemas.microsoft.com/office/drawing/2014/main" id="{F8D8DB4A-CB47-487D-AF5F-0A1FAD790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1390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68</xdr:row>
      <xdr:rowOff>0</xdr:rowOff>
    </xdr:from>
    <xdr:ext cx="123825" cy="123825"/>
    <xdr:pic>
      <xdr:nvPicPr>
        <xdr:cNvPr id="224" name="BExSDIVCE09QKG3CT52PHCS6ZJ09" descr="9F076L7EQCF2COMMGCQG6BQGU" hidden="1">
          <a:extLst>
            <a:ext uri="{FF2B5EF4-FFF2-40B4-BE49-F238E27FC236}">
              <a16:creationId xmlns:a16="http://schemas.microsoft.com/office/drawing/2014/main" id="{50E2ADFF-70CD-45A4-92BB-B763F86AF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2954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76</xdr:row>
      <xdr:rowOff>0</xdr:rowOff>
    </xdr:from>
    <xdr:ext cx="123825" cy="123825"/>
    <xdr:pic>
      <xdr:nvPicPr>
        <xdr:cNvPr id="225" name="BExS343F8GCKP6HTF9Y97L133DX8" descr="ZRF0KB1IYQSNV63CTXT25G67G" hidden="1">
          <a:extLst>
            <a:ext uri="{FF2B5EF4-FFF2-40B4-BE49-F238E27FC236}">
              <a16:creationId xmlns:a16="http://schemas.microsoft.com/office/drawing/2014/main" id="{AD62A28C-73AC-45AC-8503-AE4362EFE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4478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75</xdr:row>
      <xdr:rowOff>0</xdr:rowOff>
    </xdr:from>
    <xdr:ext cx="123825" cy="123825"/>
    <xdr:pic>
      <xdr:nvPicPr>
        <xdr:cNvPr id="226" name="BExZMRC09W87CY4B73NPZMNH21AH" descr="78CUMI0OVLYJRSDRQ3V2YX812" hidden="1">
          <a:extLst>
            <a:ext uri="{FF2B5EF4-FFF2-40B4-BE49-F238E27FC236}">
              <a16:creationId xmlns:a16="http://schemas.microsoft.com/office/drawing/2014/main" id="{F3F62460-9858-4812-8195-CAA1F1E59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4287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74</xdr:row>
      <xdr:rowOff>9525</xdr:rowOff>
    </xdr:from>
    <xdr:ext cx="123825" cy="123825"/>
    <xdr:pic>
      <xdr:nvPicPr>
        <xdr:cNvPr id="227" name="BExZXVFJ4DY4I24AARDT4AMP6EN1" descr="TXSMH2MTH86CYKA26740RQPUC" hidden="1">
          <a:extLst>
            <a:ext uri="{FF2B5EF4-FFF2-40B4-BE49-F238E27FC236}">
              <a16:creationId xmlns:a16="http://schemas.microsoft.com/office/drawing/2014/main" id="{8D751676-CE02-4FF2-AB43-A10C9845E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4106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73</xdr:row>
      <xdr:rowOff>0</xdr:rowOff>
    </xdr:from>
    <xdr:ext cx="123825" cy="123825"/>
    <xdr:pic>
      <xdr:nvPicPr>
        <xdr:cNvPr id="228" name="BExOCUIOFQWUGTBU5ESTW3EYEP5C" descr="9BNF49V0R6VVYPHEVMJ3ABDQZ" hidden="1">
          <a:extLst>
            <a:ext uri="{FF2B5EF4-FFF2-40B4-BE49-F238E27FC236}">
              <a16:creationId xmlns:a16="http://schemas.microsoft.com/office/drawing/2014/main" id="{A7A699E6-0681-470B-AD52-B9F9E7511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390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72</xdr:row>
      <xdr:rowOff>0</xdr:rowOff>
    </xdr:from>
    <xdr:ext cx="123825" cy="123825"/>
    <xdr:pic>
      <xdr:nvPicPr>
        <xdr:cNvPr id="229" name="BExU65O9OE4B4MQ2A3OYH13M8BZJ" descr="3INNIMMPDBB0JF37L81M6ID21" hidden="1">
          <a:extLst>
            <a:ext uri="{FF2B5EF4-FFF2-40B4-BE49-F238E27FC236}">
              <a16:creationId xmlns:a16="http://schemas.microsoft.com/office/drawing/2014/main" id="{973D22D9-90BB-47A0-80F1-B8EE4D5B4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3716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71</xdr:row>
      <xdr:rowOff>0</xdr:rowOff>
    </xdr:from>
    <xdr:ext cx="123825" cy="123825"/>
    <xdr:pic>
      <xdr:nvPicPr>
        <xdr:cNvPr id="230" name="BExOPRCR0UW7TKXSV5WDTL348FGL" descr="S9JM17GP1802LHN4GT14BJYIC" hidden="1">
          <a:extLst>
            <a:ext uri="{FF2B5EF4-FFF2-40B4-BE49-F238E27FC236}">
              <a16:creationId xmlns:a16="http://schemas.microsoft.com/office/drawing/2014/main" id="{2391E6FE-69AC-4672-AAA5-2E480217A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352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70</xdr:row>
      <xdr:rowOff>0</xdr:rowOff>
    </xdr:from>
    <xdr:ext cx="123825" cy="123825"/>
    <xdr:pic>
      <xdr:nvPicPr>
        <xdr:cNvPr id="231" name="BEx5OESAY2W8SEGI3TSB65EHJ04B" descr="9CN2Y88X8WYV1HWZG1QILY9BK" hidden="1">
          <a:extLst>
            <a:ext uri="{FF2B5EF4-FFF2-40B4-BE49-F238E27FC236}">
              <a16:creationId xmlns:a16="http://schemas.microsoft.com/office/drawing/2014/main" id="{19C16D54-D8A6-4A19-8EDF-63FB72BC5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3335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69</xdr:row>
      <xdr:rowOff>0</xdr:rowOff>
    </xdr:from>
    <xdr:ext cx="123825" cy="123825"/>
    <xdr:pic>
      <xdr:nvPicPr>
        <xdr:cNvPr id="232" name="BExGMWEQ2BYRY9BAO5T1X850MJN1" descr="AZ9ST0XDIOP50HSUFO5V31BR0" hidden="1">
          <a:extLst>
            <a:ext uri="{FF2B5EF4-FFF2-40B4-BE49-F238E27FC236}">
              <a16:creationId xmlns:a16="http://schemas.microsoft.com/office/drawing/2014/main" id="{B4C5E07A-FEFC-44EB-9476-322FB1C55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314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78</xdr:row>
      <xdr:rowOff>9525</xdr:rowOff>
    </xdr:from>
    <xdr:ext cx="47625" cy="47625"/>
    <xdr:pic>
      <xdr:nvPicPr>
        <xdr:cNvPr id="233" name="BExMO7VFCN4EL59982UR4AJ25JNJ" descr="XX6TINEJADZGKR0CTM7ZRT0RA" hidden="1">
          <a:extLst>
            <a:ext uri="{FF2B5EF4-FFF2-40B4-BE49-F238E27FC236}">
              <a16:creationId xmlns:a16="http://schemas.microsoft.com/office/drawing/2014/main" id="{054432FF-0E17-4BB4-AED2-A4D5D1D9C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4868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78</xdr:row>
      <xdr:rowOff>85725</xdr:rowOff>
    </xdr:from>
    <xdr:ext cx="47625" cy="47625"/>
    <xdr:pic>
      <xdr:nvPicPr>
        <xdr:cNvPr id="234" name="BExU3EX5JJCXCII4YKUJBFBGIJR2" descr="OF5ZI9PI5WH36VPANJ2DYLNMI" hidden="1">
          <a:extLst>
            <a:ext uri="{FF2B5EF4-FFF2-40B4-BE49-F238E27FC236}">
              <a16:creationId xmlns:a16="http://schemas.microsoft.com/office/drawing/2014/main" id="{685B204A-4D91-4BE4-85EB-AF86D318A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4944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78</xdr:row>
      <xdr:rowOff>9525</xdr:rowOff>
    </xdr:from>
    <xdr:ext cx="47625" cy="47625"/>
    <xdr:pic>
      <xdr:nvPicPr>
        <xdr:cNvPr id="235" name="BEx1KD7H6UB1VYCJ7O61P562EIUY" descr="IQGV9140X0K0UPBL8OGU3I44J" hidden="1">
          <a:extLst>
            <a:ext uri="{FF2B5EF4-FFF2-40B4-BE49-F238E27FC236}">
              <a16:creationId xmlns:a16="http://schemas.microsoft.com/office/drawing/2014/main" id="{EF2C038C-8912-430A-A942-893F2E5BE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14868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78</xdr:row>
      <xdr:rowOff>85725</xdr:rowOff>
    </xdr:from>
    <xdr:ext cx="47625" cy="47625"/>
    <xdr:pic>
      <xdr:nvPicPr>
        <xdr:cNvPr id="236" name="BEx5BJQWS6YWHH4ZMSUAMD641V6Y" descr="ZTMFMXCIQSECDX38ALEFHUB00" hidden="1">
          <a:extLst>
            <a:ext uri="{FF2B5EF4-FFF2-40B4-BE49-F238E27FC236}">
              <a16:creationId xmlns:a16="http://schemas.microsoft.com/office/drawing/2014/main" id="{D82804E2-8F16-48BF-B028-1F03B634C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14944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78</xdr:row>
      <xdr:rowOff>9525</xdr:rowOff>
    </xdr:from>
    <xdr:ext cx="47625" cy="47625"/>
    <xdr:pic>
      <xdr:nvPicPr>
        <xdr:cNvPr id="237" name="BExVTO5Q8G2M7BPL4B2584LQS0R0" descr="OB6Q8NA4LZFE4GM9Y3V56BPMQ" hidden="1">
          <a:extLst>
            <a:ext uri="{FF2B5EF4-FFF2-40B4-BE49-F238E27FC236}">
              <a16:creationId xmlns:a16="http://schemas.microsoft.com/office/drawing/2014/main" id="{033D367D-4A2D-4968-9ED6-7481624C9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14868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78</xdr:row>
      <xdr:rowOff>85725</xdr:rowOff>
    </xdr:from>
    <xdr:ext cx="47625" cy="47625"/>
    <xdr:pic>
      <xdr:nvPicPr>
        <xdr:cNvPr id="238" name="BExIFSCLN1G86X78PFLTSMRP0US5" descr="9JK4SPV4DG7VTCZIILWHXQU5J" hidden="1">
          <a:extLst>
            <a:ext uri="{FF2B5EF4-FFF2-40B4-BE49-F238E27FC236}">
              <a16:creationId xmlns:a16="http://schemas.microsoft.com/office/drawing/2014/main" id="{2C4624D3-273E-44E7-AB33-42D7CF15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14944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78</xdr:row>
      <xdr:rowOff>9525</xdr:rowOff>
    </xdr:from>
    <xdr:ext cx="47625" cy="47625"/>
    <xdr:pic>
      <xdr:nvPicPr>
        <xdr:cNvPr id="239" name="BEx1I152WN2D3A85O2XN0DGXCWHN" descr="KHBZFMANRA4UMJR1AB4M5NJNT" hidden="1">
          <a:extLst>
            <a:ext uri="{FF2B5EF4-FFF2-40B4-BE49-F238E27FC236}">
              <a16:creationId xmlns:a16="http://schemas.microsoft.com/office/drawing/2014/main" id="{CB144DBD-05F1-419E-8CEA-A82B4F18A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4868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78</xdr:row>
      <xdr:rowOff>85725</xdr:rowOff>
    </xdr:from>
    <xdr:ext cx="47625" cy="47625"/>
    <xdr:pic>
      <xdr:nvPicPr>
        <xdr:cNvPr id="240" name="BExW9676P0SKCVKK25QCGHPA3PAD" descr="9A4PWZ20RMSRF0PNECCDM75CA" hidden="1">
          <a:extLst>
            <a:ext uri="{FF2B5EF4-FFF2-40B4-BE49-F238E27FC236}">
              <a16:creationId xmlns:a16="http://schemas.microsoft.com/office/drawing/2014/main" id="{27EA0FF2-AF56-4488-9581-FF7A77B99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4944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80</xdr:row>
      <xdr:rowOff>0</xdr:rowOff>
    </xdr:from>
    <xdr:ext cx="123825" cy="123825"/>
    <xdr:pic>
      <xdr:nvPicPr>
        <xdr:cNvPr id="241" name="BExW253QPOZK9KW8BJC3LBXGCG2N" descr="Y5HX37BEUWSN1NEFJKZJXI3SX" hidden="1">
          <a:extLst>
            <a:ext uri="{FF2B5EF4-FFF2-40B4-BE49-F238E27FC236}">
              <a16:creationId xmlns:a16="http://schemas.microsoft.com/office/drawing/2014/main" id="{5F527A26-C758-45CC-B8F3-A176659F6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15240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78</xdr:row>
      <xdr:rowOff>9525</xdr:rowOff>
    </xdr:from>
    <xdr:ext cx="47625" cy="47625"/>
    <xdr:pic>
      <xdr:nvPicPr>
        <xdr:cNvPr id="242" name="BExS5CPQ8P8JOQPK7ANNKHLSGOKU" hidden="1">
          <a:extLst>
            <a:ext uri="{FF2B5EF4-FFF2-40B4-BE49-F238E27FC236}">
              <a16:creationId xmlns:a16="http://schemas.microsoft.com/office/drawing/2014/main" id="{46ED4CCC-0C50-4E58-B743-C5B8AE7C5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4868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78</xdr:row>
      <xdr:rowOff>85725</xdr:rowOff>
    </xdr:from>
    <xdr:ext cx="47625" cy="47625"/>
    <xdr:pic>
      <xdr:nvPicPr>
        <xdr:cNvPr id="243" name="BExMM0AVUAIRNJLXB1FW8R0YB4ZZ" hidden="1">
          <a:extLst>
            <a:ext uri="{FF2B5EF4-FFF2-40B4-BE49-F238E27FC236}">
              <a16:creationId xmlns:a16="http://schemas.microsoft.com/office/drawing/2014/main" id="{68BDC8B1-6FF3-458F-92CC-C4869E63D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4944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78</xdr:row>
      <xdr:rowOff>9525</xdr:rowOff>
    </xdr:from>
    <xdr:ext cx="47625" cy="47625"/>
    <xdr:pic>
      <xdr:nvPicPr>
        <xdr:cNvPr id="244" name="BExXZ7Y09CBS0XA7IPB3IRJ8RJM4" hidden="1">
          <a:extLst>
            <a:ext uri="{FF2B5EF4-FFF2-40B4-BE49-F238E27FC236}">
              <a16:creationId xmlns:a16="http://schemas.microsoft.com/office/drawing/2014/main" id="{A450C969-2AC2-4E1D-ACE5-311DFD477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4868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78</xdr:row>
      <xdr:rowOff>85725</xdr:rowOff>
    </xdr:from>
    <xdr:ext cx="47625" cy="47625"/>
    <xdr:pic>
      <xdr:nvPicPr>
        <xdr:cNvPr id="245" name="BExQ7SXS9VUG7P6CACU2J7R2SGIZ" hidden="1">
          <a:extLst>
            <a:ext uri="{FF2B5EF4-FFF2-40B4-BE49-F238E27FC236}">
              <a16:creationId xmlns:a16="http://schemas.microsoft.com/office/drawing/2014/main" id="{E20A0BE2-277F-4A13-BE97-3C3F9D67E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4944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78</xdr:row>
      <xdr:rowOff>9525</xdr:rowOff>
    </xdr:from>
    <xdr:ext cx="47625" cy="47625"/>
    <xdr:pic>
      <xdr:nvPicPr>
        <xdr:cNvPr id="246" name="BEx5AQZ4ETQ9LMY5EBWVH20Z7VXQ" hidden="1">
          <a:extLst>
            <a:ext uri="{FF2B5EF4-FFF2-40B4-BE49-F238E27FC236}">
              <a16:creationId xmlns:a16="http://schemas.microsoft.com/office/drawing/2014/main" id="{890BE7CF-B0B0-4120-9BF9-3584C26BF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14868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78</xdr:row>
      <xdr:rowOff>85725</xdr:rowOff>
    </xdr:from>
    <xdr:ext cx="47625" cy="47625"/>
    <xdr:pic>
      <xdr:nvPicPr>
        <xdr:cNvPr id="247" name="BExUBK0YZ5VYFY8TTITJGJU9S06A" hidden="1">
          <a:extLst>
            <a:ext uri="{FF2B5EF4-FFF2-40B4-BE49-F238E27FC236}">
              <a16:creationId xmlns:a16="http://schemas.microsoft.com/office/drawing/2014/main" id="{D12F35FF-5B1A-4A6D-BDD6-D5601759B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14944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78</xdr:row>
      <xdr:rowOff>9525</xdr:rowOff>
    </xdr:from>
    <xdr:ext cx="47625" cy="47625"/>
    <xdr:pic>
      <xdr:nvPicPr>
        <xdr:cNvPr id="248" name="BExUEZCSSJ7RN4J18I2NUIQR2FZS" hidden="1">
          <a:extLst>
            <a:ext uri="{FF2B5EF4-FFF2-40B4-BE49-F238E27FC236}">
              <a16:creationId xmlns:a16="http://schemas.microsoft.com/office/drawing/2014/main" id="{CB69004C-87D6-4462-8A0D-1C88D2066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14868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78</xdr:row>
      <xdr:rowOff>85725</xdr:rowOff>
    </xdr:from>
    <xdr:ext cx="47625" cy="47625"/>
    <xdr:pic>
      <xdr:nvPicPr>
        <xdr:cNvPr id="249" name="BExS3JDQWF7U3F5JTEVOE16ASIYK" hidden="1">
          <a:extLst>
            <a:ext uri="{FF2B5EF4-FFF2-40B4-BE49-F238E27FC236}">
              <a16:creationId xmlns:a16="http://schemas.microsoft.com/office/drawing/2014/main" id="{28536BB3-256B-4DC3-938A-5A953988F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14944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81</xdr:row>
      <xdr:rowOff>0</xdr:rowOff>
    </xdr:from>
    <xdr:ext cx="123825" cy="123825"/>
    <xdr:pic>
      <xdr:nvPicPr>
        <xdr:cNvPr id="250" name="BEx973S463FCQVJ7QDFBUIU0WJ3F" descr="ZQTVYL8DCSADVT0QMRXFLU0TR" hidden="1">
          <a:extLst>
            <a:ext uri="{FF2B5EF4-FFF2-40B4-BE49-F238E27FC236}">
              <a16:creationId xmlns:a16="http://schemas.microsoft.com/office/drawing/2014/main" id="{AFDD0AA9-68DF-4EA6-93BB-7CAB61C57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15430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80</xdr:row>
      <xdr:rowOff>0</xdr:rowOff>
    </xdr:from>
    <xdr:ext cx="123825" cy="123825"/>
    <xdr:pic>
      <xdr:nvPicPr>
        <xdr:cNvPr id="251" name="BEx5FXJGJOT93D0J2IRJ3985IUMI" hidden="1">
          <a:extLst>
            <a:ext uri="{FF2B5EF4-FFF2-40B4-BE49-F238E27FC236}">
              <a16:creationId xmlns:a16="http://schemas.microsoft.com/office/drawing/2014/main" id="{E2EB9252-20F2-402A-8D76-E2BC4CD11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5240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79</xdr:row>
      <xdr:rowOff>0</xdr:rowOff>
    </xdr:from>
    <xdr:ext cx="123825" cy="123825"/>
    <xdr:pic>
      <xdr:nvPicPr>
        <xdr:cNvPr id="252" name="BEx3RTMHAR35NUAAK49TV6NU7EPA" descr="QFXLG4ZCXTRQSJYFCKJ58G9N8" hidden="1">
          <a:extLst>
            <a:ext uri="{FF2B5EF4-FFF2-40B4-BE49-F238E27FC236}">
              <a16:creationId xmlns:a16="http://schemas.microsoft.com/office/drawing/2014/main" id="{6F3BF6B3-A8D0-4FFB-BDC3-8C33E9F19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5049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82</xdr:row>
      <xdr:rowOff>0</xdr:rowOff>
    </xdr:from>
    <xdr:ext cx="123825" cy="123825"/>
    <xdr:pic>
      <xdr:nvPicPr>
        <xdr:cNvPr id="253" name="BExS8T38WLC2R738ZC7BDJQAKJAJ" descr="MRI962L5PB0E0YWXCIBN82VJH" hidden="1">
          <a:extLst>
            <a:ext uri="{FF2B5EF4-FFF2-40B4-BE49-F238E27FC236}">
              <a16:creationId xmlns:a16="http://schemas.microsoft.com/office/drawing/2014/main" id="{CB260E1B-C0FA-4877-A338-00BDBC674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1562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80</xdr:row>
      <xdr:rowOff>0</xdr:rowOff>
    </xdr:from>
    <xdr:ext cx="123825" cy="123825"/>
    <xdr:pic>
      <xdr:nvPicPr>
        <xdr:cNvPr id="254" name="BEx5F64BJ6DCM4EJH81D5ZFNPZ0V" descr="7DJ9FILZD2YPS6X1JBP9E76TU" hidden="1">
          <a:extLst>
            <a:ext uri="{FF2B5EF4-FFF2-40B4-BE49-F238E27FC236}">
              <a16:creationId xmlns:a16="http://schemas.microsoft.com/office/drawing/2014/main" id="{94977B12-F938-4C1A-A17B-3FDE8577A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5240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80</xdr:row>
      <xdr:rowOff>0</xdr:rowOff>
    </xdr:from>
    <xdr:ext cx="123825" cy="123825"/>
    <xdr:pic>
      <xdr:nvPicPr>
        <xdr:cNvPr id="255" name="BExQEXXHA3EEXR44LT6RKCDWM6ZT" hidden="1">
          <a:extLst>
            <a:ext uri="{FF2B5EF4-FFF2-40B4-BE49-F238E27FC236}">
              <a16:creationId xmlns:a16="http://schemas.microsoft.com/office/drawing/2014/main" id="{B939F941-80F6-4C22-9DBC-6B24DFE41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5240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84</xdr:row>
      <xdr:rowOff>0</xdr:rowOff>
    </xdr:from>
    <xdr:ext cx="123825" cy="123825"/>
    <xdr:pic>
      <xdr:nvPicPr>
        <xdr:cNvPr id="256" name="BEx1X6AMHV6ZK3UJB2BXIJTJHYJU" descr="OALR4L95ELQLZ1Y1LETHM1CS9" hidden="1">
          <a:extLst>
            <a:ext uri="{FF2B5EF4-FFF2-40B4-BE49-F238E27FC236}">
              <a16:creationId xmlns:a16="http://schemas.microsoft.com/office/drawing/2014/main" id="{34424EA0-1C33-46EA-A831-C02AE5A29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1600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79</xdr:row>
      <xdr:rowOff>0</xdr:rowOff>
    </xdr:from>
    <xdr:ext cx="123825" cy="123825"/>
    <xdr:pic>
      <xdr:nvPicPr>
        <xdr:cNvPr id="257" name="BExSDIVCE09QKG3CT52PHCS6ZJ09" descr="9F076L7EQCF2COMMGCQG6BQGU" hidden="1">
          <a:extLst>
            <a:ext uri="{FF2B5EF4-FFF2-40B4-BE49-F238E27FC236}">
              <a16:creationId xmlns:a16="http://schemas.microsoft.com/office/drawing/2014/main" id="{19385D3F-6696-46D5-B7AC-69A8FDA4D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5049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87</xdr:row>
      <xdr:rowOff>0</xdr:rowOff>
    </xdr:from>
    <xdr:ext cx="123825" cy="123825"/>
    <xdr:pic>
      <xdr:nvPicPr>
        <xdr:cNvPr id="258" name="BExS343F8GCKP6HTF9Y97L133DX8" descr="ZRF0KB1IYQSNV63CTXT25G67G" hidden="1">
          <a:extLst>
            <a:ext uri="{FF2B5EF4-FFF2-40B4-BE49-F238E27FC236}">
              <a16:creationId xmlns:a16="http://schemas.microsoft.com/office/drawing/2014/main" id="{4152C4D0-9938-4D91-92C6-ED5F980ED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657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86</xdr:row>
      <xdr:rowOff>0</xdr:rowOff>
    </xdr:from>
    <xdr:ext cx="123825" cy="123825"/>
    <xdr:pic>
      <xdr:nvPicPr>
        <xdr:cNvPr id="259" name="BExZMRC09W87CY4B73NPZMNH21AH" descr="78CUMI0OVLYJRSDRQ3V2YX812" hidden="1">
          <a:extLst>
            <a:ext uri="{FF2B5EF4-FFF2-40B4-BE49-F238E27FC236}">
              <a16:creationId xmlns:a16="http://schemas.microsoft.com/office/drawing/2014/main" id="{F42DE50E-45DC-4D66-B0D9-776CDA5DC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638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85</xdr:row>
      <xdr:rowOff>9525</xdr:rowOff>
    </xdr:from>
    <xdr:ext cx="123825" cy="123825"/>
    <xdr:pic>
      <xdr:nvPicPr>
        <xdr:cNvPr id="260" name="BExZXVFJ4DY4I24AARDT4AMP6EN1" descr="TXSMH2MTH86CYKA26740RQPUC" hidden="1">
          <a:extLst>
            <a:ext uri="{FF2B5EF4-FFF2-40B4-BE49-F238E27FC236}">
              <a16:creationId xmlns:a16="http://schemas.microsoft.com/office/drawing/2014/main" id="{8D2A51D7-BAE1-4DE1-8F35-2EB9C215E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6202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84</xdr:row>
      <xdr:rowOff>0</xdr:rowOff>
    </xdr:from>
    <xdr:ext cx="123825" cy="123825"/>
    <xdr:pic>
      <xdr:nvPicPr>
        <xdr:cNvPr id="261" name="BExOCUIOFQWUGTBU5ESTW3EYEP5C" descr="9BNF49V0R6VVYPHEVMJ3ABDQZ" hidden="1">
          <a:extLst>
            <a:ext uri="{FF2B5EF4-FFF2-40B4-BE49-F238E27FC236}">
              <a16:creationId xmlns:a16="http://schemas.microsoft.com/office/drawing/2014/main" id="{E44E2560-916D-4074-AE27-1526A9749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600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83</xdr:row>
      <xdr:rowOff>0</xdr:rowOff>
    </xdr:from>
    <xdr:ext cx="123825" cy="123825"/>
    <xdr:pic>
      <xdr:nvPicPr>
        <xdr:cNvPr id="262" name="BExU65O9OE4B4MQ2A3OYH13M8BZJ" descr="3INNIMMPDBB0JF37L81M6ID21" hidden="1">
          <a:extLst>
            <a:ext uri="{FF2B5EF4-FFF2-40B4-BE49-F238E27FC236}">
              <a16:creationId xmlns:a16="http://schemas.microsoft.com/office/drawing/2014/main" id="{4E77DCB9-F6F0-4400-B872-FE4D887F6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581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82</xdr:row>
      <xdr:rowOff>0</xdr:rowOff>
    </xdr:from>
    <xdr:ext cx="123825" cy="123825"/>
    <xdr:pic>
      <xdr:nvPicPr>
        <xdr:cNvPr id="263" name="BExOPRCR0UW7TKXSV5WDTL348FGL" descr="S9JM17GP1802LHN4GT14BJYIC" hidden="1">
          <a:extLst>
            <a:ext uri="{FF2B5EF4-FFF2-40B4-BE49-F238E27FC236}">
              <a16:creationId xmlns:a16="http://schemas.microsoft.com/office/drawing/2014/main" id="{A4ABC716-F511-4453-A64D-5B78EA4D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562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81</xdr:row>
      <xdr:rowOff>0</xdr:rowOff>
    </xdr:from>
    <xdr:ext cx="123825" cy="123825"/>
    <xdr:pic>
      <xdr:nvPicPr>
        <xdr:cNvPr id="264" name="BEx5OESAY2W8SEGI3TSB65EHJ04B" descr="9CN2Y88X8WYV1HWZG1QILY9BK" hidden="1">
          <a:extLst>
            <a:ext uri="{FF2B5EF4-FFF2-40B4-BE49-F238E27FC236}">
              <a16:creationId xmlns:a16="http://schemas.microsoft.com/office/drawing/2014/main" id="{6E50C139-343A-4C30-BEC0-C274631E6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5430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80</xdr:row>
      <xdr:rowOff>0</xdr:rowOff>
    </xdr:from>
    <xdr:ext cx="123825" cy="123825"/>
    <xdr:pic>
      <xdr:nvPicPr>
        <xdr:cNvPr id="265" name="BExGMWEQ2BYRY9BAO5T1X850MJN1" descr="AZ9ST0XDIOP50HSUFO5V31BR0" hidden="1">
          <a:extLst>
            <a:ext uri="{FF2B5EF4-FFF2-40B4-BE49-F238E27FC236}">
              <a16:creationId xmlns:a16="http://schemas.microsoft.com/office/drawing/2014/main" id="{A848B85A-CFDA-4099-BB9C-B74058683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5240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89</xdr:row>
      <xdr:rowOff>9525</xdr:rowOff>
    </xdr:from>
    <xdr:ext cx="47625" cy="47625"/>
    <xdr:pic>
      <xdr:nvPicPr>
        <xdr:cNvPr id="266" name="BExMO7VFCN4EL59982UR4AJ25JNJ" descr="XX6TINEJADZGKR0CTM7ZRT0RA" hidden="1">
          <a:extLst>
            <a:ext uri="{FF2B5EF4-FFF2-40B4-BE49-F238E27FC236}">
              <a16:creationId xmlns:a16="http://schemas.microsoft.com/office/drawing/2014/main" id="{3341BD08-7A49-4C06-8FBE-E7F6F5467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6964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89</xdr:row>
      <xdr:rowOff>85725</xdr:rowOff>
    </xdr:from>
    <xdr:ext cx="47625" cy="47625"/>
    <xdr:pic>
      <xdr:nvPicPr>
        <xdr:cNvPr id="267" name="BExU3EX5JJCXCII4YKUJBFBGIJR2" descr="OF5ZI9PI5WH36VPANJ2DYLNMI" hidden="1">
          <a:extLst>
            <a:ext uri="{FF2B5EF4-FFF2-40B4-BE49-F238E27FC236}">
              <a16:creationId xmlns:a16="http://schemas.microsoft.com/office/drawing/2014/main" id="{0AC04372-3A92-4AB9-B45C-91D12F5B2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7040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89</xdr:row>
      <xdr:rowOff>9525</xdr:rowOff>
    </xdr:from>
    <xdr:ext cx="47625" cy="47625"/>
    <xdr:pic>
      <xdr:nvPicPr>
        <xdr:cNvPr id="268" name="BEx1KD7H6UB1VYCJ7O61P562EIUY" descr="IQGV9140X0K0UPBL8OGU3I44J" hidden="1">
          <a:extLst>
            <a:ext uri="{FF2B5EF4-FFF2-40B4-BE49-F238E27FC236}">
              <a16:creationId xmlns:a16="http://schemas.microsoft.com/office/drawing/2014/main" id="{BB81A503-BB9B-468B-8772-38EB43DCA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16964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89</xdr:row>
      <xdr:rowOff>85725</xdr:rowOff>
    </xdr:from>
    <xdr:ext cx="47625" cy="47625"/>
    <xdr:pic>
      <xdr:nvPicPr>
        <xdr:cNvPr id="269" name="BEx5BJQWS6YWHH4ZMSUAMD641V6Y" descr="ZTMFMXCIQSECDX38ALEFHUB00" hidden="1">
          <a:extLst>
            <a:ext uri="{FF2B5EF4-FFF2-40B4-BE49-F238E27FC236}">
              <a16:creationId xmlns:a16="http://schemas.microsoft.com/office/drawing/2014/main" id="{AAA35B0B-A3B1-404D-8857-53E883CB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17040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89</xdr:row>
      <xdr:rowOff>9525</xdr:rowOff>
    </xdr:from>
    <xdr:ext cx="47625" cy="47625"/>
    <xdr:pic>
      <xdr:nvPicPr>
        <xdr:cNvPr id="270" name="BExVTO5Q8G2M7BPL4B2584LQS0R0" descr="OB6Q8NA4LZFE4GM9Y3V56BPMQ" hidden="1">
          <a:extLst>
            <a:ext uri="{FF2B5EF4-FFF2-40B4-BE49-F238E27FC236}">
              <a16:creationId xmlns:a16="http://schemas.microsoft.com/office/drawing/2014/main" id="{85AC4B74-EC0F-44A5-8F16-68EC77897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16964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89</xdr:row>
      <xdr:rowOff>85725</xdr:rowOff>
    </xdr:from>
    <xdr:ext cx="47625" cy="47625"/>
    <xdr:pic>
      <xdr:nvPicPr>
        <xdr:cNvPr id="271" name="BExIFSCLN1G86X78PFLTSMRP0US5" descr="9JK4SPV4DG7VTCZIILWHXQU5J" hidden="1">
          <a:extLst>
            <a:ext uri="{FF2B5EF4-FFF2-40B4-BE49-F238E27FC236}">
              <a16:creationId xmlns:a16="http://schemas.microsoft.com/office/drawing/2014/main" id="{A721A342-BB5C-4FB6-B76E-F09C83DA4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17040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89</xdr:row>
      <xdr:rowOff>9525</xdr:rowOff>
    </xdr:from>
    <xdr:ext cx="47625" cy="47625"/>
    <xdr:pic>
      <xdr:nvPicPr>
        <xdr:cNvPr id="272" name="BEx1I152WN2D3A85O2XN0DGXCWHN" descr="KHBZFMANRA4UMJR1AB4M5NJNT" hidden="1">
          <a:extLst>
            <a:ext uri="{FF2B5EF4-FFF2-40B4-BE49-F238E27FC236}">
              <a16:creationId xmlns:a16="http://schemas.microsoft.com/office/drawing/2014/main" id="{DEA54F48-7179-4E9A-B86F-B2C117959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6964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89</xdr:row>
      <xdr:rowOff>85725</xdr:rowOff>
    </xdr:from>
    <xdr:ext cx="47625" cy="47625"/>
    <xdr:pic>
      <xdr:nvPicPr>
        <xdr:cNvPr id="273" name="BExW9676P0SKCVKK25QCGHPA3PAD" descr="9A4PWZ20RMSRF0PNECCDM75CA" hidden="1">
          <a:extLst>
            <a:ext uri="{FF2B5EF4-FFF2-40B4-BE49-F238E27FC236}">
              <a16:creationId xmlns:a16="http://schemas.microsoft.com/office/drawing/2014/main" id="{26D23FFA-A483-463B-83ED-154AFDF1D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7040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91</xdr:row>
      <xdr:rowOff>0</xdr:rowOff>
    </xdr:from>
    <xdr:ext cx="123825" cy="123825"/>
    <xdr:pic>
      <xdr:nvPicPr>
        <xdr:cNvPr id="274" name="BExW253QPOZK9KW8BJC3LBXGCG2N" descr="Y5HX37BEUWSN1NEFJKZJXI3SX" hidden="1">
          <a:extLst>
            <a:ext uri="{FF2B5EF4-FFF2-40B4-BE49-F238E27FC236}">
              <a16:creationId xmlns:a16="http://schemas.microsoft.com/office/drawing/2014/main" id="{8B12D115-3E42-4782-98C1-A247E2051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1733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89</xdr:row>
      <xdr:rowOff>9525</xdr:rowOff>
    </xdr:from>
    <xdr:ext cx="47625" cy="47625"/>
    <xdr:pic>
      <xdr:nvPicPr>
        <xdr:cNvPr id="275" name="BExS5CPQ8P8JOQPK7ANNKHLSGOKU" hidden="1">
          <a:extLst>
            <a:ext uri="{FF2B5EF4-FFF2-40B4-BE49-F238E27FC236}">
              <a16:creationId xmlns:a16="http://schemas.microsoft.com/office/drawing/2014/main" id="{779B8375-9B70-44AC-94A2-096FC4CB3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6964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89</xdr:row>
      <xdr:rowOff>85725</xdr:rowOff>
    </xdr:from>
    <xdr:ext cx="47625" cy="47625"/>
    <xdr:pic>
      <xdr:nvPicPr>
        <xdr:cNvPr id="276" name="BExMM0AVUAIRNJLXB1FW8R0YB4ZZ" hidden="1">
          <a:extLst>
            <a:ext uri="{FF2B5EF4-FFF2-40B4-BE49-F238E27FC236}">
              <a16:creationId xmlns:a16="http://schemas.microsoft.com/office/drawing/2014/main" id="{FB7A3146-E9A3-4641-BB1D-3B0D05CF1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7040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89</xdr:row>
      <xdr:rowOff>9525</xdr:rowOff>
    </xdr:from>
    <xdr:ext cx="47625" cy="47625"/>
    <xdr:pic>
      <xdr:nvPicPr>
        <xdr:cNvPr id="277" name="BExXZ7Y09CBS0XA7IPB3IRJ8RJM4" hidden="1">
          <a:extLst>
            <a:ext uri="{FF2B5EF4-FFF2-40B4-BE49-F238E27FC236}">
              <a16:creationId xmlns:a16="http://schemas.microsoft.com/office/drawing/2014/main" id="{CCA527DC-950C-4F24-8A98-F1F828A87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6964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89</xdr:row>
      <xdr:rowOff>85725</xdr:rowOff>
    </xdr:from>
    <xdr:ext cx="47625" cy="47625"/>
    <xdr:pic>
      <xdr:nvPicPr>
        <xdr:cNvPr id="278" name="BExQ7SXS9VUG7P6CACU2J7R2SGIZ" hidden="1">
          <a:extLst>
            <a:ext uri="{FF2B5EF4-FFF2-40B4-BE49-F238E27FC236}">
              <a16:creationId xmlns:a16="http://schemas.microsoft.com/office/drawing/2014/main" id="{1FF9C2E0-3045-4C35-B1BC-D99772183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7040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89</xdr:row>
      <xdr:rowOff>9525</xdr:rowOff>
    </xdr:from>
    <xdr:ext cx="47625" cy="47625"/>
    <xdr:pic>
      <xdr:nvPicPr>
        <xdr:cNvPr id="279" name="BEx5AQZ4ETQ9LMY5EBWVH20Z7VXQ" hidden="1">
          <a:extLst>
            <a:ext uri="{FF2B5EF4-FFF2-40B4-BE49-F238E27FC236}">
              <a16:creationId xmlns:a16="http://schemas.microsoft.com/office/drawing/2014/main" id="{F7F2DA08-725D-49A5-B4ED-3B36D47C2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16964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89</xdr:row>
      <xdr:rowOff>85725</xdr:rowOff>
    </xdr:from>
    <xdr:ext cx="47625" cy="47625"/>
    <xdr:pic>
      <xdr:nvPicPr>
        <xdr:cNvPr id="280" name="BExUBK0YZ5VYFY8TTITJGJU9S06A" hidden="1">
          <a:extLst>
            <a:ext uri="{FF2B5EF4-FFF2-40B4-BE49-F238E27FC236}">
              <a16:creationId xmlns:a16="http://schemas.microsoft.com/office/drawing/2014/main" id="{84C89920-8765-4CA1-BD9D-9D76030B4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17040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89</xdr:row>
      <xdr:rowOff>9525</xdr:rowOff>
    </xdr:from>
    <xdr:ext cx="47625" cy="47625"/>
    <xdr:pic>
      <xdr:nvPicPr>
        <xdr:cNvPr id="281" name="BExUEZCSSJ7RN4J18I2NUIQR2FZS" hidden="1">
          <a:extLst>
            <a:ext uri="{FF2B5EF4-FFF2-40B4-BE49-F238E27FC236}">
              <a16:creationId xmlns:a16="http://schemas.microsoft.com/office/drawing/2014/main" id="{31CE8202-4F23-4D05-8703-3B0171512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16964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89</xdr:row>
      <xdr:rowOff>85725</xdr:rowOff>
    </xdr:from>
    <xdr:ext cx="47625" cy="47625"/>
    <xdr:pic>
      <xdr:nvPicPr>
        <xdr:cNvPr id="282" name="BExS3JDQWF7U3F5JTEVOE16ASIYK" hidden="1">
          <a:extLst>
            <a:ext uri="{FF2B5EF4-FFF2-40B4-BE49-F238E27FC236}">
              <a16:creationId xmlns:a16="http://schemas.microsoft.com/office/drawing/2014/main" id="{F509D277-D06D-4B21-9F67-B5DBE5BE1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17040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92</xdr:row>
      <xdr:rowOff>0</xdr:rowOff>
    </xdr:from>
    <xdr:ext cx="123825" cy="123825"/>
    <xdr:pic>
      <xdr:nvPicPr>
        <xdr:cNvPr id="283" name="BEx973S463FCQVJ7QDFBUIU0WJ3F" descr="ZQTVYL8DCSADVT0QMRXFLU0TR" hidden="1">
          <a:extLst>
            <a:ext uri="{FF2B5EF4-FFF2-40B4-BE49-F238E27FC236}">
              <a16:creationId xmlns:a16="http://schemas.microsoft.com/office/drawing/2014/main" id="{7849245B-99C9-43B5-8FF1-8A772D1E4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17526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91</xdr:row>
      <xdr:rowOff>0</xdr:rowOff>
    </xdr:from>
    <xdr:ext cx="123825" cy="123825"/>
    <xdr:pic>
      <xdr:nvPicPr>
        <xdr:cNvPr id="284" name="BEx5FXJGJOT93D0J2IRJ3985IUMI" hidden="1">
          <a:extLst>
            <a:ext uri="{FF2B5EF4-FFF2-40B4-BE49-F238E27FC236}">
              <a16:creationId xmlns:a16="http://schemas.microsoft.com/office/drawing/2014/main" id="{3A552606-328C-4892-BC92-2A7AC39CC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733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90</xdr:row>
      <xdr:rowOff>0</xdr:rowOff>
    </xdr:from>
    <xdr:ext cx="123825" cy="123825"/>
    <xdr:pic>
      <xdr:nvPicPr>
        <xdr:cNvPr id="285" name="BEx3RTMHAR35NUAAK49TV6NU7EPA" descr="QFXLG4ZCXTRQSJYFCKJ58G9N8" hidden="1">
          <a:extLst>
            <a:ext uri="{FF2B5EF4-FFF2-40B4-BE49-F238E27FC236}">
              <a16:creationId xmlns:a16="http://schemas.microsoft.com/office/drawing/2014/main" id="{5C326531-C8BF-4C8B-9541-413AD8E9E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7145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93</xdr:row>
      <xdr:rowOff>0</xdr:rowOff>
    </xdr:from>
    <xdr:ext cx="123825" cy="123825"/>
    <xdr:pic>
      <xdr:nvPicPr>
        <xdr:cNvPr id="286" name="BExS8T38WLC2R738ZC7BDJQAKJAJ" descr="MRI962L5PB0E0YWXCIBN82VJH" hidden="1">
          <a:extLst>
            <a:ext uri="{FF2B5EF4-FFF2-40B4-BE49-F238E27FC236}">
              <a16:creationId xmlns:a16="http://schemas.microsoft.com/office/drawing/2014/main" id="{95CECBDD-0583-4A7F-A4DB-1B46D54BA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1771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91</xdr:row>
      <xdr:rowOff>0</xdr:rowOff>
    </xdr:from>
    <xdr:ext cx="123825" cy="123825"/>
    <xdr:pic>
      <xdr:nvPicPr>
        <xdr:cNvPr id="287" name="BEx5F64BJ6DCM4EJH81D5ZFNPZ0V" descr="7DJ9FILZD2YPS6X1JBP9E76TU" hidden="1">
          <a:extLst>
            <a:ext uri="{FF2B5EF4-FFF2-40B4-BE49-F238E27FC236}">
              <a16:creationId xmlns:a16="http://schemas.microsoft.com/office/drawing/2014/main" id="{8D832C8D-45AB-4F19-9DFD-3821F7F7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733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91</xdr:row>
      <xdr:rowOff>0</xdr:rowOff>
    </xdr:from>
    <xdr:ext cx="123825" cy="123825"/>
    <xdr:pic>
      <xdr:nvPicPr>
        <xdr:cNvPr id="288" name="BExQEXXHA3EEXR44LT6RKCDWM6ZT" hidden="1">
          <a:extLst>
            <a:ext uri="{FF2B5EF4-FFF2-40B4-BE49-F238E27FC236}">
              <a16:creationId xmlns:a16="http://schemas.microsoft.com/office/drawing/2014/main" id="{CD0752C6-848C-4DDF-AE4B-7F8B08D32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733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95</xdr:row>
      <xdr:rowOff>0</xdr:rowOff>
    </xdr:from>
    <xdr:ext cx="123825" cy="123825"/>
    <xdr:pic>
      <xdr:nvPicPr>
        <xdr:cNvPr id="289" name="BEx1X6AMHV6ZK3UJB2BXIJTJHYJU" descr="OALR4L95ELQLZ1Y1LETHM1CS9" hidden="1">
          <a:extLst>
            <a:ext uri="{FF2B5EF4-FFF2-40B4-BE49-F238E27FC236}">
              <a16:creationId xmlns:a16="http://schemas.microsoft.com/office/drawing/2014/main" id="{B56D22A5-59DD-41CD-9432-EFDBE03C5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18097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90</xdr:row>
      <xdr:rowOff>0</xdr:rowOff>
    </xdr:from>
    <xdr:ext cx="123825" cy="123825"/>
    <xdr:pic>
      <xdr:nvPicPr>
        <xdr:cNvPr id="290" name="BExSDIVCE09QKG3CT52PHCS6ZJ09" descr="9F076L7EQCF2COMMGCQG6BQGU" hidden="1">
          <a:extLst>
            <a:ext uri="{FF2B5EF4-FFF2-40B4-BE49-F238E27FC236}">
              <a16:creationId xmlns:a16="http://schemas.microsoft.com/office/drawing/2014/main" id="{71928EDB-810A-4EB5-8C0A-DAA28A1C8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7145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98</xdr:row>
      <xdr:rowOff>0</xdr:rowOff>
    </xdr:from>
    <xdr:ext cx="123825" cy="123825"/>
    <xdr:pic>
      <xdr:nvPicPr>
        <xdr:cNvPr id="291" name="BExS343F8GCKP6HTF9Y97L133DX8" descr="ZRF0KB1IYQSNV63CTXT25G67G" hidden="1">
          <a:extLst>
            <a:ext uri="{FF2B5EF4-FFF2-40B4-BE49-F238E27FC236}">
              <a16:creationId xmlns:a16="http://schemas.microsoft.com/office/drawing/2014/main" id="{E07A5089-0E4C-40EF-88FF-ACD72CD63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866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97</xdr:row>
      <xdr:rowOff>0</xdr:rowOff>
    </xdr:from>
    <xdr:ext cx="123825" cy="123825"/>
    <xdr:pic>
      <xdr:nvPicPr>
        <xdr:cNvPr id="292" name="BExZMRC09W87CY4B73NPZMNH21AH" descr="78CUMI0OVLYJRSDRQ3V2YX812" hidden="1">
          <a:extLst>
            <a:ext uri="{FF2B5EF4-FFF2-40B4-BE49-F238E27FC236}">
              <a16:creationId xmlns:a16="http://schemas.microsoft.com/office/drawing/2014/main" id="{E166E72E-3D68-43AD-A115-46EEA497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8478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96</xdr:row>
      <xdr:rowOff>9525</xdr:rowOff>
    </xdr:from>
    <xdr:ext cx="123825" cy="123825"/>
    <xdr:pic>
      <xdr:nvPicPr>
        <xdr:cNvPr id="293" name="BExZXVFJ4DY4I24AARDT4AMP6EN1" descr="TXSMH2MTH86CYKA26740RQPUC" hidden="1">
          <a:extLst>
            <a:ext uri="{FF2B5EF4-FFF2-40B4-BE49-F238E27FC236}">
              <a16:creationId xmlns:a16="http://schemas.microsoft.com/office/drawing/2014/main" id="{ABF4CD4C-94D2-473B-A847-E38D01DAE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8297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95</xdr:row>
      <xdr:rowOff>0</xdr:rowOff>
    </xdr:from>
    <xdr:ext cx="123825" cy="123825"/>
    <xdr:pic>
      <xdr:nvPicPr>
        <xdr:cNvPr id="294" name="BExOCUIOFQWUGTBU5ESTW3EYEP5C" descr="9BNF49V0R6VVYPHEVMJ3ABDQZ" hidden="1">
          <a:extLst>
            <a:ext uri="{FF2B5EF4-FFF2-40B4-BE49-F238E27FC236}">
              <a16:creationId xmlns:a16="http://schemas.microsoft.com/office/drawing/2014/main" id="{719FA38D-E2BD-4617-9E63-43CA34433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8097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94</xdr:row>
      <xdr:rowOff>0</xdr:rowOff>
    </xdr:from>
    <xdr:ext cx="123825" cy="123825"/>
    <xdr:pic>
      <xdr:nvPicPr>
        <xdr:cNvPr id="295" name="BExU65O9OE4B4MQ2A3OYH13M8BZJ" descr="3INNIMMPDBB0JF37L81M6ID21" hidden="1">
          <a:extLst>
            <a:ext uri="{FF2B5EF4-FFF2-40B4-BE49-F238E27FC236}">
              <a16:creationId xmlns:a16="http://schemas.microsoft.com/office/drawing/2014/main" id="{FE9A2BAB-0357-406D-81B2-1C942E2AE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7907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93</xdr:row>
      <xdr:rowOff>0</xdr:rowOff>
    </xdr:from>
    <xdr:ext cx="123825" cy="123825"/>
    <xdr:pic>
      <xdr:nvPicPr>
        <xdr:cNvPr id="296" name="BExOPRCR0UW7TKXSV5WDTL348FGL" descr="S9JM17GP1802LHN4GT14BJYIC" hidden="1">
          <a:extLst>
            <a:ext uri="{FF2B5EF4-FFF2-40B4-BE49-F238E27FC236}">
              <a16:creationId xmlns:a16="http://schemas.microsoft.com/office/drawing/2014/main" id="{853DAA09-CF06-4607-BEB7-24B81654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771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92</xdr:row>
      <xdr:rowOff>0</xdr:rowOff>
    </xdr:from>
    <xdr:ext cx="123825" cy="123825"/>
    <xdr:pic>
      <xdr:nvPicPr>
        <xdr:cNvPr id="297" name="BEx5OESAY2W8SEGI3TSB65EHJ04B" descr="9CN2Y88X8WYV1HWZG1QILY9BK" hidden="1">
          <a:extLst>
            <a:ext uri="{FF2B5EF4-FFF2-40B4-BE49-F238E27FC236}">
              <a16:creationId xmlns:a16="http://schemas.microsoft.com/office/drawing/2014/main" id="{CD31AB8E-62ED-4908-ADDA-93B93D827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7526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91</xdr:row>
      <xdr:rowOff>0</xdr:rowOff>
    </xdr:from>
    <xdr:ext cx="123825" cy="123825"/>
    <xdr:pic>
      <xdr:nvPicPr>
        <xdr:cNvPr id="298" name="BExGMWEQ2BYRY9BAO5T1X850MJN1" descr="AZ9ST0XDIOP50HSUFO5V31BR0" hidden="1">
          <a:extLst>
            <a:ext uri="{FF2B5EF4-FFF2-40B4-BE49-F238E27FC236}">
              <a16:creationId xmlns:a16="http://schemas.microsoft.com/office/drawing/2014/main" id="{4D2CAA71-25C5-485D-8323-348DC63E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733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100</xdr:row>
      <xdr:rowOff>9525</xdr:rowOff>
    </xdr:from>
    <xdr:ext cx="47625" cy="47625"/>
    <xdr:pic>
      <xdr:nvPicPr>
        <xdr:cNvPr id="299" name="BExMO7VFCN4EL59982UR4AJ25JNJ" descr="XX6TINEJADZGKR0CTM7ZRT0RA" hidden="1">
          <a:extLst>
            <a:ext uri="{FF2B5EF4-FFF2-40B4-BE49-F238E27FC236}">
              <a16:creationId xmlns:a16="http://schemas.microsoft.com/office/drawing/2014/main" id="{6D659242-F62A-4336-9354-746C9A49C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9059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100</xdr:row>
      <xdr:rowOff>85725</xdr:rowOff>
    </xdr:from>
    <xdr:ext cx="47625" cy="47625"/>
    <xdr:pic>
      <xdr:nvPicPr>
        <xdr:cNvPr id="300" name="BExU3EX5JJCXCII4YKUJBFBGIJR2" descr="OF5ZI9PI5WH36VPANJ2DYLNMI" hidden="1">
          <a:extLst>
            <a:ext uri="{FF2B5EF4-FFF2-40B4-BE49-F238E27FC236}">
              <a16:creationId xmlns:a16="http://schemas.microsoft.com/office/drawing/2014/main" id="{98532D3C-6E9F-4708-A41C-1FFD81A97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9135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100</xdr:row>
      <xdr:rowOff>9525</xdr:rowOff>
    </xdr:from>
    <xdr:ext cx="47625" cy="47625"/>
    <xdr:pic>
      <xdr:nvPicPr>
        <xdr:cNvPr id="301" name="BEx1KD7H6UB1VYCJ7O61P562EIUY" descr="IQGV9140X0K0UPBL8OGU3I44J" hidden="1">
          <a:extLst>
            <a:ext uri="{FF2B5EF4-FFF2-40B4-BE49-F238E27FC236}">
              <a16:creationId xmlns:a16="http://schemas.microsoft.com/office/drawing/2014/main" id="{E0981B39-1AA8-4A9E-B949-49CC4340C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19059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100</xdr:row>
      <xdr:rowOff>85725</xdr:rowOff>
    </xdr:from>
    <xdr:ext cx="47625" cy="47625"/>
    <xdr:pic>
      <xdr:nvPicPr>
        <xdr:cNvPr id="302" name="BEx5BJQWS6YWHH4ZMSUAMD641V6Y" descr="ZTMFMXCIQSECDX38ALEFHUB00" hidden="1">
          <a:extLst>
            <a:ext uri="{FF2B5EF4-FFF2-40B4-BE49-F238E27FC236}">
              <a16:creationId xmlns:a16="http://schemas.microsoft.com/office/drawing/2014/main" id="{571961E8-9277-48F1-943F-C71954F65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19135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100</xdr:row>
      <xdr:rowOff>9525</xdr:rowOff>
    </xdr:from>
    <xdr:ext cx="47625" cy="47625"/>
    <xdr:pic>
      <xdr:nvPicPr>
        <xdr:cNvPr id="303" name="BExVTO5Q8G2M7BPL4B2584LQS0R0" descr="OB6Q8NA4LZFE4GM9Y3V56BPMQ" hidden="1">
          <a:extLst>
            <a:ext uri="{FF2B5EF4-FFF2-40B4-BE49-F238E27FC236}">
              <a16:creationId xmlns:a16="http://schemas.microsoft.com/office/drawing/2014/main" id="{C8123A46-8711-4C1E-B33C-D88ED375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19059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100</xdr:row>
      <xdr:rowOff>85725</xdr:rowOff>
    </xdr:from>
    <xdr:ext cx="47625" cy="47625"/>
    <xdr:pic>
      <xdr:nvPicPr>
        <xdr:cNvPr id="304" name="BExIFSCLN1G86X78PFLTSMRP0US5" descr="9JK4SPV4DG7VTCZIILWHXQU5J" hidden="1">
          <a:extLst>
            <a:ext uri="{FF2B5EF4-FFF2-40B4-BE49-F238E27FC236}">
              <a16:creationId xmlns:a16="http://schemas.microsoft.com/office/drawing/2014/main" id="{F7543983-4591-4137-9C50-C123DB8D5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19135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100</xdr:row>
      <xdr:rowOff>9525</xdr:rowOff>
    </xdr:from>
    <xdr:ext cx="47625" cy="47625"/>
    <xdr:pic>
      <xdr:nvPicPr>
        <xdr:cNvPr id="305" name="BEx1I152WN2D3A85O2XN0DGXCWHN" descr="KHBZFMANRA4UMJR1AB4M5NJNT" hidden="1">
          <a:extLst>
            <a:ext uri="{FF2B5EF4-FFF2-40B4-BE49-F238E27FC236}">
              <a16:creationId xmlns:a16="http://schemas.microsoft.com/office/drawing/2014/main" id="{A6EFBB9E-8742-4E54-B803-5E5C0C907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9059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100</xdr:row>
      <xdr:rowOff>85725</xdr:rowOff>
    </xdr:from>
    <xdr:ext cx="47625" cy="47625"/>
    <xdr:pic>
      <xdr:nvPicPr>
        <xdr:cNvPr id="306" name="BExW9676P0SKCVKK25QCGHPA3PAD" descr="9A4PWZ20RMSRF0PNECCDM75CA" hidden="1">
          <a:extLst>
            <a:ext uri="{FF2B5EF4-FFF2-40B4-BE49-F238E27FC236}">
              <a16:creationId xmlns:a16="http://schemas.microsoft.com/office/drawing/2014/main" id="{2BA8C3D9-F169-487C-A716-025F71180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9135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102</xdr:row>
      <xdr:rowOff>0</xdr:rowOff>
    </xdr:from>
    <xdr:ext cx="123825" cy="123825"/>
    <xdr:pic>
      <xdr:nvPicPr>
        <xdr:cNvPr id="307" name="BExW253QPOZK9KW8BJC3LBXGCG2N" descr="Y5HX37BEUWSN1NEFJKZJXI3SX" hidden="1">
          <a:extLst>
            <a:ext uri="{FF2B5EF4-FFF2-40B4-BE49-F238E27FC236}">
              <a16:creationId xmlns:a16="http://schemas.microsoft.com/office/drawing/2014/main" id="{C340E973-C76C-4F2C-8E83-40E24A561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1943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100</xdr:row>
      <xdr:rowOff>9525</xdr:rowOff>
    </xdr:from>
    <xdr:ext cx="47625" cy="47625"/>
    <xdr:pic>
      <xdr:nvPicPr>
        <xdr:cNvPr id="308" name="BExS5CPQ8P8JOQPK7ANNKHLSGOKU" hidden="1">
          <a:extLst>
            <a:ext uri="{FF2B5EF4-FFF2-40B4-BE49-F238E27FC236}">
              <a16:creationId xmlns:a16="http://schemas.microsoft.com/office/drawing/2014/main" id="{F6EB6D50-9208-4838-A2EA-F09C04D98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9059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100</xdr:row>
      <xdr:rowOff>85725</xdr:rowOff>
    </xdr:from>
    <xdr:ext cx="47625" cy="47625"/>
    <xdr:pic>
      <xdr:nvPicPr>
        <xdr:cNvPr id="309" name="BExMM0AVUAIRNJLXB1FW8R0YB4ZZ" hidden="1">
          <a:extLst>
            <a:ext uri="{FF2B5EF4-FFF2-40B4-BE49-F238E27FC236}">
              <a16:creationId xmlns:a16="http://schemas.microsoft.com/office/drawing/2014/main" id="{173BB152-D8CB-4C21-9C6C-A3A45FE70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9135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100</xdr:row>
      <xdr:rowOff>9525</xdr:rowOff>
    </xdr:from>
    <xdr:ext cx="47625" cy="47625"/>
    <xdr:pic>
      <xdr:nvPicPr>
        <xdr:cNvPr id="310" name="BExXZ7Y09CBS0XA7IPB3IRJ8RJM4" hidden="1">
          <a:extLst>
            <a:ext uri="{FF2B5EF4-FFF2-40B4-BE49-F238E27FC236}">
              <a16:creationId xmlns:a16="http://schemas.microsoft.com/office/drawing/2014/main" id="{81046E55-537F-4AAC-B6EE-95B3F40C8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9059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100</xdr:row>
      <xdr:rowOff>85725</xdr:rowOff>
    </xdr:from>
    <xdr:ext cx="47625" cy="47625"/>
    <xdr:pic>
      <xdr:nvPicPr>
        <xdr:cNvPr id="311" name="BExQ7SXS9VUG7P6CACU2J7R2SGIZ" hidden="1">
          <a:extLst>
            <a:ext uri="{FF2B5EF4-FFF2-40B4-BE49-F238E27FC236}">
              <a16:creationId xmlns:a16="http://schemas.microsoft.com/office/drawing/2014/main" id="{368658B8-87D0-404F-9C7A-251BAAABA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9135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100</xdr:row>
      <xdr:rowOff>9525</xdr:rowOff>
    </xdr:from>
    <xdr:ext cx="47625" cy="47625"/>
    <xdr:pic>
      <xdr:nvPicPr>
        <xdr:cNvPr id="312" name="BEx5AQZ4ETQ9LMY5EBWVH20Z7VXQ" hidden="1">
          <a:extLst>
            <a:ext uri="{FF2B5EF4-FFF2-40B4-BE49-F238E27FC236}">
              <a16:creationId xmlns:a16="http://schemas.microsoft.com/office/drawing/2014/main" id="{5E54AEDE-4989-49F9-9FEB-37EE33CB2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19059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100</xdr:row>
      <xdr:rowOff>85725</xdr:rowOff>
    </xdr:from>
    <xdr:ext cx="47625" cy="47625"/>
    <xdr:pic>
      <xdr:nvPicPr>
        <xdr:cNvPr id="313" name="BExUBK0YZ5VYFY8TTITJGJU9S06A" hidden="1">
          <a:extLst>
            <a:ext uri="{FF2B5EF4-FFF2-40B4-BE49-F238E27FC236}">
              <a16:creationId xmlns:a16="http://schemas.microsoft.com/office/drawing/2014/main" id="{8B7968C2-1FED-4149-B348-37BBDC36E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19135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100</xdr:row>
      <xdr:rowOff>9525</xdr:rowOff>
    </xdr:from>
    <xdr:ext cx="47625" cy="47625"/>
    <xdr:pic>
      <xdr:nvPicPr>
        <xdr:cNvPr id="314" name="BExUEZCSSJ7RN4J18I2NUIQR2FZS" hidden="1">
          <a:extLst>
            <a:ext uri="{FF2B5EF4-FFF2-40B4-BE49-F238E27FC236}">
              <a16:creationId xmlns:a16="http://schemas.microsoft.com/office/drawing/2014/main" id="{98EF3AF5-8CAE-42AC-9D6C-FAE8009D6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19059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100</xdr:row>
      <xdr:rowOff>85725</xdr:rowOff>
    </xdr:from>
    <xdr:ext cx="47625" cy="47625"/>
    <xdr:pic>
      <xdr:nvPicPr>
        <xdr:cNvPr id="315" name="BExS3JDQWF7U3F5JTEVOE16ASIYK" hidden="1">
          <a:extLst>
            <a:ext uri="{FF2B5EF4-FFF2-40B4-BE49-F238E27FC236}">
              <a16:creationId xmlns:a16="http://schemas.microsoft.com/office/drawing/2014/main" id="{EBDCCFAF-74B4-4CDF-9049-9BAFEA303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19135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103</xdr:row>
      <xdr:rowOff>0</xdr:rowOff>
    </xdr:from>
    <xdr:ext cx="123825" cy="123825"/>
    <xdr:pic>
      <xdr:nvPicPr>
        <xdr:cNvPr id="316" name="BEx973S463FCQVJ7QDFBUIU0WJ3F" descr="ZQTVYL8DCSADVT0QMRXFLU0TR" hidden="1">
          <a:extLst>
            <a:ext uri="{FF2B5EF4-FFF2-40B4-BE49-F238E27FC236}">
              <a16:creationId xmlns:a16="http://schemas.microsoft.com/office/drawing/2014/main" id="{C6122D51-4B3B-4565-A734-2A4C4A2BB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1962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102</xdr:row>
      <xdr:rowOff>0</xdr:rowOff>
    </xdr:from>
    <xdr:ext cx="123825" cy="123825"/>
    <xdr:pic>
      <xdr:nvPicPr>
        <xdr:cNvPr id="317" name="BEx5FXJGJOT93D0J2IRJ3985IUMI" hidden="1">
          <a:extLst>
            <a:ext uri="{FF2B5EF4-FFF2-40B4-BE49-F238E27FC236}">
              <a16:creationId xmlns:a16="http://schemas.microsoft.com/office/drawing/2014/main" id="{B61D3078-E057-46F1-B312-DF89634DD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943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101</xdr:row>
      <xdr:rowOff>0</xdr:rowOff>
    </xdr:from>
    <xdr:ext cx="123825" cy="123825"/>
    <xdr:pic>
      <xdr:nvPicPr>
        <xdr:cNvPr id="318" name="BEx3RTMHAR35NUAAK49TV6NU7EPA" descr="QFXLG4ZCXTRQSJYFCKJ58G9N8" hidden="1">
          <a:extLst>
            <a:ext uri="{FF2B5EF4-FFF2-40B4-BE49-F238E27FC236}">
              <a16:creationId xmlns:a16="http://schemas.microsoft.com/office/drawing/2014/main" id="{171B11A8-CAA7-4252-BA2D-066A192CF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9240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104</xdr:row>
      <xdr:rowOff>0</xdr:rowOff>
    </xdr:from>
    <xdr:ext cx="123825" cy="123825"/>
    <xdr:pic>
      <xdr:nvPicPr>
        <xdr:cNvPr id="319" name="BExS8T38WLC2R738ZC7BDJQAKJAJ" descr="MRI962L5PB0E0YWXCIBN82VJH" hidden="1">
          <a:extLst>
            <a:ext uri="{FF2B5EF4-FFF2-40B4-BE49-F238E27FC236}">
              <a16:creationId xmlns:a16="http://schemas.microsoft.com/office/drawing/2014/main" id="{284A9A15-A693-46D1-A702-1D1273521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1981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102</xdr:row>
      <xdr:rowOff>0</xdr:rowOff>
    </xdr:from>
    <xdr:ext cx="123825" cy="123825"/>
    <xdr:pic>
      <xdr:nvPicPr>
        <xdr:cNvPr id="320" name="BEx5F64BJ6DCM4EJH81D5ZFNPZ0V" descr="7DJ9FILZD2YPS6X1JBP9E76TU" hidden="1">
          <a:extLst>
            <a:ext uri="{FF2B5EF4-FFF2-40B4-BE49-F238E27FC236}">
              <a16:creationId xmlns:a16="http://schemas.microsoft.com/office/drawing/2014/main" id="{D32ED77F-BDFC-42FA-B34E-3DEE0A0D2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943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102</xdr:row>
      <xdr:rowOff>0</xdr:rowOff>
    </xdr:from>
    <xdr:ext cx="123825" cy="123825"/>
    <xdr:pic>
      <xdr:nvPicPr>
        <xdr:cNvPr id="321" name="BExQEXXHA3EEXR44LT6RKCDWM6ZT" hidden="1">
          <a:extLst>
            <a:ext uri="{FF2B5EF4-FFF2-40B4-BE49-F238E27FC236}">
              <a16:creationId xmlns:a16="http://schemas.microsoft.com/office/drawing/2014/main" id="{D461D1AC-975E-47AE-93B4-DACB2E3E0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943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106</xdr:row>
      <xdr:rowOff>0</xdr:rowOff>
    </xdr:from>
    <xdr:ext cx="123825" cy="123825"/>
    <xdr:pic>
      <xdr:nvPicPr>
        <xdr:cNvPr id="322" name="BEx1X6AMHV6ZK3UJB2BXIJTJHYJU" descr="OALR4L95ELQLZ1Y1LETHM1CS9" hidden="1">
          <a:extLst>
            <a:ext uri="{FF2B5EF4-FFF2-40B4-BE49-F238E27FC236}">
              <a16:creationId xmlns:a16="http://schemas.microsoft.com/office/drawing/2014/main" id="{77BDD9A9-3693-43B6-8973-F5E537009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2019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101</xdr:row>
      <xdr:rowOff>0</xdr:rowOff>
    </xdr:from>
    <xdr:ext cx="123825" cy="123825"/>
    <xdr:pic>
      <xdr:nvPicPr>
        <xdr:cNvPr id="323" name="BExSDIVCE09QKG3CT52PHCS6ZJ09" descr="9F076L7EQCF2COMMGCQG6BQGU" hidden="1">
          <a:extLst>
            <a:ext uri="{FF2B5EF4-FFF2-40B4-BE49-F238E27FC236}">
              <a16:creationId xmlns:a16="http://schemas.microsoft.com/office/drawing/2014/main" id="{0805E4A5-34D2-408D-B5CA-74667870E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9240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109</xdr:row>
      <xdr:rowOff>0</xdr:rowOff>
    </xdr:from>
    <xdr:ext cx="123825" cy="123825"/>
    <xdr:pic>
      <xdr:nvPicPr>
        <xdr:cNvPr id="324" name="BExS343F8GCKP6HTF9Y97L133DX8" descr="ZRF0KB1IYQSNV63CTXT25G67G" hidden="1">
          <a:extLst>
            <a:ext uri="{FF2B5EF4-FFF2-40B4-BE49-F238E27FC236}">
              <a16:creationId xmlns:a16="http://schemas.microsoft.com/office/drawing/2014/main" id="{5F620EB9-A23E-416D-98EC-1196DEDEB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076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108</xdr:row>
      <xdr:rowOff>0</xdr:rowOff>
    </xdr:from>
    <xdr:ext cx="123825" cy="123825"/>
    <xdr:pic>
      <xdr:nvPicPr>
        <xdr:cNvPr id="325" name="BExZMRC09W87CY4B73NPZMNH21AH" descr="78CUMI0OVLYJRSDRQ3V2YX812" hidden="1">
          <a:extLst>
            <a:ext uri="{FF2B5EF4-FFF2-40B4-BE49-F238E27FC236}">
              <a16:creationId xmlns:a16="http://schemas.microsoft.com/office/drawing/2014/main" id="{226E7CF0-D7FB-427C-A546-61240C0E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0574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107</xdr:row>
      <xdr:rowOff>9525</xdr:rowOff>
    </xdr:from>
    <xdr:ext cx="123825" cy="123825"/>
    <xdr:pic>
      <xdr:nvPicPr>
        <xdr:cNvPr id="326" name="BExZXVFJ4DY4I24AARDT4AMP6EN1" descr="TXSMH2MTH86CYKA26740RQPUC" hidden="1">
          <a:extLst>
            <a:ext uri="{FF2B5EF4-FFF2-40B4-BE49-F238E27FC236}">
              <a16:creationId xmlns:a16="http://schemas.microsoft.com/office/drawing/2014/main" id="{AAC045A0-2C4D-43B3-B498-8FAEDF024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0393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106</xdr:row>
      <xdr:rowOff>0</xdr:rowOff>
    </xdr:from>
    <xdr:ext cx="123825" cy="123825"/>
    <xdr:pic>
      <xdr:nvPicPr>
        <xdr:cNvPr id="327" name="BExOCUIOFQWUGTBU5ESTW3EYEP5C" descr="9BNF49V0R6VVYPHEVMJ3ABDQZ" hidden="1">
          <a:extLst>
            <a:ext uri="{FF2B5EF4-FFF2-40B4-BE49-F238E27FC236}">
              <a16:creationId xmlns:a16="http://schemas.microsoft.com/office/drawing/2014/main" id="{838E1BBE-CA69-404D-A499-511D6AF1B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019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105</xdr:row>
      <xdr:rowOff>0</xdr:rowOff>
    </xdr:from>
    <xdr:ext cx="123825" cy="123825"/>
    <xdr:pic>
      <xdr:nvPicPr>
        <xdr:cNvPr id="328" name="BExU65O9OE4B4MQ2A3OYH13M8BZJ" descr="3INNIMMPDBB0JF37L81M6ID21" hidden="1">
          <a:extLst>
            <a:ext uri="{FF2B5EF4-FFF2-40B4-BE49-F238E27FC236}">
              <a16:creationId xmlns:a16="http://schemas.microsoft.com/office/drawing/2014/main" id="{C45F5C1B-7B12-45C6-A750-DD1093449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000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104</xdr:row>
      <xdr:rowOff>0</xdr:rowOff>
    </xdr:from>
    <xdr:ext cx="123825" cy="123825"/>
    <xdr:pic>
      <xdr:nvPicPr>
        <xdr:cNvPr id="329" name="BExOPRCR0UW7TKXSV5WDTL348FGL" descr="S9JM17GP1802LHN4GT14BJYIC" hidden="1">
          <a:extLst>
            <a:ext uri="{FF2B5EF4-FFF2-40B4-BE49-F238E27FC236}">
              <a16:creationId xmlns:a16="http://schemas.microsoft.com/office/drawing/2014/main" id="{1FCBD59C-6561-47A9-9941-D3B6704DB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981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103</xdr:row>
      <xdr:rowOff>0</xdr:rowOff>
    </xdr:from>
    <xdr:ext cx="123825" cy="123825"/>
    <xdr:pic>
      <xdr:nvPicPr>
        <xdr:cNvPr id="330" name="BEx5OESAY2W8SEGI3TSB65EHJ04B" descr="9CN2Y88X8WYV1HWZG1QILY9BK" hidden="1">
          <a:extLst>
            <a:ext uri="{FF2B5EF4-FFF2-40B4-BE49-F238E27FC236}">
              <a16:creationId xmlns:a16="http://schemas.microsoft.com/office/drawing/2014/main" id="{85EE062D-2EFD-4668-93CB-CD017146C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962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102</xdr:row>
      <xdr:rowOff>0</xdr:rowOff>
    </xdr:from>
    <xdr:ext cx="123825" cy="123825"/>
    <xdr:pic>
      <xdr:nvPicPr>
        <xdr:cNvPr id="331" name="BExGMWEQ2BYRY9BAO5T1X850MJN1" descr="AZ9ST0XDIOP50HSUFO5V31BR0" hidden="1">
          <a:extLst>
            <a:ext uri="{FF2B5EF4-FFF2-40B4-BE49-F238E27FC236}">
              <a16:creationId xmlns:a16="http://schemas.microsoft.com/office/drawing/2014/main" id="{89D95496-BF23-4C41-94AF-D82B1BFBF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943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111</xdr:row>
      <xdr:rowOff>9525</xdr:rowOff>
    </xdr:from>
    <xdr:ext cx="47625" cy="47625"/>
    <xdr:pic>
      <xdr:nvPicPr>
        <xdr:cNvPr id="332" name="BExMO7VFCN4EL59982UR4AJ25JNJ" descr="XX6TINEJADZGKR0CTM7ZRT0RA" hidden="1">
          <a:extLst>
            <a:ext uri="{FF2B5EF4-FFF2-40B4-BE49-F238E27FC236}">
              <a16:creationId xmlns:a16="http://schemas.microsoft.com/office/drawing/2014/main" id="{AB3C4324-C456-4150-B5A0-6CEA77455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111</xdr:row>
      <xdr:rowOff>85725</xdr:rowOff>
    </xdr:from>
    <xdr:ext cx="47625" cy="47625"/>
    <xdr:pic>
      <xdr:nvPicPr>
        <xdr:cNvPr id="333" name="BExU3EX5JJCXCII4YKUJBFBGIJR2" descr="OF5ZI9PI5WH36VPANJ2DYLNMI" hidden="1">
          <a:extLst>
            <a:ext uri="{FF2B5EF4-FFF2-40B4-BE49-F238E27FC236}">
              <a16:creationId xmlns:a16="http://schemas.microsoft.com/office/drawing/2014/main" id="{B3F79FA3-4D47-4FEE-9E52-78C0031E0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111</xdr:row>
      <xdr:rowOff>9525</xdr:rowOff>
    </xdr:from>
    <xdr:ext cx="47625" cy="47625"/>
    <xdr:pic>
      <xdr:nvPicPr>
        <xdr:cNvPr id="334" name="BEx1KD7H6UB1VYCJ7O61P562EIUY" descr="IQGV9140X0K0UPBL8OGU3I44J" hidden="1">
          <a:extLst>
            <a:ext uri="{FF2B5EF4-FFF2-40B4-BE49-F238E27FC236}">
              <a16:creationId xmlns:a16="http://schemas.microsoft.com/office/drawing/2014/main" id="{53649ADC-107F-4DE7-9365-EDFFD8F9C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111</xdr:row>
      <xdr:rowOff>85725</xdr:rowOff>
    </xdr:from>
    <xdr:ext cx="47625" cy="47625"/>
    <xdr:pic>
      <xdr:nvPicPr>
        <xdr:cNvPr id="335" name="BEx5BJQWS6YWHH4ZMSUAMD641V6Y" descr="ZTMFMXCIQSECDX38ALEFHUB00" hidden="1">
          <a:extLst>
            <a:ext uri="{FF2B5EF4-FFF2-40B4-BE49-F238E27FC236}">
              <a16:creationId xmlns:a16="http://schemas.microsoft.com/office/drawing/2014/main" id="{36E24F31-66D8-4558-BB1D-FB1C4002D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111</xdr:row>
      <xdr:rowOff>9525</xdr:rowOff>
    </xdr:from>
    <xdr:ext cx="47625" cy="47625"/>
    <xdr:pic>
      <xdr:nvPicPr>
        <xdr:cNvPr id="336" name="BExVTO5Q8G2M7BPL4B2584LQS0R0" descr="OB6Q8NA4LZFE4GM9Y3V56BPMQ" hidden="1">
          <a:extLst>
            <a:ext uri="{FF2B5EF4-FFF2-40B4-BE49-F238E27FC236}">
              <a16:creationId xmlns:a16="http://schemas.microsoft.com/office/drawing/2014/main" id="{0587AAFD-C0B4-4EB0-B0FA-2DE2145F8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111</xdr:row>
      <xdr:rowOff>85725</xdr:rowOff>
    </xdr:from>
    <xdr:ext cx="47625" cy="47625"/>
    <xdr:pic>
      <xdr:nvPicPr>
        <xdr:cNvPr id="337" name="BExIFSCLN1G86X78PFLTSMRP0US5" descr="9JK4SPV4DG7VTCZIILWHXQU5J" hidden="1">
          <a:extLst>
            <a:ext uri="{FF2B5EF4-FFF2-40B4-BE49-F238E27FC236}">
              <a16:creationId xmlns:a16="http://schemas.microsoft.com/office/drawing/2014/main" id="{72C1F8F7-D347-4C60-AAE4-8CA53D5BC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111</xdr:row>
      <xdr:rowOff>9525</xdr:rowOff>
    </xdr:from>
    <xdr:ext cx="47625" cy="47625"/>
    <xdr:pic>
      <xdr:nvPicPr>
        <xdr:cNvPr id="338" name="BEx1I152WN2D3A85O2XN0DGXCWHN" descr="KHBZFMANRA4UMJR1AB4M5NJNT" hidden="1">
          <a:extLst>
            <a:ext uri="{FF2B5EF4-FFF2-40B4-BE49-F238E27FC236}">
              <a16:creationId xmlns:a16="http://schemas.microsoft.com/office/drawing/2014/main" id="{3F2D9784-2619-4DB5-8A00-31FEB06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111</xdr:row>
      <xdr:rowOff>85725</xdr:rowOff>
    </xdr:from>
    <xdr:ext cx="47625" cy="47625"/>
    <xdr:pic>
      <xdr:nvPicPr>
        <xdr:cNvPr id="339" name="BExW9676P0SKCVKK25QCGHPA3PAD" descr="9A4PWZ20RMSRF0PNECCDM75CA" hidden="1">
          <a:extLst>
            <a:ext uri="{FF2B5EF4-FFF2-40B4-BE49-F238E27FC236}">
              <a16:creationId xmlns:a16="http://schemas.microsoft.com/office/drawing/2014/main" id="{87496012-56D5-4833-AD20-77EFB6BD9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113</xdr:row>
      <xdr:rowOff>0</xdr:rowOff>
    </xdr:from>
    <xdr:ext cx="123825" cy="123825"/>
    <xdr:pic>
      <xdr:nvPicPr>
        <xdr:cNvPr id="340" name="BExW253QPOZK9KW8BJC3LBXGCG2N" descr="Y5HX37BEUWSN1NEFJKZJXI3SX" hidden="1">
          <a:extLst>
            <a:ext uri="{FF2B5EF4-FFF2-40B4-BE49-F238E27FC236}">
              <a16:creationId xmlns:a16="http://schemas.microsoft.com/office/drawing/2014/main" id="{F42FA0E6-2A03-481A-BC32-AF05D5879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2152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111</xdr:row>
      <xdr:rowOff>9525</xdr:rowOff>
    </xdr:from>
    <xdr:ext cx="47625" cy="47625"/>
    <xdr:pic>
      <xdr:nvPicPr>
        <xdr:cNvPr id="341" name="BExS5CPQ8P8JOQPK7ANNKHLSGOKU" hidden="1">
          <a:extLst>
            <a:ext uri="{FF2B5EF4-FFF2-40B4-BE49-F238E27FC236}">
              <a16:creationId xmlns:a16="http://schemas.microsoft.com/office/drawing/2014/main" id="{08B1308E-1C97-4B3C-AD5A-C2389DE2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111</xdr:row>
      <xdr:rowOff>85725</xdr:rowOff>
    </xdr:from>
    <xdr:ext cx="47625" cy="47625"/>
    <xdr:pic>
      <xdr:nvPicPr>
        <xdr:cNvPr id="342" name="BExMM0AVUAIRNJLXB1FW8R0YB4ZZ" hidden="1">
          <a:extLst>
            <a:ext uri="{FF2B5EF4-FFF2-40B4-BE49-F238E27FC236}">
              <a16:creationId xmlns:a16="http://schemas.microsoft.com/office/drawing/2014/main" id="{E82983E9-5247-4D17-A746-53F36466A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111</xdr:row>
      <xdr:rowOff>9525</xdr:rowOff>
    </xdr:from>
    <xdr:ext cx="47625" cy="47625"/>
    <xdr:pic>
      <xdr:nvPicPr>
        <xdr:cNvPr id="343" name="BExXZ7Y09CBS0XA7IPB3IRJ8RJM4" hidden="1">
          <a:extLst>
            <a:ext uri="{FF2B5EF4-FFF2-40B4-BE49-F238E27FC236}">
              <a16:creationId xmlns:a16="http://schemas.microsoft.com/office/drawing/2014/main" id="{C50FD36C-05C7-4806-8CB9-3918E2EF9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111</xdr:row>
      <xdr:rowOff>85725</xdr:rowOff>
    </xdr:from>
    <xdr:ext cx="47625" cy="47625"/>
    <xdr:pic>
      <xdr:nvPicPr>
        <xdr:cNvPr id="344" name="BExQ7SXS9VUG7P6CACU2J7R2SGIZ" hidden="1">
          <a:extLst>
            <a:ext uri="{FF2B5EF4-FFF2-40B4-BE49-F238E27FC236}">
              <a16:creationId xmlns:a16="http://schemas.microsoft.com/office/drawing/2014/main" id="{DFEC3EA7-E07C-40DB-89BD-1BEBF7165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111</xdr:row>
      <xdr:rowOff>9525</xdr:rowOff>
    </xdr:from>
    <xdr:ext cx="47625" cy="47625"/>
    <xdr:pic>
      <xdr:nvPicPr>
        <xdr:cNvPr id="345" name="BEx5AQZ4ETQ9LMY5EBWVH20Z7VXQ" hidden="1">
          <a:extLst>
            <a:ext uri="{FF2B5EF4-FFF2-40B4-BE49-F238E27FC236}">
              <a16:creationId xmlns:a16="http://schemas.microsoft.com/office/drawing/2014/main" id="{A477F40E-6EF2-44AD-A872-F628CBE59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111</xdr:row>
      <xdr:rowOff>85725</xdr:rowOff>
    </xdr:from>
    <xdr:ext cx="47625" cy="47625"/>
    <xdr:pic>
      <xdr:nvPicPr>
        <xdr:cNvPr id="346" name="BExUBK0YZ5VYFY8TTITJGJU9S06A" hidden="1">
          <a:extLst>
            <a:ext uri="{FF2B5EF4-FFF2-40B4-BE49-F238E27FC236}">
              <a16:creationId xmlns:a16="http://schemas.microsoft.com/office/drawing/2014/main" id="{464FED9B-FC8D-446E-B1B7-EC3FEA22A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111</xdr:row>
      <xdr:rowOff>9525</xdr:rowOff>
    </xdr:from>
    <xdr:ext cx="47625" cy="47625"/>
    <xdr:pic>
      <xdr:nvPicPr>
        <xdr:cNvPr id="347" name="BExUEZCSSJ7RN4J18I2NUIQR2FZS" hidden="1">
          <a:extLst>
            <a:ext uri="{FF2B5EF4-FFF2-40B4-BE49-F238E27FC236}">
              <a16:creationId xmlns:a16="http://schemas.microsoft.com/office/drawing/2014/main" id="{DC150D2F-19DD-4D68-A6EF-579A901E4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111</xdr:row>
      <xdr:rowOff>85725</xdr:rowOff>
    </xdr:from>
    <xdr:ext cx="47625" cy="47625"/>
    <xdr:pic>
      <xdr:nvPicPr>
        <xdr:cNvPr id="348" name="BExS3JDQWF7U3F5JTEVOE16ASIYK" hidden="1">
          <a:extLst>
            <a:ext uri="{FF2B5EF4-FFF2-40B4-BE49-F238E27FC236}">
              <a16:creationId xmlns:a16="http://schemas.microsoft.com/office/drawing/2014/main" id="{758F60A7-E0AC-4A06-8FDD-7F5EA0AC1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114</xdr:row>
      <xdr:rowOff>0</xdr:rowOff>
    </xdr:from>
    <xdr:ext cx="123825" cy="123825"/>
    <xdr:pic>
      <xdr:nvPicPr>
        <xdr:cNvPr id="349" name="BEx973S463FCQVJ7QDFBUIU0WJ3F" descr="ZQTVYL8DCSADVT0QMRXFLU0TR" hidden="1">
          <a:extLst>
            <a:ext uri="{FF2B5EF4-FFF2-40B4-BE49-F238E27FC236}">
              <a16:creationId xmlns:a16="http://schemas.microsoft.com/office/drawing/2014/main" id="{3E6FA26C-FF1B-4616-AD10-912656A6B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21717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113</xdr:row>
      <xdr:rowOff>0</xdr:rowOff>
    </xdr:from>
    <xdr:ext cx="123825" cy="123825"/>
    <xdr:pic>
      <xdr:nvPicPr>
        <xdr:cNvPr id="350" name="BEx5FXJGJOT93D0J2IRJ3985IUMI" hidden="1">
          <a:extLst>
            <a:ext uri="{FF2B5EF4-FFF2-40B4-BE49-F238E27FC236}">
              <a16:creationId xmlns:a16="http://schemas.microsoft.com/office/drawing/2014/main" id="{43186F14-B548-4793-AB26-90DEE3798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152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112</xdr:row>
      <xdr:rowOff>0</xdr:rowOff>
    </xdr:from>
    <xdr:ext cx="123825" cy="123825"/>
    <xdr:pic>
      <xdr:nvPicPr>
        <xdr:cNvPr id="351" name="BEx3RTMHAR35NUAAK49TV6NU7EPA" descr="QFXLG4ZCXTRQSJYFCKJ58G9N8" hidden="1">
          <a:extLst>
            <a:ext uri="{FF2B5EF4-FFF2-40B4-BE49-F238E27FC236}">
              <a16:creationId xmlns:a16="http://schemas.microsoft.com/office/drawing/2014/main" id="{748F2C28-801B-4B5F-BCEB-4DCCAE21B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21336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115</xdr:row>
      <xdr:rowOff>0</xdr:rowOff>
    </xdr:from>
    <xdr:ext cx="123825" cy="123825"/>
    <xdr:pic>
      <xdr:nvPicPr>
        <xdr:cNvPr id="352" name="BExS8T38WLC2R738ZC7BDJQAKJAJ" descr="MRI962L5PB0E0YWXCIBN82VJH" hidden="1">
          <a:extLst>
            <a:ext uri="{FF2B5EF4-FFF2-40B4-BE49-F238E27FC236}">
              <a16:creationId xmlns:a16="http://schemas.microsoft.com/office/drawing/2014/main" id="{D31D3859-DEB2-4D28-85A7-41AE6F337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21907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113</xdr:row>
      <xdr:rowOff>0</xdr:rowOff>
    </xdr:from>
    <xdr:ext cx="123825" cy="123825"/>
    <xdr:pic>
      <xdr:nvPicPr>
        <xdr:cNvPr id="353" name="BEx5F64BJ6DCM4EJH81D5ZFNPZ0V" descr="7DJ9FILZD2YPS6X1JBP9E76TU" hidden="1">
          <a:extLst>
            <a:ext uri="{FF2B5EF4-FFF2-40B4-BE49-F238E27FC236}">
              <a16:creationId xmlns:a16="http://schemas.microsoft.com/office/drawing/2014/main" id="{8FD4F300-E234-4BED-8517-F0ADCC84A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152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113</xdr:row>
      <xdr:rowOff>0</xdr:rowOff>
    </xdr:from>
    <xdr:ext cx="123825" cy="123825"/>
    <xdr:pic>
      <xdr:nvPicPr>
        <xdr:cNvPr id="354" name="BExQEXXHA3EEXR44LT6RKCDWM6ZT" hidden="1">
          <a:extLst>
            <a:ext uri="{FF2B5EF4-FFF2-40B4-BE49-F238E27FC236}">
              <a16:creationId xmlns:a16="http://schemas.microsoft.com/office/drawing/2014/main" id="{6283D851-04C8-4E4E-9EE3-0150159DE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152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117</xdr:row>
      <xdr:rowOff>0</xdr:rowOff>
    </xdr:from>
    <xdr:ext cx="123825" cy="123825"/>
    <xdr:pic>
      <xdr:nvPicPr>
        <xdr:cNvPr id="355" name="BEx1X6AMHV6ZK3UJB2BXIJTJHYJU" descr="OALR4L95ELQLZ1Y1LETHM1CS9" hidden="1">
          <a:extLst>
            <a:ext uri="{FF2B5EF4-FFF2-40B4-BE49-F238E27FC236}">
              <a16:creationId xmlns:a16="http://schemas.microsoft.com/office/drawing/2014/main" id="{81BFCD30-3A1A-4C3D-9655-02B5E62A2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22288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112</xdr:row>
      <xdr:rowOff>0</xdr:rowOff>
    </xdr:from>
    <xdr:ext cx="123825" cy="123825"/>
    <xdr:pic>
      <xdr:nvPicPr>
        <xdr:cNvPr id="356" name="BExSDIVCE09QKG3CT52PHCS6ZJ09" descr="9F076L7EQCF2COMMGCQG6BQGU" hidden="1">
          <a:extLst>
            <a:ext uri="{FF2B5EF4-FFF2-40B4-BE49-F238E27FC236}">
              <a16:creationId xmlns:a16="http://schemas.microsoft.com/office/drawing/2014/main" id="{5D3A7711-9710-46A8-B658-0B5E0C9F3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21336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120</xdr:row>
      <xdr:rowOff>0</xdr:rowOff>
    </xdr:from>
    <xdr:ext cx="123825" cy="123825"/>
    <xdr:pic>
      <xdr:nvPicPr>
        <xdr:cNvPr id="357" name="BExS343F8GCKP6HTF9Y97L133DX8" descr="ZRF0KB1IYQSNV63CTXT25G67G" hidden="1">
          <a:extLst>
            <a:ext uri="{FF2B5EF4-FFF2-40B4-BE49-F238E27FC236}">
              <a16:creationId xmlns:a16="http://schemas.microsoft.com/office/drawing/2014/main" id="{936759E6-C692-46A9-8219-D10D32929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2860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119</xdr:row>
      <xdr:rowOff>0</xdr:rowOff>
    </xdr:from>
    <xdr:ext cx="123825" cy="123825"/>
    <xdr:pic>
      <xdr:nvPicPr>
        <xdr:cNvPr id="358" name="BExZMRC09W87CY4B73NPZMNH21AH" descr="78CUMI0OVLYJRSDRQ3V2YX812" hidden="1">
          <a:extLst>
            <a:ext uri="{FF2B5EF4-FFF2-40B4-BE49-F238E27FC236}">
              <a16:creationId xmlns:a16="http://schemas.microsoft.com/office/drawing/2014/main" id="{47B881FD-CC27-48C3-9C2E-78B989BF0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2669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118</xdr:row>
      <xdr:rowOff>9525</xdr:rowOff>
    </xdr:from>
    <xdr:ext cx="123825" cy="123825"/>
    <xdr:pic>
      <xdr:nvPicPr>
        <xdr:cNvPr id="359" name="BExZXVFJ4DY4I24AARDT4AMP6EN1" descr="TXSMH2MTH86CYKA26740RQPUC" hidden="1">
          <a:extLst>
            <a:ext uri="{FF2B5EF4-FFF2-40B4-BE49-F238E27FC236}">
              <a16:creationId xmlns:a16="http://schemas.microsoft.com/office/drawing/2014/main" id="{D37A167B-2DAF-467F-A173-F1652675B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2488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117</xdr:row>
      <xdr:rowOff>0</xdr:rowOff>
    </xdr:from>
    <xdr:ext cx="123825" cy="123825"/>
    <xdr:pic>
      <xdr:nvPicPr>
        <xdr:cNvPr id="360" name="BExOCUIOFQWUGTBU5ESTW3EYEP5C" descr="9BNF49V0R6VVYPHEVMJ3ABDQZ" hidden="1">
          <a:extLst>
            <a:ext uri="{FF2B5EF4-FFF2-40B4-BE49-F238E27FC236}">
              <a16:creationId xmlns:a16="http://schemas.microsoft.com/office/drawing/2014/main" id="{348D5916-E81B-40A9-8A05-79DD5EEED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2288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116</xdr:row>
      <xdr:rowOff>0</xdr:rowOff>
    </xdr:from>
    <xdr:ext cx="123825" cy="123825"/>
    <xdr:pic>
      <xdr:nvPicPr>
        <xdr:cNvPr id="361" name="BExU65O9OE4B4MQ2A3OYH13M8BZJ" descr="3INNIMMPDBB0JF37L81M6ID21" hidden="1">
          <a:extLst>
            <a:ext uri="{FF2B5EF4-FFF2-40B4-BE49-F238E27FC236}">
              <a16:creationId xmlns:a16="http://schemas.microsoft.com/office/drawing/2014/main" id="{53192F9E-D0FA-4E96-A845-246306D13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2098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115</xdr:row>
      <xdr:rowOff>0</xdr:rowOff>
    </xdr:from>
    <xdr:ext cx="123825" cy="123825"/>
    <xdr:pic>
      <xdr:nvPicPr>
        <xdr:cNvPr id="362" name="BExOPRCR0UW7TKXSV5WDTL348FGL" descr="S9JM17GP1802LHN4GT14BJYIC" hidden="1">
          <a:extLst>
            <a:ext uri="{FF2B5EF4-FFF2-40B4-BE49-F238E27FC236}">
              <a16:creationId xmlns:a16="http://schemas.microsoft.com/office/drawing/2014/main" id="{2B7A8C00-BF07-415F-BDA9-1323D3432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1907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114</xdr:row>
      <xdr:rowOff>0</xdr:rowOff>
    </xdr:from>
    <xdr:ext cx="123825" cy="123825"/>
    <xdr:pic>
      <xdr:nvPicPr>
        <xdr:cNvPr id="363" name="BEx5OESAY2W8SEGI3TSB65EHJ04B" descr="9CN2Y88X8WYV1HWZG1QILY9BK" hidden="1">
          <a:extLst>
            <a:ext uri="{FF2B5EF4-FFF2-40B4-BE49-F238E27FC236}">
              <a16:creationId xmlns:a16="http://schemas.microsoft.com/office/drawing/2014/main" id="{FE7DCAC0-B46D-40C4-82BC-D2979A04C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1717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113</xdr:row>
      <xdr:rowOff>0</xdr:rowOff>
    </xdr:from>
    <xdr:ext cx="123825" cy="123825"/>
    <xdr:pic>
      <xdr:nvPicPr>
        <xdr:cNvPr id="364" name="BExGMWEQ2BYRY9BAO5T1X850MJN1" descr="AZ9ST0XDIOP50HSUFO5V31BR0" hidden="1">
          <a:extLst>
            <a:ext uri="{FF2B5EF4-FFF2-40B4-BE49-F238E27FC236}">
              <a16:creationId xmlns:a16="http://schemas.microsoft.com/office/drawing/2014/main" id="{ACFE6335-F8FC-40C9-B7BD-BAA41691B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152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122</xdr:row>
      <xdr:rowOff>9525</xdr:rowOff>
    </xdr:from>
    <xdr:ext cx="47625" cy="47625"/>
    <xdr:pic>
      <xdr:nvPicPr>
        <xdr:cNvPr id="365" name="BExMO7VFCN4EL59982UR4AJ25JNJ" descr="XX6TINEJADZGKR0CTM7ZRT0RA" hidden="1">
          <a:extLst>
            <a:ext uri="{FF2B5EF4-FFF2-40B4-BE49-F238E27FC236}">
              <a16:creationId xmlns:a16="http://schemas.microsoft.com/office/drawing/2014/main" id="{4AD1E885-979A-43D6-836A-5CA526282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3250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122</xdr:row>
      <xdr:rowOff>85725</xdr:rowOff>
    </xdr:from>
    <xdr:ext cx="47625" cy="47625"/>
    <xdr:pic>
      <xdr:nvPicPr>
        <xdr:cNvPr id="366" name="BExU3EX5JJCXCII4YKUJBFBGIJR2" descr="OF5ZI9PI5WH36VPANJ2DYLNMI" hidden="1">
          <a:extLst>
            <a:ext uri="{FF2B5EF4-FFF2-40B4-BE49-F238E27FC236}">
              <a16:creationId xmlns:a16="http://schemas.microsoft.com/office/drawing/2014/main" id="{2E0424A2-95AC-4180-820A-45B40F611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3326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122</xdr:row>
      <xdr:rowOff>9525</xdr:rowOff>
    </xdr:from>
    <xdr:ext cx="47625" cy="47625"/>
    <xdr:pic>
      <xdr:nvPicPr>
        <xdr:cNvPr id="367" name="BEx1KD7H6UB1VYCJ7O61P562EIUY" descr="IQGV9140X0K0UPBL8OGU3I44J" hidden="1">
          <a:extLst>
            <a:ext uri="{FF2B5EF4-FFF2-40B4-BE49-F238E27FC236}">
              <a16:creationId xmlns:a16="http://schemas.microsoft.com/office/drawing/2014/main" id="{708C2EC7-0E33-4766-A8FB-7F7F81647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23250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122</xdr:row>
      <xdr:rowOff>85725</xdr:rowOff>
    </xdr:from>
    <xdr:ext cx="47625" cy="47625"/>
    <xdr:pic>
      <xdr:nvPicPr>
        <xdr:cNvPr id="368" name="BEx5BJQWS6YWHH4ZMSUAMD641V6Y" descr="ZTMFMXCIQSECDX38ALEFHUB00" hidden="1">
          <a:extLst>
            <a:ext uri="{FF2B5EF4-FFF2-40B4-BE49-F238E27FC236}">
              <a16:creationId xmlns:a16="http://schemas.microsoft.com/office/drawing/2014/main" id="{EB62C561-6024-49DF-8E99-B0CB68070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23326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122</xdr:row>
      <xdr:rowOff>9525</xdr:rowOff>
    </xdr:from>
    <xdr:ext cx="47625" cy="47625"/>
    <xdr:pic>
      <xdr:nvPicPr>
        <xdr:cNvPr id="369" name="BExVTO5Q8G2M7BPL4B2584LQS0R0" descr="OB6Q8NA4LZFE4GM9Y3V56BPMQ" hidden="1">
          <a:extLst>
            <a:ext uri="{FF2B5EF4-FFF2-40B4-BE49-F238E27FC236}">
              <a16:creationId xmlns:a16="http://schemas.microsoft.com/office/drawing/2014/main" id="{D914D6AC-4EC4-4F87-894F-1BBA1136D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23250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122</xdr:row>
      <xdr:rowOff>85725</xdr:rowOff>
    </xdr:from>
    <xdr:ext cx="47625" cy="47625"/>
    <xdr:pic>
      <xdr:nvPicPr>
        <xdr:cNvPr id="370" name="BExIFSCLN1G86X78PFLTSMRP0US5" descr="9JK4SPV4DG7VTCZIILWHXQU5J" hidden="1">
          <a:extLst>
            <a:ext uri="{FF2B5EF4-FFF2-40B4-BE49-F238E27FC236}">
              <a16:creationId xmlns:a16="http://schemas.microsoft.com/office/drawing/2014/main" id="{13C72B29-0F45-4779-8D4B-1CAB8D69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23326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122</xdr:row>
      <xdr:rowOff>9525</xdr:rowOff>
    </xdr:from>
    <xdr:ext cx="47625" cy="47625"/>
    <xdr:pic>
      <xdr:nvPicPr>
        <xdr:cNvPr id="371" name="BEx1I152WN2D3A85O2XN0DGXCWHN" descr="KHBZFMANRA4UMJR1AB4M5NJNT" hidden="1">
          <a:extLst>
            <a:ext uri="{FF2B5EF4-FFF2-40B4-BE49-F238E27FC236}">
              <a16:creationId xmlns:a16="http://schemas.microsoft.com/office/drawing/2014/main" id="{358630D6-DA08-43BA-B286-8E82A7085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3250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122</xdr:row>
      <xdr:rowOff>85725</xdr:rowOff>
    </xdr:from>
    <xdr:ext cx="47625" cy="47625"/>
    <xdr:pic>
      <xdr:nvPicPr>
        <xdr:cNvPr id="372" name="BExW9676P0SKCVKK25QCGHPA3PAD" descr="9A4PWZ20RMSRF0PNECCDM75CA" hidden="1">
          <a:extLst>
            <a:ext uri="{FF2B5EF4-FFF2-40B4-BE49-F238E27FC236}">
              <a16:creationId xmlns:a16="http://schemas.microsoft.com/office/drawing/2014/main" id="{2F98A466-421B-4905-9C22-5AC4AC3C5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3326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124</xdr:row>
      <xdr:rowOff>0</xdr:rowOff>
    </xdr:from>
    <xdr:ext cx="123825" cy="123825"/>
    <xdr:pic>
      <xdr:nvPicPr>
        <xdr:cNvPr id="373" name="BExW253QPOZK9KW8BJC3LBXGCG2N" descr="Y5HX37BEUWSN1NEFJKZJXI3SX" hidden="1">
          <a:extLst>
            <a:ext uri="{FF2B5EF4-FFF2-40B4-BE49-F238E27FC236}">
              <a16:creationId xmlns:a16="http://schemas.microsoft.com/office/drawing/2014/main" id="{B6C0AFF0-0EC7-4BB8-87A5-FC619F5CE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2362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122</xdr:row>
      <xdr:rowOff>9525</xdr:rowOff>
    </xdr:from>
    <xdr:ext cx="47625" cy="47625"/>
    <xdr:pic>
      <xdr:nvPicPr>
        <xdr:cNvPr id="374" name="BExS5CPQ8P8JOQPK7ANNKHLSGOKU" hidden="1">
          <a:extLst>
            <a:ext uri="{FF2B5EF4-FFF2-40B4-BE49-F238E27FC236}">
              <a16:creationId xmlns:a16="http://schemas.microsoft.com/office/drawing/2014/main" id="{038476C0-988F-4467-A8DA-6EC6CD87D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3250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122</xdr:row>
      <xdr:rowOff>85725</xdr:rowOff>
    </xdr:from>
    <xdr:ext cx="47625" cy="47625"/>
    <xdr:pic>
      <xdr:nvPicPr>
        <xdr:cNvPr id="375" name="BExMM0AVUAIRNJLXB1FW8R0YB4ZZ" hidden="1">
          <a:extLst>
            <a:ext uri="{FF2B5EF4-FFF2-40B4-BE49-F238E27FC236}">
              <a16:creationId xmlns:a16="http://schemas.microsoft.com/office/drawing/2014/main" id="{8232186D-D34C-47E4-896F-844B40CEE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3326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122</xdr:row>
      <xdr:rowOff>9525</xdr:rowOff>
    </xdr:from>
    <xdr:ext cx="47625" cy="47625"/>
    <xdr:pic>
      <xdr:nvPicPr>
        <xdr:cNvPr id="376" name="BExXZ7Y09CBS0XA7IPB3IRJ8RJM4" hidden="1">
          <a:extLst>
            <a:ext uri="{FF2B5EF4-FFF2-40B4-BE49-F238E27FC236}">
              <a16:creationId xmlns:a16="http://schemas.microsoft.com/office/drawing/2014/main" id="{B393DA7C-44C2-4517-8D43-2F0DE3167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3250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122</xdr:row>
      <xdr:rowOff>85725</xdr:rowOff>
    </xdr:from>
    <xdr:ext cx="47625" cy="47625"/>
    <xdr:pic>
      <xdr:nvPicPr>
        <xdr:cNvPr id="377" name="BExQ7SXS9VUG7P6CACU2J7R2SGIZ" hidden="1">
          <a:extLst>
            <a:ext uri="{FF2B5EF4-FFF2-40B4-BE49-F238E27FC236}">
              <a16:creationId xmlns:a16="http://schemas.microsoft.com/office/drawing/2014/main" id="{8BF13A02-3026-49FD-ACA4-CC2DB3F39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3326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122</xdr:row>
      <xdr:rowOff>9525</xdr:rowOff>
    </xdr:from>
    <xdr:ext cx="47625" cy="47625"/>
    <xdr:pic>
      <xdr:nvPicPr>
        <xdr:cNvPr id="378" name="BEx5AQZ4ETQ9LMY5EBWVH20Z7VXQ" hidden="1">
          <a:extLst>
            <a:ext uri="{FF2B5EF4-FFF2-40B4-BE49-F238E27FC236}">
              <a16:creationId xmlns:a16="http://schemas.microsoft.com/office/drawing/2014/main" id="{2A0D3368-D9EA-48FF-891F-3E7252FB0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23250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122</xdr:row>
      <xdr:rowOff>85725</xdr:rowOff>
    </xdr:from>
    <xdr:ext cx="47625" cy="47625"/>
    <xdr:pic>
      <xdr:nvPicPr>
        <xdr:cNvPr id="379" name="BExUBK0YZ5VYFY8TTITJGJU9S06A" hidden="1">
          <a:extLst>
            <a:ext uri="{FF2B5EF4-FFF2-40B4-BE49-F238E27FC236}">
              <a16:creationId xmlns:a16="http://schemas.microsoft.com/office/drawing/2014/main" id="{539CAB54-43DA-4423-88CE-1A532FB79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23326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122</xdr:row>
      <xdr:rowOff>9525</xdr:rowOff>
    </xdr:from>
    <xdr:ext cx="47625" cy="47625"/>
    <xdr:pic>
      <xdr:nvPicPr>
        <xdr:cNvPr id="380" name="BExUEZCSSJ7RN4J18I2NUIQR2FZS" hidden="1">
          <a:extLst>
            <a:ext uri="{FF2B5EF4-FFF2-40B4-BE49-F238E27FC236}">
              <a16:creationId xmlns:a16="http://schemas.microsoft.com/office/drawing/2014/main" id="{A05302FA-5BEE-4459-AD2F-FEC9E770B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23250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122</xdr:row>
      <xdr:rowOff>85725</xdr:rowOff>
    </xdr:from>
    <xdr:ext cx="47625" cy="47625"/>
    <xdr:pic>
      <xdr:nvPicPr>
        <xdr:cNvPr id="381" name="BExS3JDQWF7U3F5JTEVOE16ASIYK" hidden="1">
          <a:extLst>
            <a:ext uri="{FF2B5EF4-FFF2-40B4-BE49-F238E27FC236}">
              <a16:creationId xmlns:a16="http://schemas.microsoft.com/office/drawing/2014/main" id="{04855947-2045-4F08-96C3-2332B214B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23326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125</xdr:row>
      <xdr:rowOff>0</xdr:rowOff>
    </xdr:from>
    <xdr:ext cx="123825" cy="123825"/>
    <xdr:pic>
      <xdr:nvPicPr>
        <xdr:cNvPr id="382" name="BEx973S463FCQVJ7QDFBUIU0WJ3F" descr="ZQTVYL8DCSADVT0QMRXFLU0TR" hidden="1">
          <a:extLst>
            <a:ext uri="{FF2B5EF4-FFF2-40B4-BE49-F238E27FC236}">
              <a16:creationId xmlns:a16="http://schemas.microsoft.com/office/drawing/2014/main" id="{13D17636-4891-4100-93FB-5BD3DB6C4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2381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124</xdr:row>
      <xdr:rowOff>0</xdr:rowOff>
    </xdr:from>
    <xdr:ext cx="123825" cy="123825"/>
    <xdr:pic>
      <xdr:nvPicPr>
        <xdr:cNvPr id="383" name="BEx5FXJGJOT93D0J2IRJ3985IUMI" hidden="1">
          <a:extLst>
            <a:ext uri="{FF2B5EF4-FFF2-40B4-BE49-F238E27FC236}">
              <a16:creationId xmlns:a16="http://schemas.microsoft.com/office/drawing/2014/main" id="{AADC9203-367F-47AA-9FB5-834CA1E90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362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123</xdr:row>
      <xdr:rowOff>0</xdr:rowOff>
    </xdr:from>
    <xdr:ext cx="123825" cy="123825"/>
    <xdr:pic>
      <xdr:nvPicPr>
        <xdr:cNvPr id="384" name="BEx3RTMHAR35NUAAK49TV6NU7EPA" descr="QFXLG4ZCXTRQSJYFCKJ58G9N8" hidden="1">
          <a:extLst>
            <a:ext uri="{FF2B5EF4-FFF2-40B4-BE49-F238E27FC236}">
              <a16:creationId xmlns:a16="http://schemas.microsoft.com/office/drawing/2014/main" id="{C7CC58C9-247F-4B6B-A3DD-071E9E085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2343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126</xdr:row>
      <xdr:rowOff>0</xdr:rowOff>
    </xdr:from>
    <xdr:ext cx="123825" cy="123825"/>
    <xdr:pic>
      <xdr:nvPicPr>
        <xdr:cNvPr id="385" name="BExS8T38WLC2R738ZC7BDJQAKJAJ" descr="MRI962L5PB0E0YWXCIBN82VJH" hidden="1">
          <a:extLst>
            <a:ext uri="{FF2B5EF4-FFF2-40B4-BE49-F238E27FC236}">
              <a16:creationId xmlns:a16="http://schemas.microsoft.com/office/drawing/2014/main" id="{8206424F-A07A-48F2-8057-0B597190C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2400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124</xdr:row>
      <xdr:rowOff>0</xdr:rowOff>
    </xdr:from>
    <xdr:ext cx="123825" cy="123825"/>
    <xdr:pic>
      <xdr:nvPicPr>
        <xdr:cNvPr id="386" name="BEx5F64BJ6DCM4EJH81D5ZFNPZ0V" descr="7DJ9FILZD2YPS6X1JBP9E76TU" hidden="1">
          <a:extLst>
            <a:ext uri="{FF2B5EF4-FFF2-40B4-BE49-F238E27FC236}">
              <a16:creationId xmlns:a16="http://schemas.microsoft.com/office/drawing/2014/main" id="{33235BF5-3345-4F66-9469-E30F668B7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362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124</xdr:row>
      <xdr:rowOff>0</xdr:rowOff>
    </xdr:from>
    <xdr:ext cx="123825" cy="123825"/>
    <xdr:pic>
      <xdr:nvPicPr>
        <xdr:cNvPr id="387" name="BExQEXXHA3EEXR44LT6RKCDWM6ZT" hidden="1">
          <a:extLst>
            <a:ext uri="{FF2B5EF4-FFF2-40B4-BE49-F238E27FC236}">
              <a16:creationId xmlns:a16="http://schemas.microsoft.com/office/drawing/2014/main" id="{738DEDF8-173A-4323-A14D-4FEDBB57B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362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128</xdr:row>
      <xdr:rowOff>0</xdr:rowOff>
    </xdr:from>
    <xdr:ext cx="123825" cy="123825"/>
    <xdr:pic>
      <xdr:nvPicPr>
        <xdr:cNvPr id="388" name="BEx1X6AMHV6ZK3UJB2BXIJTJHYJU" descr="OALR4L95ELQLZ1Y1LETHM1CS9" hidden="1">
          <a:extLst>
            <a:ext uri="{FF2B5EF4-FFF2-40B4-BE49-F238E27FC236}">
              <a16:creationId xmlns:a16="http://schemas.microsoft.com/office/drawing/2014/main" id="{73FC9F37-591B-47A8-973E-D6804D44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24384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123</xdr:row>
      <xdr:rowOff>0</xdr:rowOff>
    </xdr:from>
    <xdr:ext cx="123825" cy="123825"/>
    <xdr:pic>
      <xdr:nvPicPr>
        <xdr:cNvPr id="389" name="BExSDIVCE09QKG3CT52PHCS6ZJ09" descr="9F076L7EQCF2COMMGCQG6BQGU" hidden="1">
          <a:extLst>
            <a:ext uri="{FF2B5EF4-FFF2-40B4-BE49-F238E27FC236}">
              <a16:creationId xmlns:a16="http://schemas.microsoft.com/office/drawing/2014/main" id="{4BEA09CD-E477-4D12-AEC3-7BB16F5A5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2343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131</xdr:row>
      <xdr:rowOff>0</xdr:rowOff>
    </xdr:from>
    <xdr:ext cx="123825" cy="123825"/>
    <xdr:pic>
      <xdr:nvPicPr>
        <xdr:cNvPr id="390" name="BExS343F8GCKP6HTF9Y97L133DX8" descr="ZRF0KB1IYQSNV63CTXT25G67G" hidden="1">
          <a:extLst>
            <a:ext uri="{FF2B5EF4-FFF2-40B4-BE49-F238E27FC236}">
              <a16:creationId xmlns:a16="http://schemas.microsoft.com/office/drawing/2014/main" id="{2EC1FE3B-C2B8-4971-8578-5E4386D2B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495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130</xdr:row>
      <xdr:rowOff>0</xdr:rowOff>
    </xdr:from>
    <xdr:ext cx="123825" cy="123825"/>
    <xdr:pic>
      <xdr:nvPicPr>
        <xdr:cNvPr id="391" name="BExZMRC09W87CY4B73NPZMNH21AH" descr="78CUMI0OVLYJRSDRQ3V2YX812" hidden="1">
          <a:extLst>
            <a:ext uri="{FF2B5EF4-FFF2-40B4-BE49-F238E27FC236}">
              <a16:creationId xmlns:a16="http://schemas.microsoft.com/office/drawing/2014/main" id="{2CE2C3DF-A330-4445-ACD5-E0CC0204E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4765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129</xdr:row>
      <xdr:rowOff>9525</xdr:rowOff>
    </xdr:from>
    <xdr:ext cx="123825" cy="123825"/>
    <xdr:pic>
      <xdr:nvPicPr>
        <xdr:cNvPr id="392" name="BExZXVFJ4DY4I24AARDT4AMP6EN1" descr="TXSMH2MTH86CYKA26740RQPUC" hidden="1">
          <a:extLst>
            <a:ext uri="{FF2B5EF4-FFF2-40B4-BE49-F238E27FC236}">
              <a16:creationId xmlns:a16="http://schemas.microsoft.com/office/drawing/2014/main" id="{EBF1608C-F7F0-4EEE-BA75-C3C3E5333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4584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128</xdr:row>
      <xdr:rowOff>0</xdr:rowOff>
    </xdr:from>
    <xdr:ext cx="123825" cy="123825"/>
    <xdr:pic>
      <xdr:nvPicPr>
        <xdr:cNvPr id="393" name="BExOCUIOFQWUGTBU5ESTW3EYEP5C" descr="9BNF49V0R6VVYPHEVMJ3ABDQZ" hidden="1">
          <a:extLst>
            <a:ext uri="{FF2B5EF4-FFF2-40B4-BE49-F238E27FC236}">
              <a16:creationId xmlns:a16="http://schemas.microsoft.com/office/drawing/2014/main" id="{ECBA1042-D57C-4B98-9DA4-D86F3C3BC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4384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127</xdr:row>
      <xdr:rowOff>0</xdr:rowOff>
    </xdr:from>
    <xdr:ext cx="123825" cy="123825"/>
    <xdr:pic>
      <xdr:nvPicPr>
        <xdr:cNvPr id="394" name="BExU65O9OE4B4MQ2A3OYH13M8BZJ" descr="3INNIMMPDBB0JF37L81M6ID21" hidden="1">
          <a:extLst>
            <a:ext uri="{FF2B5EF4-FFF2-40B4-BE49-F238E27FC236}">
              <a16:creationId xmlns:a16="http://schemas.microsoft.com/office/drawing/2014/main" id="{14D70997-7A44-4A6E-BE8C-03797A680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419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126</xdr:row>
      <xdr:rowOff>0</xdr:rowOff>
    </xdr:from>
    <xdr:ext cx="123825" cy="123825"/>
    <xdr:pic>
      <xdr:nvPicPr>
        <xdr:cNvPr id="395" name="BExOPRCR0UW7TKXSV5WDTL348FGL" descr="S9JM17GP1802LHN4GT14BJYIC" hidden="1">
          <a:extLst>
            <a:ext uri="{FF2B5EF4-FFF2-40B4-BE49-F238E27FC236}">
              <a16:creationId xmlns:a16="http://schemas.microsoft.com/office/drawing/2014/main" id="{EA1CBC50-0278-40EC-AEDA-E87C6AC6E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400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125</xdr:row>
      <xdr:rowOff>0</xdr:rowOff>
    </xdr:from>
    <xdr:ext cx="123825" cy="123825"/>
    <xdr:pic>
      <xdr:nvPicPr>
        <xdr:cNvPr id="396" name="BEx5OESAY2W8SEGI3TSB65EHJ04B" descr="9CN2Y88X8WYV1HWZG1QILY9BK" hidden="1">
          <a:extLst>
            <a:ext uri="{FF2B5EF4-FFF2-40B4-BE49-F238E27FC236}">
              <a16:creationId xmlns:a16="http://schemas.microsoft.com/office/drawing/2014/main" id="{F07C7FCE-C5F3-451B-AD83-B65FA354C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381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124</xdr:row>
      <xdr:rowOff>0</xdr:rowOff>
    </xdr:from>
    <xdr:ext cx="123825" cy="123825"/>
    <xdr:pic>
      <xdr:nvPicPr>
        <xdr:cNvPr id="397" name="BExGMWEQ2BYRY9BAO5T1X850MJN1" descr="AZ9ST0XDIOP50HSUFO5V31BR0" hidden="1">
          <a:extLst>
            <a:ext uri="{FF2B5EF4-FFF2-40B4-BE49-F238E27FC236}">
              <a16:creationId xmlns:a16="http://schemas.microsoft.com/office/drawing/2014/main" id="{6CACCDCF-3389-4104-BE71-BB5242911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362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1</xdr:row>
      <xdr:rowOff>9525</xdr:rowOff>
    </xdr:from>
    <xdr:ext cx="47625" cy="47625"/>
    <xdr:pic>
      <xdr:nvPicPr>
        <xdr:cNvPr id="2" name="BExMO7VFCN4EL59982UR4AJ25JNJ" descr="XX6TINEJADZGKR0CTM7ZRT0RA" hidden="1">
          <a:extLst>
            <a:ext uri="{FF2B5EF4-FFF2-40B4-BE49-F238E27FC236}">
              <a16:creationId xmlns:a16="http://schemas.microsoft.com/office/drawing/2014/main" id="{E38A95C1-6945-436F-8738-FF11F178C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</xdr:row>
      <xdr:rowOff>85725</xdr:rowOff>
    </xdr:from>
    <xdr:ext cx="47625" cy="47625"/>
    <xdr:pic>
      <xdr:nvPicPr>
        <xdr:cNvPr id="3" name="BExU3EX5JJCXCII4YKUJBFBGIJR2" descr="OF5ZI9PI5WH36VPANJ2DYLNMI" hidden="1">
          <a:extLst>
            <a:ext uri="{FF2B5EF4-FFF2-40B4-BE49-F238E27FC236}">
              <a16:creationId xmlns:a16="http://schemas.microsoft.com/office/drawing/2014/main" id="{9C2E9C23-9C46-4F79-B15D-28EC98A52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</xdr:row>
      <xdr:rowOff>9525</xdr:rowOff>
    </xdr:from>
    <xdr:ext cx="47625" cy="47625"/>
    <xdr:pic>
      <xdr:nvPicPr>
        <xdr:cNvPr id="4" name="BEx1KD7H6UB1VYCJ7O61P562EIUY" descr="IQGV9140X0K0UPBL8OGU3I44J" hidden="1">
          <a:extLst>
            <a:ext uri="{FF2B5EF4-FFF2-40B4-BE49-F238E27FC236}">
              <a16:creationId xmlns:a16="http://schemas.microsoft.com/office/drawing/2014/main" id="{A0EEEDBD-3A58-459E-AD6A-59D23F066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</xdr:row>
      <xdr:rowOff>85725</xdr:rowOff>
    </xdr:from>
    <xdr:ext cx="47625" cy="47625"/>
    <xdr:pic>
      <xdr:nvPicPr>
        <xdr:cNvPr id="5" name="BEx5BJQWS6YWHH4ZMSUAMD641V6Y" descr="ZTMFMXCIQSECDX38ALEFHUB00" hidden="1">
          <a:extLst>
            <a:ext uri="{FF2B5EF4-FFF2-40B4-BE49-F238E27FC236}">
              <a16:creationId xmlns:a16="http://schemas.microsoft.com/office/drawing/2014/main" id="{B453C219-DF37-4107-8864-30CD783A5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1</xdr:row>
      <xdr:rowOff>9525</xdr:rowOff>
    </xdr:from>
    <xdr:ext cx="47625" cy="47625"/>
    <xdr:pic>
      <xdr:nvPicPr>
        <xdr:cNvPr id="6" name="BExVTO5Q8G2M7BPL4B2584LQS0R0" descr="OB6Q8NA4LZFE4GM9Y3V56BPMQ" hidden="1">
          <a:extLst>
            <a:ext uri="{FF2B5EF4-FFF2-40B4-BE49-F238E27FC236}">
              <a16:creationId xmlns:a16="http://schemas.microsoft.com/office/drawing/2014/main" id="{EE3C769D-A6EF-4976-9599-E210054F8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1</xdr:row>
      <xdr:rowOff>85725</xdr:rowOff>
    </xdr:from>
    <xdr:ext cx="47625" cy="47625"/>
    <xdr:pic>
      <xdr:nvPicPr>
        <xdr:cNvPr id="7" name="BExIFSCLN1G86X78PFLTSMRP0US5" descr="9JK4SPV4DG7VTCZIILWHXQU5J" hidden="1">
          <a:extLst>
            <a:ext uri="{FF2B5EF4-FFF2-40B4-BE49-F238E27FC236}">
              <a16:creationId xmlns:a16="http://schemas.microsoft.com/office/drawing/2014/main" id="{8315FE2A-327F-4E8D-A00D-6AF4EFBD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</xdr:row>
      <xdr:rowOff>9525</xdr:rowOff>
    </xdr:from>
    <xdr:ext cx="47625" cy="47625"/>
    <xdr:pic>
      <xdr:nvPicPr>
        <xdr:cNvPr id="8" name="BEx1I152WN2D3A85O2XN0DGXCWHN" descr="KHBZFMANRA4UMJR1AB4M5NJNT" hidden="1">
          <a:extLst>
            <a:ext uri="{FF2B5EF4-FFF2-40B4-BE49-F238E27FC236}">
              <a16:creationId xmlns:a16="http://schemas.microsoft.com/office/drawing/2014/main" id="{3305F930-D3B7-44E9-AE9B-83192CAB9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</xdr:row>
      <xdr:rowOff>85725</xdr:rowOff>
    </xdr:from>
    <xdr:ext cx="47625" cy="47625"/>
    <xdr:pic>
      <xdr:nvPicPr>
        <xdr:cNvPr id="9" name="BExW9676P0SKCVKK25QCGHPA3PAD" descr="9A4PWZ20RMSRF0PNECCDM75CA" hidden="1">
          <a:extLst>
            <a:ext uri="{FF2B5EF4-FFF2-40B4-BE49-F238E27FC236}">
              <a16:creationId xmlns:a16="http://schemas.microsoft.com/office/drawing/2014/main" id="{CA745825-DD78-4949-8BC6-8B96C823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3</xdr:row>
      <xdr:rowOff>0</xdr:rowOff>
    </xdr:from>
    <xdr:ext cx="123825" cy="123825"/>
    <xdr:pic>
      <xdr:nvPicPr>
        <xdr:cNvPr id="10" name="BExW253QPOZK9KW8BJC3LBXGCG2N" descr="Y5HX37BEUWSN1NEFJKZJXI3SX" hidden="1">
          <a:extLst>
            <a:ext uri="{FF2B5EF4-FFF2-40B4-BE49-F238E27FC236}">
              <a16:creationId xmlns:a16="http://schemas.microsoft.com/office/drawing/2014/main" id="{FECF0DF1-B955-4FD6-A4F1-BF3B03E4F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57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</xdr:row>
      <xdr:rowOff>9525</xdr:rowOff>
    </xdr:from>
    <xdr:ext cx="47625" cy="47625"/>
    <xdr:pic>
      <xdr:nvPicPr>
        <xdr:cNvPr id="11" name="BExS5CPQ8P8JOQPK7ANNKHLSGOKU" hidden="1">
          <a:extLst>
            <a:ext uri="{FF2B5EF4-FFF2-40B4-BE49-F238E27FC236}">
              <a16:creationId xmlns:a16="http://schemas.microsoft.com/office/drawing/2014/main" id="{1D17B126-FE64-429E-B3BB-71497B259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</xdr:row>
      <xdr:rowOff>85725</xdr:rowOff>
    </xdr:from>
    <xdr:ext cx="47625" cy="47625"/>
    <xdr:pic>
      <xdr:nvPicPr>
        <xdr:cNvPr id="12" name="BExMM0AVUAIRNJLXB1FW8R0YB4ZZ" hidden="1">
          <a:extLst>
            <a:ext uri="{FF2B5EF4-FFF2-40B4-BE49-F238E27FC236}">
              <a16:creationId xmlns:a16="http://schemas.microsoft.com/office/drawing/2014/main" id="{70B14C53-0C74-40CF-92F8-CA8C45E31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</xdr:row>
      <xdr:rowOff>9525</xdr:rowOff>
    </xdr:from>
    <xdr:ext cx="47625" cy="47625"/>
    <xdr:pic>
      <xdr:nvPicPr>
        <xdr:cNvPr id="13" name="BExXZ7Y09CBS0XA7IPB3IRJ8RJM4" hidden="1">
          <a:extLst>
            <a:ext uri="{FF2B5EF4-FFF2-40B4-BE49-F238E27FC236}">
              <a16:creationId xmlns:a16="http://schemas.microsoft.com/office/drawing/2014/main" id="{8929B634-7A8C-4E85-931E-73FB17BC8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</xdr:row>
      <xdr:rowOff>85725</xdr:rowOff>
    </xdr:from>
    <xdr:ext cx="47625" cy="47625"/>
    <xdr:pic>
      <xdr:nvPicPr>
        <xdr:cNvPr id="14" name="BExQ7SXS9VUG7P6CACU2J7R2SGIZ" hidden="1">
          <a:extLst>
            <a:ext uri="{FF2B5EF4-FFF2-40B4-BE49-F238E27FC236}">
              <a16:creationId xmlns:a16="http://schemas.microsoft.com/office/drawing/2014/main" id="{F2546AEB-130D-48C1-A4B4-56F10F5DF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</xdr:row>
      <xdr:rowOff>9525</xdr:rowOff>
    </xdr:from>
    <xdr:ext cx="47625" cy="47625"/>
    <xdr:pic>
      <xdr:nvPicPr>
        <xdr:cNvPr id="15" name="BEx5AQZ4ETQ9LMY5EBWVH20Z7VXQ" hidden="1">
          <a:extLst>
            <a:ext uri="{FF2B5EF4-FFF2-40B4-BE49-F238E27FC236}">
              <a16:creationId xmlns:a16="http://schemas.microsoft.com/office/drawing/2014/main" id="{D30D58C5-E2F6-43D5-942B-36E520D3D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</xdr:row>
      <xdr:rowOff>85725</xdr:rowOff>
    </xdr:from>
    <xdr:ext cx="47625" cy="47625"/>
    <xdr:pic>
      <xdr:nvPicPr>
        <xdr:cNvPr id="16" name="BExUBK0YZ5VYFY8TTITJGJU9S06A" hidden="1">
          <a:extLst>
            <a:ext uri="{FF2B5EF4-FFF2-40B4-BE49-F238E27FC236}">
              <a16:creationId xmlns:a16="http://schemas.microsoft.com/office/drawing/2014/main" id="{C29C5D86-2124-4765-A0D7-2D42B3C30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</xdr:row>
      <xdr:rowOff>9525</xdr:rowOff>
    </xdr:from>
    <xdr:ext cx="47625" cy="47625"/>
    <xdr:pic>
      <xdr:nvPicPr>
        <xdr:cNvPr id="17" name="BExUEZCSSJ7RN4J18I2NUIQR2FZS" hidden="1">
          <a:extLst>
            <a:ext uri="{FF2B5EF4-FFF2-40B4-BE49-F238E27FC236}">
              <a16:creationId xmlns:a16="http://schemas.microsoft.com/office/drawing/2014/main" id="{CDB70A75-1855-469D-99A9-5BA253451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200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</xdr:row>
      <xdr:rowOff>85725</xdr:rowOff>
    </xdr:from>
    <xdr:ext cx="47625" cy="47625"/>
    <xdr:pic>
      <xdr:nvPicPr>
        <xdr:cNvPr id="18" name="BExS3JDQWF7U3F5JTEVOE16ASIYK" hidden="1">
          <a:extLst>
            <a:ext uri="{FF2B5EF4-FFF2-40B4-BE49-F238E27FC236}">
              <a16:creationId xmlns:a16="http://schemas.microsoft.com/office/drawing/2014/main" id="{0D088242-C3BB-4D27-B587-42B7B540A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276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4</xdr:row>
      <xdr:rowOff>0</xdr:rowOff>
    </xdr:from>
    <xdr:ext cx="123825" cy="123825"/>
    <xdr:pic>
      <xdr:nvPicPr>
        <xdr:cNvPr id="19" name="BEx973S463FCQVJ7QDFBUIU0WJ3F" descr="ZQTVYL8DCSADVT0QMRXFLU0TR" hidden="1">
          <a:extLst>
            <a:ext uri="{FF2B5EF4-FFF2-40B4-BE49-F238E27FC236}">
              <a16:creationId xmlns:a16="http://schemas.microsoft.com/office/drawing/2014/main" id="{D3D5A9BD-2E9C-49BE-A916-9E590FD4B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76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</xdr:row>
      <xdr:rowOff>0</xdr:rowOff>
    </xdr:from>
    <xdr:ext cx="123825" cy="123825"/>
    <xdr:pic>
      <xdr:nvPicPr>
        <xdr:cNvPr id="20" name="BEx5FXJGJOT93D0J2IRJ3985IUMI" hidden="1">
          <a:extLst>
            <a:ext uri="{FF2B5EF4-FFF2-40B4-BE49-F238E27FC236}">
              <a16:creationId xmlns:a16="http://schemas.microsoft.com/office/drawing/2014/main" id="{4209088C-12F9-44E6-BC34-49606278F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57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2</xdr:row>
      <xdr:rowOff>0</xdr:rowOff>
    </xdr:from>
    <xdr:ext cx="123825" cy="123825"/>
    <xdr:pic>
      <xdr:nvPicPr>
        <xdr:cNvPr id="21" name="BEx3RTMHAR35NUAAK49TV6NU7EPA" descr="QFXLG4ZCXTRQSJYFCKJ58G9N8" hidden="1">
          <a:extLst>
            <a:ext uri="{FF2B5EF4-FFF2-40B4-BE49-F238E27FC236}">
              <a16:creationId xmlns:a16="http://schemas.microsoft.com/office/drawing/2014/main" id="{86DA96BD-28FD-4230-ABA6-75CB02A17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38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5</xdr:row>
      <xdr:rowOff>0</xdr:rowOff>
    </xdr:from>
    <xdr:ext cx="123825" cy="123825"/>
    <xdr:pic>
      <xdr:nvPicPr>
        <xdr:cNvPr id="22" name="BExS8T38WLC2R738ZC7BDJQAKJAJ" descr="MRI962L5PB0E0YWXCIBN82VJH" hidden="1">
          <a:extLst>
            <a:ext uri="{FF2B5EF4-FFF2-40B4-BE49-F238E27FC236}">
              <a16:creationId xmlns:a16="http://schemas.microsoft.com/office/drawing/2014/main" id="{B4952919-5590-4EDE-8599-EB3F12150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95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</xdr:row>
      <xdr:rowOff>0</xdr:rowOff>
    </xdr:from>
    <xdr:ext cx="123825" cy="123825"/>
    <xdr:pic>
      <xdr:nvPicPr>
        <xdr:cNvPr id="23" name="BEx5F64BJ6DCM4EJH81D5ZFNPZ0V" descr="7DJ9FILZD2YPS6X1JBP9E76TU" hidden="1">
          <a:extLst>
            <a:ext uri="{FF2B5EF4-FFF2-40B4-BE49-F238E27FC236}">
              <a16:creationId xmlns:a16="http://schemas.microsoft.com/office/drawing/2014/main" id="{2E6F163E-B2B6-491A-B854-17C897D06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57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</xdr:row>
      <xdr:rowOff>0</xdr:rowOff>
    </xdr:from>
    <xdr:ext cx="123825" cy="123825"/>
    <xdr:pic>
      <xdr:nvPicPr>
        <xdr:cNvPr id="24" name="BExQEXXHA3EEXR44LT6RKCDWM6ZT" hidden="1">
          <a:extLst>
            <a:ext uri="{FF2B5EF4-FFF2-40B4-BE49-F238E27FC236}">
              <a16:creationId xmlns:a16="http://schemas.microsoft.com/office/drawing/2014/main" id="{75CEB859-E293-4002-9D67-12376FEF4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57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7</xdr:row>
      <xdr:rowOff>0</xdr:rowOff>
    </xdr:from>
    <xdr:ext cx="123825" cy="123825"/>
    <xdr:pic>
      <xdr:nvPicPr>
        <xdr:cNvPr id="25" name="BEx1X6AMHV6ZK3UJB2BXIJTJHYJU" descr="OALR4L95ELQLZ1Y1LETHM1CS9" hidden="1">
          <a:extLst>
            <a:ext uri="{FF2B5EF4-FFF2-40B4-BE49-F238E27FC236}">
              <a16:creationId xmlns:a16="http://schemas.microsoft.com/office/drawing/2014/main" id="{102F7C14-9C53-4578-A418-E78C8FDED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133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2</xdr:row>
      <xdr:rowOff>0</xdr:rowOff>
    </xdr:from>
    <xdr:ext cx="123825" cy="123825"/>
    <xdr:pic>
      <xdr:nvPicPr>
        <xdr:cNvPr id="26" name="BExSDIVCE09QKG3CT52PHCS6ZJ09" descr="9F076L7EQCF2COMMGCQG6BQGU" hidden="1">
          <a:extLst>
            <a:ext uri="{FF2B5EF4-FFF2-40B4-BE49-F238E27FC236}">
              <a16:creationId xmlns:a16="http://schemas.microsoft.com/office/drawing/2014/main" id="{4462D37F-2E9B-4402-8B13-91E860181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38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</xdr:row>
      <xdr:rowOff>0</xdr:rowOff>
    </xdr:from>
    <xdr:ext cx="123825" cy="123825"/>
    <xdr:pic>
      <xdr:nvPicPr>
        <xdr:cNvPr id="27" name="BExS343F8GCKP6HTF9Y97L133DX8" descr="ZRF0KB1IYQSNV63CTXT25G67G" hidden="1">
          <a:extLst>
            <a:ext uri="{FF2B5EF4-FFF2-40B4-BE49-F238E27FC236}">
              <a16:creationId xmlns:a16="http://schemas.microsoft.com/office/drawing/2014/main" id="{D8557C0C-E79B-400B-9018-CE73A239C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905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</xdr:row>
      <xdr:rowOff>0</xdr:rowOff>
    </xdr:from>
    <xdr:ext cx="123825" cy="123825"/>
    <xdr:pic>
      <xdr:nvPicPr>
        <xdr:cNvPr id="28" name="BExZMRC09W87CY4B73NPZMNH21AH" descr="78CUMI0OVLYJRSDRQ3V2YX812" hidden="1">
          <a:extLst>
            <a:ext uri="{FF2B5EF4-FFF2-40B4-BE49-F238E27FC236}">
              <a16:creationId xmlns:a16="http://schemas.microsoft.com/office/drawing/2014/main" id="{D71DD992-19B2-41AE-80F3-A0F7E3B29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71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</xdr:row>
      <xdr:rowOff>9525</xdr:rowOff>
    </xdr:from>
    <xdr:ext cx="123825" cy="123825"/>
    <xdr:pic>
      <xdr:nvPicPr>
        <xdr:cNvPr id="29" name="BExZXVFJ4DY4I24AARDT4AMP6EN1" descr="TXSMH2MTH86CYKA26740RQPUC" hidden="1">
          <a:extLst>
            <a:ext uri="{FF2B5EF4-FFF2-40B4-BE49-F238E27FC236}">
              <a16:creationId xmlns:a16="http://schemas.microsoft.com/office/drawing/2014/main" id="{0E2C7C17-ADF4-4F0A-BD2A-2F5241598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533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</xdr:row>
      <xdr:rowOff>0</xdr:rowOff>
    </xdr:from>
    <xdr:ext cx="123825" cy="123825"/>
    <xdr:pic>
      <xdr:nvPicPr>
        <xdr:cNvPr id="30" name="BExOCUIOFQWUGTBU5ESTW3EYEP5C" descr="9BNF49V0R6VVYPHEVMJ3ABDQZ" hidden="1">
          <a:extLst>
            <a:ext uri="{FF2B5EF4-FFF2-40B4-BE49-F238E27FC236}">
              <a16:creationId xmlns:a16="http://schemas.microsoft.com/office/drawing/2014/main" id="{132AA072-A3EF-4F4A-AA5B-C5018349B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33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</xdr:row>
      <xdr:rowOff>0</xdr:rowOff>
    </xdr:from>
    <xdr:ext cx="123825" cy="123825"/>
    <xdr:pic>
      <xdr:nvPicPr>
        <xdr:cNvPr id="31" name="BExU65O9OE4B4MQ2A3OYH13M8BZJ" descr="3INNIMMPDBB0JF37L81M6ID21" hidden="1">
          <a:extLst>
            <a:ext uri="{FF2B5EF4-FFF2-40B4-BE49-F238E27FC236}">
              <a16:creationId xmlns:a16="http://schemas.microsoft.com/office/drawing/2014/main" id="{8DFA8939-918A-4D85-BF29-2ACBDAD7A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4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</xdr:row>
      <xdr:rowOff>0</xdr:rowOff>
    </xdr:from>
    <xdr:ext cx="123825" cy="123825"/>
    <xdr:pic>
      <xdr:nvPicPr>
        <xdr:cNvPr id="32" name="BExOPRCR0UW7TKXSV5WDTL348FGL" descr="S9JM17GP1802LHN4GT14BJYIC" hidden="1">
          <a:extLst>
            <a:ext uri="{FF2B5EF4-FFF2-40B4-BE49-F238E27FC236}">
              <a16:creationId xmlns:a16="http://schemas.microsoft.com/office/drawing/2014/main" id="{31CA5D88-DDDB-42AF-9D2E-A76291893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95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</xdr:row>
      <xdr:rowOff>0</xdr:rowOff>
    </xdr:from>
    <xdr:ext cx="123825" cy="123825"/>
    <xdr:pic>
      <xdr:nvPicPr>
        <xdr:cNvPr id="33" name="BEx5OESAY2W8SEGI3TSB65EHJ04B" descr="9CN2Y88X8WYV1HWZG1QILY9BK" hidden="1">
          <a:extLst>
            <a:ext uri="{FF2B5EF4-FFF2-40B4-BE49-F238E27FC236}">
              <a16:creationId xmlns:a16="http://schemas.microsoft.com/office/drawing/2014/main" id="{855AED0A-9F5E-4C78-9369-F8DBB248C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76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</xdr:row>
      <xdr:rowOff>0</xdr:rowOff>
    </xdr:from>
    <xdr:ext cx="123825" cy="123825"/>
    <xdr:pic>
      <xdr:nvPicPr>
        <xdr:cNvPr id="34" name="BExGMWEQ2BYRY9BAO5T1X850MJN1" descr="AZ9ST0XDIOP50HSUFO5V31BR0" hidden="1">
          <a:extLst>
            <a:ext uri="{FF2B5EF4-FFF2-40B4-BE49-F238E27FC236}">
              <a16:creationId xmlns:a16="http://schemas.microsoft.com/office/drawing/2014/main" id="{9114299F-2AD8-4D75-96C9-31E49B48D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57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12</xdr:row>
      <xdr:rowOff>9525</xdr:rowOff>
    </xdr:from>
    <xdr:ext cx="47625" cy="47625"/>
    <xdr:pic>
      <xdr:nvPicPr>
        <xdr:cNvPr id="35" name="BExMO7VFCN4EL59982UR4AJ25JNJ" descr="XX6TINEJADZGKR0CTM7ZRT0RA" hidden="1">
          <a:extLst>
            <a:ext uri="{FF2B5EF4-FFF2-40B4-BE49-F238E27FC236}">
              <a16:creationId xmlns:a16="http://schemas.microsoft.com/office/drawing/2014/main" id="{F626B21D-E59B-4F52-85DC-346429F9E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295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</xdr:row>
      <xdr:rowOff>85725</xdr:rowOff>
    </xdr:from>
    <xdr:ext cx="47625" cy="47625"/>
    <xdr:pic>
      <xdr:nvPicPr>
        <xdr:cNvPr id="36" name="BExU3EX5JJCXCII4YKUJBFBGIJR2" descr="OF5ZI9PI5WH36VPANJ2DYLNMI" hidden="1">
          <a:extLst>
            <a:ext uri="{FF2B5EF4-FFF2-40B4-BE49-F238E27FC236}">
              <a16:creationId xmlns:a16="http://schemas.microsoft.com/office/drawing/2014/main" id="{45393184-A8D7-482F-824D-F8EBBA9C3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371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12</xdr:row>
      <xdr:rowOff>9525</xdr:rowOff>
    </xdr:from>
    <xdr:ext cx="47625" cy="47625"/>
    <xdr:pic>
      <xdr:nvPicPr>
        <xdr:cNvPr id="37" name="BEx1KD7H6UB1VYCJ7O61P562EIUY" descr="IQGV9140X0K0UPBL8OGU3I44J" hidden="1">
          <a:extLst>
            <a:ext uri="{FF2B5EF4-FFF2-40B4-BE49-F238E27FC236}">
              <a16:creationId xmlns:a16="http://schemas.microsoft.com/office/drawing/2014/main" id="{6DAD3323-AB63-4D9A-8A4A-507008E2C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2295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12</xdr:row>
      <xdr:rowOff>85725</xdr:rowOff>
    </xdr:from>
    <xdr:ext cx="47625" cy="47625"/>
    <xdr:pic>
      <xdr:nvPicPr>
        <xdr:cNvPr id="38" name="BEx5BJQWS6YWHH4ZMSUAMD641V6Y" descr="ZTMFMXCIQSECDX38ALEFHUB00" hidden="1">
          <a:extLst>
            <a:ext uri="{FF2B5EF4-FFF2-40B4-BE49-F238E27FC236}">
              <a16:creationId xmlns:a16="http://schemas.microsoft.com/office/drawing/2014/main" id="{16476098-F9B6-4F0D-920C-713B7EA98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2371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12</xdr:row>
      <xdr:rowOff>9525</xdr:rowOff>
    </xdr:from>
    <xdr:ext cx="47625" cy="47625"/>
    <xdr:pic>
      <xdr:nvPicPr>
        <xdr:cNvPr id="39" name="BExVTO5Q8G2M7BPL4B2584LQS0R0" descr="OB6Q8NA4LZFE4GM9Y3V56BPMQ" hidden="1">
          <a:extLst>
            <a:ext uri="{FF2B5EF4-FFF2-40B4-BE49-F238E27FC236}">
              <a16:creationId xmlns:a16="http://schemas.microsoft.com/office/drawing/2014/main" id="{364F518C-860D-4343-83F5-85E56DCCE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2295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12</xdr:row>
      <xdr:rowOff>85725</xdr:rowOff>
    </xdr:from>
    <xdr:ext cx="47625" cy="47625"/>
    <xdr:pic>
      <xdr:nvPicPr>
        <xdr:cNvPr id="40" name="BExIFSCLN1G86X78PFLTSMRP0US5" descr="9JK4SPV4DG7VTCZIILWHXQU5J" hidden="1">
          <a:extLst>
            <a:ext uri="{FF2B5EF4-FFF2-40B4-BE49-F238E27FC236}">
              <a16:creationId xmlns:a16="http://schemas.microsoft.com/office/drawing/2014/main" id="{9F17BA8C-039C-4C07-B54E-965587A52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2371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</xdr:row>
      <xdr:rowOff>9525</xdr:rowOff>
    </xdr:from>
    <xdr:ext cx="47625" cy="47625"/>
    <xdr:pic>
      <xdr:nvPicPr>
        <xdr:cNvPr id="41" name="BEx1I152WN2D3A85O2XN0DGXCWHN" descr="KHBZFMANRA4UMJR1AB4M5NJNT" hidden="1">
          <a:extLst>
            <a:ext uri="{FF2B5EF4-FFF2-40B4-BE49-F238E27FC236}">
              <a16:creationId xmlns:a16="http://schemas.microsoft.com/office/drawing/2014/main" id="{705D2245-788E-4607-8DF6-C56068A43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295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</xdr:row>
      <xdr:rowOff>85725</xdr:rowOff>
    </xdr:from>
    <xdr:ext cx="47625" cy="47625"/>
    <xdr:pic>
      <xdr:nvPicPr>
        <xdr:cNvPr id="42" name="BExW9676P0SKCVKK25QCGHPA3PAD" descr="9A4PWZ20RMSRF0PNECCDM75CA" hidden="1">
          <a:extLst>
            <a:ext uri="{FF2B5EF4-FFF2-40B4-BE49-F238E27FC236}">
              <a16:creationId xmlns:a16="http://schemas.microsoft.com/office/drawing/2014/main" id="{B5D49AF7-7D3F-4088-9D62-510349760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371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14</xdr:row>
      <xdr:rowOff>0</xdr:rowOff>
    </xdr:from>
    <xdr:ext cx="123825" cy="123825"/>
    <xdr:pic>
      <xdr:nvPicPr>
        <xdr:cNvPr id="43" name="BExW253QPOZK9KW8BJC3LBXGCG2N" descr="Y5HX37BEUWSN1NEFJKZJXI3SX" hidden="1">
          <a:extLst>
            <a:ext uri="{FF2B5EF4-FFF2-40B4-BE49-F238E27FC236}">
              <a16:creationId xmlns:a16="http://schemas.microsoft.com/office/drawing/2014/main" id="{254F1B00-F983-4D9A-98ED-5C9A5357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2667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12</xdr:row>
      <xdr:rowOff>9525</xdr:rowOff>
    </xdr:from>
    <xdr:ext cx="47625" cy="47625"/>
    <xdr:pic>
      <xdr:nvPicPr>
        <xdr:cNvPr id="44" name="BExS5CPQ8P8JOQPK7ANNKHLSGOKU" hidden="1">
          <a:extLst>
            <a:ext uri="{FF2B5EF4-FFF2-40B4-BE49-F238E27FC236}">
              <a16:creationId xmlns:a16="http://schemas.microsoft.com/office/drawing/2014/main" id="{A1136DFE-1DF6-4AE4-8041-4ED6FD6C9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295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</xdr:row>
      <xdr:rowOff>85725</xdr:rowOff>
    </xdr:from>
    <xdr:ext cx="47625" cy="47625"/>
    <xdr:pic>
      <xdr:nvPicPr>
        <xdr:cNvPr id="45" name="BExMM0AVUAIRNJLXB1FW8R0YB4ZZ" hidden="1">
          <a:extLst>
            <a:ext uri="{FF2B5EF4-FFF2-40B4-BE49-F238E27FC236}">
              <a16:creationId xmlns:a16="http://schemas.microsoft.com/office/drawing/2014/main" id="{D056C915-8B4C-4267-9C8F-22F70B231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371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12</xdr:row>
      <xdr:rowOff>9525</xdr:rowOff>
    </xdr:from>
    <xdr:ext cx="47625" cy="47625"/>
    <xdr:pic>
      <xdr:nvPicPr>
        <xdr:cNvPr id="46" name="BExXZ7Y09CBS0XA7IPB3IRJ8RJM4" hidden="1">
          <a:extLst>
            <a:ext uri="{FF2B5EF4-FFF2-40B4-BE49-F238E27FC236}">
              <a16:creationId xmlns:a16="http://schemas.microsoft.com/office/drawing/2014/main" id="{8608FBFC-63A4-41EF-A870-5AFE795E1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295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</xdr:row>
      <xdr:rowOff>85725</xdr:rowOff>
    </xdr:from>
    <xdr:ext cx="47625" cy="47625"/>
    <xdr:pic>
      <xdr:nvPicPr>
        <xdr:cNvPr id="47" name="BExQ7SXS9VUG7P6CACU2J7R2SGIZ" hidden="1">
          <a:extLst>
            <a:ext uri="{FF2B5EF4-FFF2-40B4-BE49-F238E27FC236}">
              <a16:creationId xmlns:a16="http://schemas.microsoft.com/office/drawing/2014/main" id="{BCEE8028-3985-4996-BC8A-46A5231D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371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12</xdr:row>
      <xdr:rowOff>9525</xdr:rowOff>
    </xdr:from>
    <xdr:ext cx="47625" cy="47625"/>
    <xdr:pic>
      <xdr:nvPicPr>
        <xdr:cNvPr id="48" name="BEx5AQZ4ETQ9LMY5EBWVH20Z7VXQ" hidden="1">
          <a:extLst>
            <a:ext uri="{FF2B5EF4-FFF2-40B4-BE49-F238E27FC236}">
              <a16:creationId xmlns:a16="http://schemas.microsoft.com/office/drawing/2014/main" id="{8376AC5B-8DDA-4D85-94D9-A80E37C77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2295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12</xdr:row>
      <xdr:rowOff>85725</xdr:rowOff>
    </xdr:from>
    <xdr:ext cx="47625" cy="47625"/>
    <xdr:pic>
      <xdr:nvPicPr>
        <xdr:cNvPr id="49" name="BExUBK0YZ5VYFY8TTITJGJU9S06A" hidden="1">
          <a:extLst>
            <a:ext uri="{FF2B5EF4-FFF2-40B4-BE49-F238E27FC236}">
              <a16:creationId xmlns:a16="http://schemas.microsoft.com/office/drawing/2014/main" id="{FD8306A9-9436-44FA-984E-F623390A7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2371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12</xdr:row>
      <xdr:rowOff>9525</xdr:rowOff>
    </xdr:from>
    <xdr:ext cx="47625" cy="47625"/>
    <xdr:pic>
      <xdr:nvPicPr>
        <xdr:cNvPr id="50" name="BExUEZCSSJ7RN4J18I2NUIQR2FZS" hidden="1">
          <a:extLst>
            <a:ext uri="{FF2B5EF4-FFF2-40B4-BE49-F238E27FC236}">
              <a16:creationId xmlns:a16="http://schemas.microsoft.com/office/drawing/2014/main" id="{8C2D06E8-47E8-478A-86B2-240E789D5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2295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12</xdr:row>
      <xdr:rowOff>85725</xdr:rowOff>
    </xdr:from>
    <xdr:ext cx="47625" cy="47625"/>
    <xdr:pic>
      <xdr:nvPicPr>
        <xdr:cNvPr id="51" name="BExS3JDQWF7U3F5JTEVOE16ASIYK" hidden="1">
          <a:extLst>
            <a:ext uri="{FF2B5EF4-FFF2-40B4-BE49-F238E27FC236}">
              <a16:creationId xmlns:a16="http://schemas.microsoft.com/office/drawing/2014/main" id="{D7B06760-AE02-44EA-99BF-35AE16D19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2371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15</xdr:row>
      <xdr:rowOff>0</xdr:rowOff>
    </xdr:from>
    <xdr:ext cx="123825" cy="123825"/>
    <xdr:pic>
      <xdr:nvPicPr>
        <xdr:cNvPr id="52" name="BEx973S463FCQVJ7QDFBUIU0WJ3F" descr="ZQTVYL8DCSADVT0QMRXFLU0TR" hidden="1">
          <a:extLst>
            <a:ext uri="{FF2B5EF4-FFF2-40B4-BE49-F238E27FC236}">
              <a16:creationId xmlns:a16="http://schemas.microsoft.com/office/drawing/2014/main" id="{B2C6594F-E913-4094-A846-04EADA810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2857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14</xdr:row>
      <xdr:rowOff>0</xdr:rowOff>
    </xdr:from>
    <xdr:ext cx="123825" cy="123825"/>
    <xdr:pic>
      <xdr:nvPicPr>
        <xdr:cNvPr id="53" name="BEx5FXJGJOT93D0J2IRJ3985IUMI" hidden="1">
          <a:extLst>
            <a:ext uri="{FF2B5EF4-FFF2-40B4-BE49-F238E27FC236}">
              <a16:creationId xmlns:a16="http://schemas.microsoft.com/office/drawing/2014/main" id="{8C97895E-16F0-4510-9130-5149FE88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667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13</xdr:row>
      <xdr:rowOff>0</xdr:rowOff>
    </xdr:from>
    <xdr:ext cx="123825" cy="123825"/>
    <xdr:pic>
      <xdr:nvPicPr>
        <xdr:cNvPr id="54" name="BEx3RTMHAR35NUAAK49TV6NU7EPA" descr="QFXLG4ZCXTRQSJYFCKJ58G9N8" hidden="1">
          <a:extLst>
            <a:ext uri="{FF2B5EF4-FFF2-40B4-BE49-F238E27FC236}">
              <a16:creationId xmlns:a16="http://schemas.microsoft.com/office/drawing/2014/main" id="{436BA70C-2A2C-46AD-A3D0-C8202EB4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247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16</xdr:row>
      <xdr:rowOff>0</xdr:rowOff>
    </xdr:from>
    <xdr:ext cx="123825" cy="123825"/>
    <xdr:pic>
      <xdr:nvPicPr>
        <xdr:cNvPr id="55" name="BExS8T38WLC2R738ZC7BDJQAKJAJ" descr="MRI962L5PB0E0YWXCIBN82VJH" hidden="1">
          <a:extLst>
            <a:ext uri="{FF2B5EF4-FFF2-40B4-BE49-F238E27FC236}">
              <a16:creationId xmlns:a16="http://schemas.microsoft.com/office/drawing/2014/main" id="{FC7B46A7-BB5F-4F9D-9B68-3079C58C9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3048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14</xdr:row>
      <xdr:rowOff>0</xdr:rowOff>
    </xdr:from>
    <xdr:ext cx="123825" cy="123825"/>
    <xdr:pic>
      <xdr:nvPicPr>
        <xdr:cNvPr id="56" name="BEx5F64BJ6DCM4EJH81D5ZFNPZ0V" descr="7DJ9FILZD2YPS6X1JBP9E76TU" hidden="1">
          <a:extLst>
            <a:ext uri="{FF2B5EF4-FFF2-40B4-BE49-F238E27FC236}">
              <a16:creationId xmlns:a16="http://schemas.microsoft.com/office/drawing/2014/main" id="{215FB50A-4570-4052-8A1E-829B54544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667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14</xdr:row>
      <xdr:rowOff>0</xdr:rowOff>
    </xdr:from>
    <xdr:ext cx="123825" cy="123825"/>
    <xdr:pic>
      <xdr:nvPicPr>
        <xdr:cNvPr id="57" name="BExQEXXHA3EEXR44LT6RKCDWM6ZT" hidden="1">
          <a:extLst>
            <a:ext uri="{FF2B5EF4-FFF2-40B4-BE49-F238E27FC236}">
              <a16:creationId xmlns:a16="http://schemas.microsoft.com/office/drawing/2014/main" id="{BB4E8A5B-52F0-4261-9016-DAD9803D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667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18</xdr:row>
      <xdr:rowOff>0</xdr:rowOff>
    </xdr:from>
    <xdr:ext cx="123825" cy="123825"/>
    <xdr:pic>
      <xdr:nvPicPr>
        <xdr:cNvPr id="58" name="BEx1X6AMHV6ZK3UJB2BXIJTJHYJU" descr="OALR4L95ELQLZ1Y1LETHM1CS9" hidden="1">
          <a:extLst>
            <a:ext uri="{FF2B5EF4-FFF2-40B4-BE49-F238E27FC236}">
              <a16:creationId xmlns:a16="http://schemas.microsoft.com/office/drawing/2014/main" id="{478C2F46-98D4-4E12-83A9-5DDB0DD15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342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13</xdr:row>
      <xdr:rowOff>0</xdr:rowOff>
    </xdr:from>
    <xdr:ext cx="123825" cy="123825"/>
    <xdr:pic>
      <xdr:nvPicPr>
        <xdr:cNvPr id="59" name="BExSDIVCE09QKG3CT52PHCS6ZJ09" descr="9F076L7EQCF2COMMGCQG6BQGU" hidden="1">
          <a:extLst>
            <a:ext uri="{FF2B5EF4-FFF2-40B4-BE49-F238E27FC236}">
              <a16:creationId xmlns:a16="http://schemas.microsoft.com/office/drawing/2014/main" id="{93B4B5F8-4BC8-4638-926E-CA84ADBEA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247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21</xdr:row>
      <xdr:rowOff>0</xdr:rowOff>
    </xdr:from>
    <xdr:ext cx="123825" cy="123825"/>
    <xdr:pic>
      <xdr:nvPicPr>
        <xdr:cNvPr id="60" name="BExS343F8GCKP6HTF9Y97L133DX8" descr="ZRF0KB1IYQSNV63CTXT25G67G" hidden="1">
          <a:extLst>
            <a:ext uri="{FF2B5EF4-FFF2-40B4-BE49-F238E27FC236}">
              <a16:creationId xmlns:a16="http://schemas.microsoft.com/office/drawing/2014/main" id="{E5B492E1-FB0E-47F3-84EA-951DD3A6D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4000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20</xdr:row>
      <xdr:rowOff>0</xdr:rowOff>
    </xdr:from>
    <xdr:ext cx="123825" cy="123825"/>
    <xdr:pic>
      <xdr:nvPicPr>
        <xdr:cNvPr id="61" name="BExZMRC09W87CY4B73NPZMNH21AH" descr="78CUMI0OVLYJRSDRQ3V2YX812" hidden="1">
          <a:extLst>
            <a:ext uri="{FF2B5EF4-FFF2-40B4-BE49-F238E27FC236}">
              <a16:creationId xmlns:a16="http://schemas.microsoft.com/office/drawing/2014/main" id="{C4EA1773-420C-4E69-88FD-315EA122A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3810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19</xdr:row>
      <xdr:rowOff>9525</xdr:rowOff>
    </xdr:from>
    <xdr:ext cx="123825" cy="123825"/>
    <xdr:pic>
      <xdr:nvPicPr>
        <xdr:cNvPr id="62" name="BExZXVFJ4DY4I24AARDT4AMP6EN1" descr="TXSMH2MTH86CYKA26740RQPUC" hidden="1">
          <a:extLst>
            <a:ext uri="{FF2B5EF4-FFF2-40B4-BE49-F238E27FC236}">
              <a16:creationId xmlns:a16="http://schemas.microsoft.com/office/drawing/2014/main" id="{619A256D-67A9-4079-B092-ED4662667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3629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18</xdr:row>
      <xdr:rowOff>0</xdr:rowOff>
    </xdr:from>
    <xdr:ext cx="123825" cy="123825"/>
    <xdr:pic>
      <xdr:nvPicPr>
        <xdr:cNvPr id="63" name="BExOCUIOFQWUGTBU5ESTW3EYEP5C" descr="9BNF49V0R6VVYPHEVMJ3ABDQZ" hidden="1">
          <a:extLst>
            <a:ext uri="{FF2B5EF4-FFF2-40B4-BE49-F238E27FC236}">
              <a16:creationId xmlns:a16="http://schemas.microsoft.com/office/drawing/2014/main" id="{107608BF-7618-4181-9FE1-4A7800BE8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342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17</xdr:row>
      <xdr:rowOff>0</xdr:rowOff>
    </xdr:from>
    <xdr:ext cx="123825" cy="123825"/>
    <xdr:pic>
      <xdr:nvPicPr>
        <xdr:cNvPr id="64" name="BExU65O9OE4B4MQ2A3OYH13M8BZJ" descr="3INNIMMPDBB0JF37L81M6ID21" hidden="1">
          <a:extLst>
            <a:ext uri="{FF2B5EF4-FFF2-40B4-BE49-F238E27FC236}">
              <a16:creationId xmlns:a16="http://schemas.microsoft.com/office/drawing/2014/main" id="{151219E8-ACEB-4D6C-BC4F-50505EE50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3238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16</xdr:row>
      <xdr:rowOff>0</xdr:rowOff>
    </xdr:from>
    <xdr:ext cx="123825" cy="123825"/>
    <xdr:pic>
      <xdr:nvPicPr>
        <xdr:cNvPr id="65" name="BExOPRCR0UW7TKXSV5WDTL348FGL" descr="S9JM17GP1802LHN4GT14BJYIC" hidden="1">
          <a:extLst>
            <a:ext uri="{FF2B5EF4-FFF2-40B4-BE49-F238E27FC236}">
              <a16:creationId xmlns:a16="http://schemas.microsoft.com/office/drawing/2014/main" id="{778C9AA7-270D-42FF-8FC9-1984E7CD2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3048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15</xdr:row>
      <xdr:rowOff>0</xdr:rowOff>
    </xdr:from>
    <xdr:ext cx="123825" cy="123825"/>
    <xdr:pic>
      <xdr:nvPicPr>
        <xdr:cNvPr id="66" name="BEx5OESAY2W8SEGI3TSB65EHJ04B" descr="9CN2Y88X8WYV1HWZG1QILY9BK" hidden="1">
          <a:extLst>
            <a:ext uri="{FF2B5EF4-FFF2-40B4-BE49-F238E27FC236}">
              <a16:creationId xmlns:a16="http://schemas.microsoft.com/office/drawing/2014/main" id="{9CDC948A-3ED8-4814-9DDA-856D8E3F1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857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14</xdr:row>
      <xdr:rowOff>0</xdr:rowOff>
    </xdr:from>
    <xdr:ext cx="123825" cy="123825"/>
    <xdr:pic>
      <xdr:nvPicPr>
        <xdr:cNvPr id="67" name="BExGMWEQ2BYRY9BAO5T1X850MJN1" descr="AZ9ST0XDIOP50HSUFO5V31BR0" hidden="1">
          <a:extLst>
            <a:ext uri="{FF2B5EF4-FFF2-40B4-BE49-F238E27FC236}">
              <a16:creationId xmlns:a16="http://schemas.microsoft.com/office/drawing/2014/main" id="{2D9F0A56-0BC2-469C-AC74-024A633B6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667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23</xdr:row>
      <xdr:rowOff>9525</xdr:rowOff>
    </xdr:from>
    <xdr:ext cx="47625" cy="47625"/>
    <xdr:pic>
      <xdr:nvPicPr>
        <xdr:cNvPr id="68" name="BExMO7VFCN4EL59982UR4AJ25JNJ" descr="XX6TINEJADZGKR0CTM7ZRT0RA" hidden="1">
          <a:extLst>
            <a:ext uri="{FF2B5EF4-FFF2-40B4-BE49-F238E27FC236}">
              <a16:creationId xmlns:a16="http://schemas.microsoft.com/office/drawing/2014/main" id="{A7488CA9-73F5-4C9B-80F9-B220EA4CF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4391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23</xdr:row>
      <xdr:rowOff>85725</xdr:rowOff>
    </xdr:from>
    <xdr:ext cx="47625" cy="47625"/>
    <xdr:pic>
      <xdr:nvPicPr>
        <xdr:cNvPr id="69" name="BExU3EX5JJCXCII4YKUJBFBGIJR2" descr="OF5ZI9PI5WH36VPANJ2DYLNMI" hidden="1">
          <a:extLst>
            <a:ext uri="{FF2B5EF4-FFF2-40B4-BE49-F238E27FC236}">
              <a16:creationId xmlns:a16="http://schemas.microsoft.com/office/drawing/2014/main" id="{0C2799F8-D73F-42F5-B7A6-16CAD03A8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4467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23</xdr:row>
      <xdr:rowOff>9525</xdr:rowOff>
    </xdr:from>
    <xdr:ext cx="47625" cy="47625"/>
    <xdr:pic>
      <xdr:nvPicPr>
        <xdr:cNvPr id="70" name="BEx1KD7H6UB1VYCJ7O61P562EIUY" descr="IQGV9140X0K0UPBL8OGU3I44J" hidden="1">
          <a:extLst>
            <a:ext uri="{FF2B5EF4-FFF2-40B4-BE49-F238E27FC236}">
              <a16:creationId xmlns:a16="http://schemas.microsoft.com/office/drawing/2014/main" id="{31EED442-2CE2-459E-B649-677E65433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4391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23</xdr:row>
      <xdr:rowOff>85725</xdr:rowOff>
    </xdr:from>
    <xdr:ext cx="47625" cy="47625"/>
    <xdr:pic>
      <xdr:nvPicPr>
        <xdr:cNvPr id="71" name="BEx5BJQWS6YWHH4ZMSUAMD641V6Y" descr="ZTMFMXCIQSECDX38ALEFHUB00" hidden="1">
          <a:extLst>
            <a:ext uri="{FF2B5EF4-FFF2-40B4-BE49-F238E27FC236}">
              <a16:creationId xmlns:a16="http://schemas.microsoft.com/office/drawing/2014/main" id="{A2D22A8C-0991-4A43-93A7-9BACAB636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4467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23</xdr:row>
      <xdr:rowOff>9525</xdr:rowOff>
    </xdr:from>
    <xdr:ext cx="47625" cy="47625"/>
    <xdr:pic>
      <xdr:nvPicPr>
        <xdr:cNvPr id="72" name="BExVTO5Q8G2M7BPL4B2584LQS0R0" descr="OB6Q8NA4LZFE4GM9Y3V56BPMQ" hidden="1">
          <a:extLst>
            <a:ext uri="{FF2B5EF4-FFF2-40B4-BE49-F238E27FC236}">
              <a16:creationId xmlns:a16="http://schemas.microsoft.com/office/drawing/2014/main" id="{3EFE5C6D-3877-4975-A88F-21D0010A3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4391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23</xdr:row>
      <xdr:rowOff>85725</xdr:rowOff>
    </xdr:from>
    <xdr:ext cx="47625" cy="47625"/>
    <xdr:pic>
      <xdr:nvPicPr>
        <xdr:cNvPr id="73" name="BExIFSCLN1G86X78PFLTSMRP0US5" descr="9JK4SPV4DG7VTCZIILWHXQU5J" hidden="1">
          <a:extLst>
            <a:ext uri="{FF2B5EF4-FFF2-40B4-BE49-F238E27FC236}">
              <a16:creationId xmlns:a16="http://schemas.microsoft.com/office/drawing/2014/main" id="{4AFBE49F-F0C8-4743-B277-B730FE9A3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4467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23</xdr:row>
      <xdr:rowOff>9525</xdr:rowOff>
    </xdr:from>
    <xdr:ext cx="47625" cy="47625"/>
    <xdr:pic>
      <xdr:nvPicPr>
        <xdr:cNvPr id="74" name="BEx1I152WN2D3A85O2XN0DGXCWHN" descr="KHBZFMANRA4UMJR1AB4M5NJNT" hidden="1">
          <a:extLst>
            <a:ext uri="{FF2B5EF4-FFF2-40B4-BE49-F238E27FC236}">
              <a16:creationId xmlns:a16="http://schemas.microsoft.com/office/drawing/2014/main" id="{996F8F86-3113-4FA8-86DA-343BD02E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4391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23</xdr:row>
      <xdr:rowOff>85725</xdr:rowOff>
    </xdr:from>
    <xdr:ext cx="47625" cy="47625"/>
    <xdr:pic>
      <xdr:nvPicPr>
        <xdr:cNvPr id="75" name="BExW9676P0SKCVKK25QCGHPA3PAD" descr="9A4PWZ20RMSRF0PNECCDM75CA" hidden="1">
          <a:extLst>
            <a:ext uri="{FF2B5EF4-FFF2-40B4-BE49-F238E27FC236}">
              <a16:creationId xmlns:a16="http://schemas.microsoft.com/office/drawing/2014/main" id="{A1983F88-0300-47E5-A4B9-F5D5863B2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4467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25</xdr:row>
      <xdr:rowOff>0</xdr:rowOff>
    </xdr:from>
    <xdr:ext cx="123825" cy="123825"/>
    <xdr:pic>
      <xdr:nvPicPr>
        <xdr:cNvPr id="76" name="BExW253QPOZK9KW8BJC3LBXGCG2N" descr="Y5HX37BEUWSN1NEFJKZJXI3SX" hidden="1">
          <a:extLst>
            <a:ext uri="{FF2B5EF4-FFF2-40B4-BE49-F238E27FC236}">
              <a16:creationId xmlns:a16="http://schemas.microsoft.com/office/drawing/2014/main" id="{6D89A82C-9C49-4A8B-B9DD-026CD0444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476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23</xdr:row>
      <xdr:rowOff>9525</xdr:rowOff>
    </xdr:from>
    <xdr:ext cx="47625" cy="47625"/>
    <xdr:pic>
      <xdr:nvPicPr>
        <xdr:cNvPr id="77" name="BExS5CPQ8P8JOQPK7ANNKHLSGOKU" hidden="1">
          <a:extLst>
            <a:ext uri="{FF2B5EF4-FFF2-40B4-BE49-F238E27FC236}">
              <a16:creationId xmlns:a16="http://schemas.microsoft.com/office/drawing/2014/main" id="{5917F1C8-7BAF-43D8-AC98-1D7B09ED6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4391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23</xdr:row>
      <xdr:rowOff>85725</xdr:rowOff>
    </xdr:from>
    <xdr:ext cx="47625" cy="47625"/>
    <xdr:pic>
      <xdr:nvPicPr>
        <xdr:cNvPr id="78" name="BExMM0AVUAIRNJLXB1FW8R0YB4ZZ" hidden="1">
          <a:extLst>
            <a:ext uri="{FF2B5EF4-FFF2-40B4-BE49-F238E27FC236}">
              <a16:creationId xmlns:a16="http://schemas.microsoft.com/office/drawing/2014/main" id="{2F877BC8-417D-4126-B5E9-F1A933819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4467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23</xdr:row>
      <xdr:rowOff>9525</xdr:rowOff>
    </xdr:from>
    <xdr:ext cx="47625" cy="47625"/>
    <xdr:pic>
      <xdr:nvPicPr>
        <xdr:cNvPr id="79" name="BExXZ7Y09CBS0XA7IPB3IRJ8RJM4" hidden="1">
          <a:extLst>
            <a:ext uri="{FF2B5EF4-FFF2-40B4-BE49-F238E27FC236}">
              <a16:creationId xmlns:a16="http://schemas.microsoft.com/office/drawing/2014/main" id="{642D652F-1EFB-4313-8F30-69014948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4391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23</xdr:row>
      <xdr:rowOff>85725</xdr:rowOff>
    </xdr:from>
    <xdr:ext cx="47625" cy="47625"/>
    <xdr:pic>
      <xdr:nvPicPr>
        <xdr:cNvPr id="80" name="BExQ7SXS9VUG7P6CACU2J7R2SGIZ" hidden="1">
          <a:extLst>
            <a:ext uri="{FF2B5EF4-FFF2-40B4-BE49-F238E27FC236}">
              <a16:creationId xmlns:a16="http://schemas.microsoft.com/office/drawing/2014/main" id="{7E15DB5C-232E-47A3-96EF-21533DD86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4467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23</xdr:row>
      <xdr:rowOff>9525</xdr:rowOff>
    </xdr:from>
    <xdr:ext cx="47625" cy="47625"/>
    <xdr:pic>
      <xdr:nvPicPr>
        <xdr:cNvPr id="81" name="BEx5AQZ4ETQ9LMY5EBWVH20Z7VXQ" hidden="1">
          <a:extLst>
            <a:ext uri="{FF2B5EF4-FFF2-40B4-BE49-F238E27FC236}">
              <a16:creationId xmlns:a16="http://schemas.microsoft.com/office/drawing/2014/main" id="{2F8962CB-B16E-4C80-B66F-1C556C29F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4391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23</xdr:row>
      <xdr:rowOff>85725</xdr:rowOff>
    </xdr:from>
    <xdr:ext cx="47625" cy="47625"/>
    <xdr:pic>
      <xdr:nvPicPr>
        <xdr:cNvPr id="82" name="BExUBK0YZ5VYFY8TTITJGJU9S06A" hidden="1">
          <a:extLst>
            <a:ext uri="{FF2B5EF4-FFF2-40B4-BE49-F238E27FC236}">
              <a16:creationId xmlns:a16="http://schemas.microsoft.com/office/drawing/2014/main" id="{722530C6-ADFD-4894-921C-BFB43EC0D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4467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23</xdr:row>
      <xdr:rowOff>9525</xdr:rowOff>
    </xdr:from>
    <xdr:ext cx="47625" cy="47625"/>
    <xdr:pic>
      <xdr:nvPicPr>
        <xdr:cNvPr id="83" name="BExUEZCSSJ7RN4J18I2NUIQR2FZS" hidden="1">
          <a:extLst>
            <a:ext uri="{FF2B5EF4-FFF2-40B4-BE49-F238E27FC236}">
              <a16:creationId xmlns:a16="http://schemas.microsoft.com/office/drawing/2014/main" id="{CADD4A84-1236-4977-A819-AB7227CB2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4391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23</xdr:row>
      <xdr:rowOff>85725</xdr:rowOff>
    </xdr:from>
    <xdr:ext cx="47625" cy="47625"/>
    <xdr:pic>
      <xdr:nvPicPr>
        <xdr:cNvPr id="84" name="BExS3JDQWF7U3F5JTEVOE16ASIYK" hidden="1">
          <a:extLst>
            <a:ext uri="{FF2B5EF4-FFF2-40B4-BE49-F238E27FC236}">
              <a16:creationId xmlns:a16="http://schemas.microsoft.com/office/drawing/2014/main" id="{B26ECF4F-8F63-4B4A-B748-6FF7F81A6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4467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26</xdr:row>
      <xdr:rowOff>0</xdr:rowOff>
    </xdr:from>
    <xdr:ext cx="123825" cy="123825"/>
    <xdr:pic>
      <xdr:nvPicPr>
        <xdr:cNvPr id="85" name="BEx973S463FCQVJ7QDFBUIU0WJ3F" descr="ZQTVYL8DCSADVT0QMRXFLU0TR" hidden="1">
          <a:extLst>
            <a:ext uri="{FF2B5EF4-FFF2-40B4-BE49-F238E27FC236}">
              <a16:creationId xmlns:a16="http://schemas.microsoft.com/office/drawing/2014/main" id="{7F224FA6-2E4F-48B0-AC74-60D13817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495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25</xdr:row>
      <xdr:rowOff>0</xdr:rowOff>
    </xdr:from>
    <xdr:ext cx="123825" cy="123825"/>
    <xdr:pic>
      <xdr:nvPicPr>
        <xdr:cNvPr id="86" name="BEx5FXJGJOT93D0J2IRJ3985IUMI" hidden="1">
          <a:extLst>
            <a:ext uri="{FF2B5EF4-FFF2-40B4-BE49-F238E27FC236}">
              <a16:creationId xmlns:a16="http://schemas.microsoft.com/office/drawing/2014/main" id="{C97C0801-14C6-4D57-BE08-F0E062CDF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476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24</xdr:row>
      <xdr:rowOff>0</xdr:rowOff>
    </xdr:from>
    <xdr:ext cx="123825" cy="123825"/>
    <xdr:pic>
      <xdr:nvPicPr>
        <xdr:cNvPr id="87" name="BEx3RTMHAR35NUAAK49TV6NU7EPA" descr="QFXLG4ZCXTRQSJYFCKJ58G9N8" hidden="1">
          <a:extLst>
            <a:ext uri="{FF2B5EF4-FFF2-40B4-BE49-F238E27FC236}">
              <a16:creationId xmlns:a16="http://schemas.microsoft.com/office/drawing/2014/main" id="{CF2B4A79-66E7-48ED-A209-FE3028119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457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27</xdr:row>
      <xdr:rowOff>0</xdr:rowOff>
    </xdr:from>
    <xdr:ext cx="123825" cy="123825"/>
    <xdr:pic>
      <xdr:nvPicPr>
        <xdr:cNvPr id="88" name="BExS8T38WLC2R738ZC7BDJQAKJAJ" descr="MRI962L5PB0E0YWXCIBN82VJH" hidden="1">
          <a:extLst>
            <a:ext uri="{FF2B5EF4-FFF2-40B4-BE49-F238E27FC236}">
              <a16:creationId xmlns:a16="http://schemas.microsoft.com/office/drawing/2014/main" id="{6F540FF8-4EB2-4212-8D2B-367D655C2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514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25</xdr:row>
      <xdr:rowOff>0</xdr:rowOff>
    </xdr:from>
    <xdr:ext cx="123825" cy="123825"/>
    <xdr:pic>
      <xdr:nvPicPr>
        <xdr:cNvPr id="89" name="BEx5F64BJ6DCM4EJH81D5ZFNPZ0V" descr="7DJ9FILZD2YPS6X1JBP9E76TU" hidden="1">
          <a:extLst>
            <a:ext uri="{FF2B5EF4-FFF2-40B4-BE49-F238E27FC236}">
              <a16:creationId xmlns:a16="http://schemas.microsoft.com/office/drawing/2014/main" id="{C7615DAF-1CD3-46F0-91ED-8F54B8A4D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476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25</xdr:row>
      <xdr:rowOff>0</xdr:rowOff>
    </xdr:from>
    <xdr:ext cx="123825" cy="123825"/>
    <xdr:pic>
      <xdr:nvPicPr>
        <xdr:cNvPr id="90" name="BExQEXXHA3EEXR44LT6RKCDWM6ZT" hidden="1">
          <a:extLst>
            <a:ext uri="{FF2B5EF4-FFF2-40B4-BE49-F238E27FC236}">
              <a16:creationId xmlns:a16="http://schemas.microsoft.com/office/drawing/2014/main" id="{DD43B2CF-AC3F-40E2-83E5-F6F62FDDC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476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29</xdr:row>
      <xdr:rowOff>0</xdr:rowOff>
    </xdr:from>
    <xdr:ext cx="123825" cy="123825"/>
    <xdr:pic>
      <xdr:nvPicPr>
        <xdr:cNvPr id="91" name="BEx1X6AMHV6ZK3UJB2BXIJTJHYJU" descr="OALR4L95ELQLZ1Y1LETHM1CS9" hidden="1">
          <a:extLst>
            <a:ext uri="{FF2B5EF4-FFF2-40B4-BE49-F238E27FC236}">
              <a16:creationId xmlns:a16="http://schemas.microsoft.com/office/drawing/2014/main" id="{9A66DFF3-226E-46A5-A2AA-4BE9933A1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552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24</xdr:row>
      <xdr:rowOff>0</xdr:rowOff>
    </xdr:from>
    <xdr:ext cx="123825" cy="123825"/>
    <xdr:pic>
      <xdr:nvPicPr>
        <xdr:cNvPr id="92" name="BExSDIVCE09QKG3CT52PHCS6ZJ09" descr="9F076L7EQCF2COMMGCQG6BQGU" hidden="1">
          <a:extLst>
            <a:ext uri="{FF2B5EF4-FFF2-40B4-BE49-F238E27FC236}">
              <a16:creationId xmlns:a16="http://schemas.microsoft.com/office/drawing/2014/main" id="{1056ABCE-C97C-4637-8F02-ABD8FD7C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457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32</xdr:row>
      <xdr:rowOff>0</xdr:rowOff>
    </xdr:from>
    <xdr:ext cx="123825" cy="123825"/>
    <xdr:pic>
      <xdr:nvPicPr>
        <xdr:cNvPr id="93" name="BExS343F8GCKP6HTF9Y97L133DX8" descr="ZRF0KB1IYQSNV63CTXT25G67G" hidden="1">
          <a:extLst>
            <a:ext uri="{FF2B5EF4-FFF2-40B4-BE49-F238E27FC236}">
              <a16:creationId xmlns:a16="http://schemas.microsoft.com/office/drawing/2014/main" id="{C872F843-93A8-40D3-B491-88741024D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6096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31</xdr:row>
      <xdr:rowOff>0</xdr:rowOff>
    </xdr:from>
    <xdr:ext cx="123825" cy="123825"/>
    <xdr:pic>
      <xdr:nvPicPr>
        <xdr:cNvPr id="94" name="BExZMRC09W87CY4B73NPZMNH21AH" descr="78CUMI0OVLYJRSDRQ3V2YX812" hidden="1">
          <a:extLst>
            <a:ext uri="{FF2B5EF4-FFF2-40B4-BE49-F238E27FC236}">
              <a16:creationId xmlns:a16="http://schemas.microsoft.com/office/drawing/2014/main" id="{5E092637-853D-4A95-92F2-AB983AB82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590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30</xdr:row>
      <xdr:rowOff>9525</xdr:rowOff>
    </xdr:from>
    <xdr:ext cx="123825" cy="123825"/>
    <xdr:pic>
      <xdr:nvPicPr>
        <xdr:cNvPr id="95" name="BExZXVFJ4DY4I24AARDT4AMP6EN1" descr="TXSMH2MTH86CYKA26740RQPUC" hidden="1">
          <a:extLst>
            <a:ext uri="{FF2B5EF4-FFF2-40B4-BE49-F238E27FC236}">
              <a16:creationId xmlns:a16="http://schemas.microsoft.com/office/drawing/2014/main" id="{1916BEB6-2136-4F69-9EF5-A4A05BAF3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5724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29</xdr:row>
      <xdr:rowOff>0</xdr:rowOff>
    </xdr:from>
    <xdr:ext cx="123825" cy="123825"/>
    <xdr:pic>
      <xdr:nvPicPr>
        <xdr:cNvPr id="96" name="BExOCUIOFQWUGTBU5ESTW3EYEP5C" descr="9BNF49V0R6VVYPHEVMJ3ABDQZ" hidden="1">
          <a:extLst>
            <a:ext uri="{FF2B5EF4-FFF2-40B4-BE49-F238E27FC236}">
              <a16:creationId xmlns:a16="http://schemas.microsoft.com/office/drawing/2014/main" id="{EF6621AE-26FC-433E-8D78-3534FB273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552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28</xdr:row>
      <xdr:rowOff>0</xdr:rowOff>
    </xdr:from>
    <xdr:ext cx="123825" cy="123825"/>
    <xdr:pic>
      <xdr:nvPicPr>
        <xdr:cNvPr id="97" name="BExU65O9OE4B4MQ2A3OYH13M8BZJ" descr="3INNIMMPDBB0JF37L81M6ID21" hidden="1">
          <a:extLst>
            <a:ext uri="{FF2B5EF4-FFF2-40B4-BE49-F238E27FC236}">
              <a16:creationId xmlns:a16="http://schemas.microsoft.com/office/drawing/2014/main" id="{D3639F73-DDC1-43EC-9B1B-4262B3F13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5334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27</xdr:row>
      <xdr:rowOff>0</xdr:rowOff>
    </xdr:from>
    <xdr:ext cx="123825" cy="123825"/>
    <xdr:pic>
      <xdr:nvPicPr>
        <xdr:cNvPr id="98" name="BExOPRCR0UW7TKXSV5WDTL348FGL" descr="S9JM17GP1802LHN4GT14BJYIC" hidden="1">
          <a:extLst>
            <a:ext uri="{FF2B5EF4-FFF2-40B4-BE49-F238E27FC236}">
              <a16:creationId xmlns:a16="http://schemas.microsoft.com/office/drawing/2014/main" id="{0578AA1B-20AB-479C-8854-8B71B329C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514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26</xdr:row>
      <xdr:rowOff>0</xdr:rowOff>
    </xdr:from>
    <xdr:ext cx="123825" cy="123825"/>
    <xdr:pic>
      <xdr:nvPicPr>
        <xdr:cNvPr id="99" name="BEx5OESAY2W8SEGI3TSB65EHJ04B" descr="9CN2Y88X8WYV1HWZG1QILY9BK" hidden="1">
          <a:extLst>
            <a:ext uri="{FF2B5EF4-FFF2-40B4-BE49-F238E27FC236}">
              <a16:creationId xmlns:a16="http://schemas.microsoft.com/office/drawing/2014/main" id="{77CE823D-9AA4-4353-B26F-B0B0B26B3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495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25</xdr:row>
      <xdr:rowOff>0</xdr:rowOff>
    </xdr:from>
    <xdr:ext cx="123825" cy="123825"/>
    <xdr:pic>
      <xdr:nvPicPr>
        <xdr:cNvPr id="100" name="BExGMWEQ2BYRY9BAO5T1X850MJN1" descr="AZ9ST0XDIOP50HSUFO5V31BR0" hidden="1">
          <a:extLst>
            <a:ext uri="{FF2B5EF4-FFF2-40B4-BE49-F238E27FC236}">
              <a16:creationId xmlns:a16="http://schemas.microsoft.com/office/drawing/2014/main" id="{9813D9E8-98F5-4D65-BB31-FB8FCBBEE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476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34</xdr:row>
      <xdr:rowOff>9525</xdr:rowOff>
    </xdr:from>
    <xdr:ext cx="47625" cy="47625"/>
    <xdr:pic>
      <xdr:nvPicPr>
        <xdr:cNvPr id="101" name="BExMO7VFCN4EL59982UR4AJ25JNJ" descr="XX6TINEJADZGKR0CTM7ZRT0RA" hidden="1">
          <a:extLst>
            <a:ext uri="{FF2B5EF4-FFF2-40B4-BE49-F238E27FC236}">
              <a16:creationId xmlns:a16="http://schemas.microsoft.com/office/drawing/2014/main" id="{5B1E2544-7B8E-4EBC-B322-BC002EA5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6486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34</xdr:row>
      <xdr:rowOff>85725</xdr:rowOff>
    </xdr:from>
    <xdr:ext cx="47625" cy="47625"/>
    <xdr:pic>
      <xdr:nvPicPr>
        <xdr:cNvPr id="102" name="BExU3EX5JJCXCII4YKUJBFBGIJR2" descr="OF5ZI9PI5WH36VPANJ2DYLNMI" hidden="1">
          <a:extLst>
            <a:ext uri="{FF2B5EF4-FFF2-40B4-BE49-F238E27FC236}">
              <a16:creationId xmlns:a16="http://schemas.microsoft.com/office/drawing/2014/main" id="{11338819-0EA5-4EF1-B15B-1F2A52ECB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6562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34</xdr:row>
      <xdr:rowOff>9525</xdr:rowOff>
    </xdr:from>
    <xdr:ext cx="47625" cy="47625"/>
    <xdr:pic>
      <xdr:nvPicPr>
        <xdr:cNvPr id="103" name="BEx1KD7H6UB1VYCJ7O61P562EIUY" descr="IQGV9140X0K0UPBL8OGU3I44J" hidden="1">
          <a:extLst>
            <a:ext uri="{FF2B5EF4-FFF2-40B4-BE49-F238E27FC236}">
              <a16:creationId xmlns:a16="http://schemas.microsoft.com/office/drawing/2014/main" id="{809659B2-C3FA-4A88-9772-B190BAA0F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6486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34</xdr:row>
      <xdr:rowOff>85725</xdr:rowOff>
    </xdr:from>
    <xdr:ext cx="47625" cy="47625"/>
    <xdr:pic>
      <xdr:nvPicPr>
        <xdr:cNvPr id="104" name="BEx5BJQWS6YWHH4ZMSUAMD641V6Y" descr="ZTMFMXCIQSECDX38ALEFHUB00" hidden="1">
          <a:extLst>
            <a:ext uri="{FF2B5EF4-FFF2-40B4-BE49-F238E27FC236}">
              <a16:creationId xmlns:a16="http://schemas.microsoft.com/office/drawing/2014/main" id="{F0168C1B-F123-407C-B38B-845436BEF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6562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34</xdr:row>
      <xdr:rowOff>9525</xdr:rowOff>
    </xdr:from>
    <xdr:ext cx="47625" cy="47625"/>
    <xdr:pic>
      <xdr:nvPicPr>
        <xdr:cNvPr id="105" name="BExVTO5Q8G2M7BPL4B2584LQS0R0" descr="OB6Q8NA4LZFE4GM9Y3V56BPMQ" hidden="1">
          <a:extLst>
            <a:ext uri="{FF2B5EF4-FFF2-40B4-BE49-F238E27FC236}">
              <a16:creationId xmlns:a16="http://schemas.microsoft.com/office/drawing/2014/main" id="{0CEB5174-3230-4164-8936-0D31EBB3F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6486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34</xdr:row>
      <xdr:rowOff>85725</xdr:rowOff>
    </xdr:from>
    <xdr:ext cx="47625" cy="47625"/>
    <xdr:pic>
      <xdr:nvPicPr>
        <xdr:cNvPr id="106" name="BExIFSCLN1G86X78PFLTSMRP0US5" descr="9JK4SPV4DG7VTCZIILWHXQU5J" hidden="1">
          <a:extLst>
            <a:ext uri="{FF2B5EF4-FFF2-40B4-BE49-F238E27FC236}">
              <a16:creationId xmlns:a16="http://schemas.microsoft.com/office/drawing/2014/main" id="{12BD7CD4-0A4C-4ED2-8A3C-8D7582C87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6562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34</xdr:row>
      <xdr:rowOff>9525</xdr:rowOff>
    </xdr:from>
    <xdr:ext cx="47625" cy="47625"/>
    <xdr:pic>
      <xdr:nvPicPr>
        <xdr:cNvPr id="107" name="BEx1I152WN2D3A85O2XN0DGXCWHN" descr="KHBZFMANRA4UMJR1AB4M5NJNT" hidden="1">
          <a:extLst>
            <a:ext uri="{FF2B5EF4-FFF2-40B4-BE49-F238E27FC236}">
              <a16:creationId xmlns:a16="http://schemas.microsoft.com/office/drawing/2014/main" id="{C99BFFB4-6873-4B67-B563-A8D6842A7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6486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34</xdr:row>
      <xdr:rowOff>85725</xdr:rowOff>
    </xdr:from>
    <xdr:ext cx="47625" cy="47625"/>
    <xdr:pic>
      <xdr:nvPicPr>
        <xdr:cNvPr id="108" name="BExW9676P0SKCVKK25QCGHPA3PAD" descr="9A4PWZ20RMSRF0PNECCDM75CA" hidden="1">
          <a:extLst>
            <a:ext uri="{FF2B5EF4-FFF2-40B4-BE49-F238E27FC236}">
              <a16:creationId xmlns:a16="http://schemas.microsoft.com/office/drawing/2014/main" id="{67D30A91-17F2-41DD-8EE8-6B97FB79E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6562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36</xdr:row>
      <xdr:rowOff>0</xdr:rowOff>
    </xdr:from>
    <xdr:ext cx="123825" cy="123825"/>
    <xdr:pic>
      <xdr:nvPicPr>
        <xdr:cNvPr id="109" name="BExW253QPOZK9KW8BJC3LBXGCG2N" descr="Y5HX37BEUWSN1NEFJKZJXI3SX" hidden="1">
          <a:extLst>
            <a:ext uri="{FF2B5EF4-FFF2-40B4-BE49-F238E27FC236}">
              <a16:creationId xmlns:a16="http://schemas.microsoft.com/office/drawing/2014/main" id="{8409AD50-F551-4D2D-9955-958E064D2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6858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34</xdr:row>
      <xdr:rowOff>9525</xdr:rowOff>
    </xdr:from>
    <xdr:ext cx="47625" cy="47625"/>
    <xdr:pic>
      <xdr:nvPicPr>
        <xdr:cNvPr id="110" name="BExS5CPQ8P8JOQPK7ANNKHLSGOKU" hidden="1">
          <a:extLst>
            <a:ext uri="{FF2B5EF4-FFF2-40B4-BE49-F238E27FC236}">
              <a16:creationId xmlns:a16="http://schemas.microsoft.com/office/drawing/2014/main" id="{0277F18F-BAA0-47C2-A350-0C1561C79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6486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34</xdr:row>
      <xdr:rowOff>85725</xdr:rowOff>
    </xdr:from>
    <xdr:ext cx="47625" cy="47625"/>
    <xdr:pic>
      <xdr:nvPicPr>
        <xdr:cNvPr id="111" name="BExMM0AVUAIRNJLXB1FW8R0YB4ZZ" hidden="1">
          <a:extLst>
            <a:ext uri="{FF2B5EF4-FFF2-40B4-BE49-F238E27FC236}">
              <a16:creationId xmlns:a16="http://schemas.microsoft.com/office/drawing/2014/main" id="{804C1C13-098F-408E-A572-023AE7EDE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6562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34</xdr:row>
      <xdr:rowOff>9525</xdr:rowOff>
    </xdr:from>
    <xdr:ext cx="47625" cy="47625"/>
    <xdr:pic>
      <xdr:nvPicPr>
        <xdr:cNvPr id="112" name="BExXZ7Y09CBS0XA7IPB3IRJ8RJM4" hidden="1">
          <a:extLst>
            <a:ext uri="{FF2B5EF4-FFF2-40B4-BE49-F238E27FC236}">
              <a16:creationId xmlns:a16="http://schemas.microsoft.com/office/drawing/2014/main" id="{3131B907-D876-4CF0-9AC3-8B6E7AC5F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6486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34</xdr:row>
      <xdr:rowOff>85725</xdr:rowOff>
    </xdr:from>
    <xdr:ext cx="47625" cy="47625"/>
    <xdr:pic>
      <xdr:nvPicPr>
        <xdr:cNvPr id="113" name="BExQ7SXS9VUG7P6CACU2J7R2SGIZ" hidden="1">
          <a:extLst>
            <a:ext uri="{FF2B5EF4-FFF2-40B4-BE49-F238E27FC236}">
              <a16:creationId xmlns:a16="http://schemas.microsoft.com/office/drawing/2014/main" id="{F2156081-0E73-400A-9A47-FBBF98D88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6562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34</xdr:row>
      <xdr:rowOff>9525</xdr:rowOff>
    </xdr:from>
    <xdr:ext cx="47625" cy="47625"/>
    <xdr:pic>
      <xdr:nvPicPr>
        <xdr:cNvPr id="114" name="BEx5AQZ4ETQ9LMY5EBWVH20Z7VXQ" hidden="1">
          <a:extLst>
            <a:ext uri="{FF2B5EF4-FFF2-40B4-BE49-F238E27FC236}">
              <a16:creationId xmlns:a16="http://schemas.microsoft.com/office/drawing/2014/main" id="{D3E04A1B-30BF-4DAF-9C5F-24C220254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6486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34</xdr:row>
      <xdr:rowOff>85725</xdr:rowOff>
    </xdr:from>
    <xdr:ext cx="47625" cy="47625"/>
    <xdr:pic>
      <xdr:nvPicPr>
        <xdr:cNvPr id="115" name="BExUBK0YZ5VYFY8TTITJGJU9S06A" hidden="1">
          <a:extLst>
            <a:ext uri="{FF2B5EF4-FFF2-40B4-BE49-F238E27FC236}">
              <a16:creationId xmlns:a16="http://schemas.microsoft.com/office/drawing/2014/main" id="{82690556-7C4B-4272-B587-8FF823202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6562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34</xdr:row>
      <xdr:rowOff>9525</xdr:rowOff>
    </xdr:from>
    <xdr:ext cx="47625" cy="47625"/>
    <xdr:pic>
      <xdr:nvPicPr>
        <xdr:cNvPr id="116" name="BExUEZCSSJ7RN4J18I2NUIQR2FZS" hidden="1">
          <a:extLst>
            <a:ext uri="{FF2B5EF4-FFF2-40B4-BE49-F238E27FC236}">
              <a16:creationId xmlns:a16="http://schemas.microsoft.com/office/drawing/2014/main" id="{DF9EC96F-73F1-4898-8E36-2391B0C4D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6486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34</xdr:row>
      <xdr:rowOff>85725</xdr:rowOff>
    </xdr:from>
    <xdr:ext cx="47625" cy="47625"/>
    <xdr:pic>
      <xdr:nvPicPr>
        <xdr:cNvPr id="117" name="BExS3JDQWF7U3F5JTEVOE16ASIYK" hidden="1">
          <a:extLst>
            <a:ext uri="{FF2B5EF4-FFF2-40B4-BE49-F238E27FC236}">
              <a16:creationId xmlns:a16="http://schemas.microsoft.com/office/drawing/2014/main" id="{5389A753-12D8-4594-AB2A-0654F2BD9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6562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37</xdr:row>
      <xdr:rowOff>0</xdr:rowOff>
    </xdr:from>
    <xdr:ext cx="123825" cy="123825"/>
    <xdr:pic>
      <xdr:nvPicPr>
        <xdr:cNvPr id="118" name="BEx973S463FCQVJ7QDFBUIU0WJ3F" descr="ZQTVYL8DCSADVT0QMRXFLU0TR" hidden="1">
          <a:extLst>
            <a:ext uri="{FF2B5EF4-FFF2-40B4-BE49-F238E27FC236}">
              <a16:creationId xmlns:a16="http://schemas.microsoft.com/office/drawing/2014/main" id="{CE4E5738-3177-4AB3-9A3D-E9D14955E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7048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36</xdr:row>
      <xdr:rowOff>0</xdr:rowOff>
    </xdr:from>
    <xdr:ext cx="123825" cy="123825"/>
    <xdr:pic>
      <xdr:nvPicPr>
        <xdr:cNvPr id="119" name="BEx5FXJGJOT93D0J2IRJ3985IUMI" hidden="1">
          <a:extLst>
            <a:ext uri="{FF2B5EF4-FFF2-40B4-BE49-F238E27FC236}">
              <a16:creationId xmlns:a16="http://schemas.microsoft.com/office/drawing/2014/main" id="{25AA5987-047F-4362-9F3E-BCAC6ACBB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6858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35</xdr:row>
      <xdr:rowOff>0</xdr:rowOff>
    </xdr:from>
    <xdr:ext cx="123825" cy="123825"/>
    <xdr:pic>
      <xdr:nvPicPr>
        <xdr:cNvPr id="120" name="BEx3RTMHAR35NUAAK49TV6NU7EPA" descr="QFXLG4ZCXTRQSJYFCKJ58G9N8" hidden="1">
          <a:extLst>
            <a:ext uri="{FF2B5EF4-FFF2-40B4-BE49-F238E27FC236}">
              <a16:creationId xmlns:a16="http://schemas.microsoft.com/office/drawing/2014/main" id="{1C65AB68-8B94-46E3-BC75-069B70A5D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6667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38</xdr:row>
      <xdr:rowOff>0</xdr:rowOff>
    </xdr:from>
    <xdr:ext cx="123825" cy="123825"/>
    <xdr:pic>
      <xdr:nvPicPr>
        <xdr:cNvPr id="121" name="BExS8T38WLC2R738ZC7BDJQAKJAJ" descr="MRI962L5PB0E0YWXCIBN82VJH" hidden="1">
          <a:extLst>
            <a:ext uri="{FF2B5EF4-FFF2-40B4-BE49-F238E27FC236}">
              <a16:creationId xmlns:a16="http://schemas.microsoft.com/office/drawing/2014/main" id="{785F86B0-E420-4271-B5EE-090B38A55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723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36</xdr:row>
      <xdr:rowOff>0</xdr:rowOff>
    </xdr:from>
    <xdr:ext cx="123825" cy="123825"/>
    <xdr:pic>
      <xdr:nvPicPr>
        <xdr:cNvPr id="122" name="BEx5F64BJ6DCM4EJH81D5ZFNPZ0V" descr="7DJ9FILZD2YPS6X1JBP9E76TU" hidden="1">
          <a:extLst>
            <a:ext uri="{FF2B5EF4-FFF2-40B4-BE49-F238E27FC236}">
              <a16:creationId xmlns:a16="http://schemas.microsoft.com/office/drawing/2014/main" id="{42CB0BBF-F123-4D7A-BCD0-A6B8914CB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6858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36</xdr:row>
      <xdr:rowOff>0</xdr:rowOff>
    </xdr:from>
    <xdr:ext cx="123825" cy="123825"/>
    <xdr:pic>
      <xdr:nvPicPr>
        <xdr:cNvPr id="123" name="BExQEXXHA3EEXR44LT6RKCDWM6ZT" hidden="1">
          <a:extLst>
            <a:ext uri="{FF2B5EF4-FFF2-40B4-BE49-F238E27FC236}">
              <a16:creationId xmlns:a16="http://schemas.microsoft.com/office/drawing/2014/main" id="{B124A871-3115-48AF-9B9A-6BF82BA23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6858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40</xdr:row>
      <xdr:rowOff>0</xdr:rowOff>
    </xdr:from>
    <xdr:ext cx="123825" cy="123825"/>
    <xdr:pic>
      <xdr:nvPicPr>
        <xdr:cNvPr id="124" name="BEx1X6AMHV6ZK3UJB2BXIJTJHYJU" descr="OALR4L95ELQLZ1Y1LETHM1CS9" hidden="1">
          <a:extLst>
            <a:ext uri="{FF2B5EF4-FFF2-40B4-BE49-F238E27FC236}">
              <a16:creationId xmlns:a16="http://schemas.microsoft.com/office/drawing/2014/main" id="{F60E4C61-84D3-49AB-8CEB-1FD60CE4F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7620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35</xdr:row>
      <xdr:rowOff>0</xdr:rowOff>
    </xdr:from>
    <xdr:ext cx="123825" cy="123825"/>
    <xdr:pic>
      <xdr:nvPicPr>
        <xdr:cNvPr id="125" name="BExSDIVCE09QKG3CT52PHCS6ZJ09" descr="9F076L7EQCF2COMMGCQG6BQGU" hidden="1">
          <a:extLst>
            <a:ext uri="{FF2B5EF4-FFF2-40B4-BE49-F238E27FC236}">
              <a16:creationId xmlns:a16="http://schemas.microsoft.com/office/drawing/2014/main" id="{88296F60-34F4-40EE-B5B9-2CF0AE7E0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6667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126" name="BExS343F8GCKP6HTF9Y97L133DX8" descr="ZRF0KB1IYQSNV63CTXT25G67G" hidden="1">
          <a:extLst>
            <a:ext uri="{FF2B5EF4-FFF2-40B4-BE49-F238E27FC236}">
              <a16:creationId xmlns:a16="http://schemas.microsoft.com/office/drawing/2014/main" id="{53E387B2-BD31-4863-B1F3-B633BBD6A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819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42</xdr:row>
      <xdr:rowOff>0</xdr:rowOff>
    </xdr:from>
    <xdr:ext cx="123825" cy="123825"/>
    <xdr:pic>
      <xdr:nvPicPr>
        <xdr:cNvPr id="127" name="BExZMRC09W87CY4B73NPZMNH21AH" descr="78CUMI0OVLYJRSDRQ3V2YX812" hidden="1">
          <a:extLst>
            <a:ext uri="{FF2B5EF4-FFF2-40B4-BE49-F238E27FC236}">
              <a16:creationId xmlns:a16="http://schemas.microsoft.com/office/drawing/2014/main" id="{820BD012-2881-4AC0-911F-99D004680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800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41</xdr:row>
      <xdr:rowOff>9525</xdr:rowOff>
    </xdr:from>
    <xdr:ext cx="123825" cy="123825"/>
    <xdr:pic>
      <xdr:nvPicPr>
        <xdr:cNvPr id="128" name="BExZXVFJ4DY4I24AARDT4AMP6EN1" descr="TXSMH2MTH86CYKA26740RQPUC" hidden="1">
          <a:extLst>
            <a:ext uri="{FF2B5EF4-FFF2-40B4-BE49-F238E27FC236}">
              <a16:creationId xmlns:a16="http://schemas.microsoft.com/office/drawing/2014/main" id="{884860DF-F158-42F4-9E3D-E5F50010B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7820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40</xdr:row>
      <xdr:rowOff>0</xdr:rowOff>
    </xdr:from>
    <xdr:ext cx="123825" cy="123825"/>
    <xdr:pic>
      <xdr:nvPicPr>
        <xdr:cNvPr id="129" name="BExOCUIOFQWUGTBU5ESTW3EYEP5C" descr="9BNF49V0R6VVYPHEVMJ3ABDQZ" hidden="1">
          <a:extLst>
            <a:ext uri="{FF2B5EF4-FFF2-40B4-BE49-F238E27FC236}">
              <a16:creationId xmlns:a16="http://schemas.microsoft.com/office/drawing/2014/main" id="{BBD292F9-12B4-4EBC-BB96-B607AA54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7620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39</xdr:row>
      <xdr:rowOff>0</xdr:rowOff>
    </xdr:from>
    <xdr:ext cx="123825" cy="123825"/>
    <xdr:pic>
      <xdr:nvPicPr>
        <xdr:cNvPr id="130" name="BExU65O9OE4B4MQ2A3OYH13M8BZJ" descr="3INNIMMPDBB0JF37L81M6ID21" hidden="1">
          <a:extLst>
            <a:ext uri="{FF2B5EF4-FFF2-40B4-BE49-F238E27FC236}">
              <a16:creationId xmlns:a16="http://schemas.microsoft.com/office/drawing/2014/main" id="{1793F9FC-BFDF-4C9D-8983-51F8DCCC3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7429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38</xdr:row>
      <xdr:rowOff>0</xdr:rowOff>
    </xdr:from>
    <xdr:ext cx="123825" cy="123825"/>
    <xdr:pic>
      <xdr:nvPicPr>
        <xdr:cNvPr id="131" name="BExOPRCR0UW7TKXSV5WDTL348FGL" descr="S9JM17GP1802LHN4GT14BJYIC" hidden="1">
          <a:extLst>
            <a:ext uri="{FF2B5EF4-FFF2-40B4-BE49-F238E27FC236}">
              <a16:creationId xmlns:a16="http://schemas.microsoft.com/office/drawing/2014/main" id="{D1D933E2-4C97-4D0F-8F5A-4C4448B0B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723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37</xdr:row>
      <xdr:rowOff>0</xdr:rowOff>
    </xdr:from>
    <xdr:ext cx="123825" cy="123825"/>
    <xdr:pic>
      <xdr:nvPicPr>
        <xdr:cNvPr id="132" name="BEx5OESAY2W8SEGI3TSB65EHJ04B" descr="9CN2Y88X8WYV1HWZG1QILY9BK" hidden="1">
          <a:extLst>
            <a:ext uri="{FF2B5EF4-FFF2-40B4-BE49-F238E27FC236}">
              <a16:creationId xmlns:a16="http://schemas.microsoft.com/office/drawing/2014/main" id="{C065E3C1-415F-47CA-AABF-26764F601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7048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36</xdr:row>
      <xdr:rowOff>0</xdr:rowOff>
    </xdr:from>
    <xdr:ext cx="123825" cy="123825"/>
    <xdr:pic>
      <xdr:nvPicPr>
        <xdr:cNvPr id="133" name="BExGMWEQ2BYRY9BAO5T1X850MJN1" descr="AZ9ST0XDIOP50HSUFO5V31BR0" hidden="1">
          <a:extLst>
            <a:ext uri="{FF2B5EF4-FFF2-40B4-BE49-F238E27FC236}">
              <a16:creationId xmlns:a16="http://schemas.microsoft.com/office/drawing/2014/main" id="{50EAC2F2-1D40-4801-95A1-A82FB93E2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6858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45</xdr:row>
      <xdr:rowOff>9525</xdr:rowOff>
    </xdr:from>
    <xdr:ext cx="47625" cy="47625"/>
    <xdr:pic>
      <xdr:nvPicPr>
        <xdr:cNvPr id="134" name="BExMO7VFCN4EL59982UR4AJ25JNJ" descr="XX6TINEJADZGKR0CTM7ZRT0RA" hidden="1">
          <a:extLst>
            <a:ext uri="{FF2B5EF4-FFF2-40B4-BE49-F238E27FC236}">
              <a16:creationId xmlns:a16="http://schemas.microsoft.com/office/drawing/2014/main" id="{905DEEC9-BDF8-4BEB-8612-82669417C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8582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45</xdr:row>
      <xdr:rowOff>85725</xdr:rowOff>
    </xdr:from>
    <xdr:ext cx="47625" cy="47625"/>
    <xdr:pic>
      <xdr:nvPicPr>
        <xdr:cNvPr id="135" name="BExU3EX5JJCXCII4YKUJBFBGIJR2" descr="OF5ZI9PI5WH36VPANJ2DYLNMI" hidden="1">
          <a:extLst>
            <a:ext uri="{FF2B5EF4-FFF2-40B4-BE49-F238E27FC236}">
              <a16:creationId xmlns:a16="http://schemas.microsoft.com/office/drawing/2014/main" id="{E8E7FAA3-66C4-4F65-8BCA-6A66E556B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8658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45</xdr:row>
      <xdr:rowOff>9525</xdr:rowOff>
    </xdr:from>
    <xdr:ext cx="47625" cy="47625"/>
    <xdr:pic>
      <xdr:nvPicPr>
        <xdr:cNvPr id="136" name="BEx1KD7H6UB1VYCJ7O61P562EIUY" descr="IQGV9140X0K0UPBL8OGU3I44J" hidden="1">
          <a:extLst>
            <a:ext uri="{FF2B5EF4-FFF2-40B4-BE49-F238E27FC236}">
              <a16:creationId xmlns:a16="http://schemas.microsoft.com/office/drawing/2014/main" id="{5CB145BF-A3E2-41BF-8AA7-F7026A823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8582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45</xdr:row>
      <xdr:rowOff>85725</xdr:rowOff>
    </xdr:from>
    <xdr:ext cx="47625" cy="47625"/>
    <xdr:pic>
      <xdr:nvPicPr>
        <xdr:cNvPr id="137" name="BEx5BJQWS6YWHH4ZMSUAMD641V6Y" descr="ZTMFMXCIQSECDX38ALEFHUB00" hidden="1">
          <a:extLst>
            <a:ext uri="{FF2B5EF4-FFF2-40B4-BE49-F238E27FC236}">
              <a16:creationId xmlns:a16="http://schemas.microsoft.com/office/drawing/2014/main" id="{B5A788F5-1E0A-4D8B-B986-9C026ED6E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8658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45</xdr:row>
      <xdr:rowOff>9525</xdr:rowOff>
    </xdr:from>
    <xdr:ext cx="47625" cy="47625"/>
    <xdr:pic>
      <xdr:nvPicPr>
        <xdr:cNvPr id="138" name="BExVTO5Q8G2M7BPL4B2584LQS0R0" descr="OB6Q8NA4LZFE4GM9Y3V56BPMQ" hidden="1">
          <a:extLst>
            <a:ext uri="{FF2B5EF4-FFF2-40B4-BE49-F238E27FC236}">
              <a16:creationId xmlns:a16="http://schemas.microsoft.com/office/drawing/2014/main" id="{20F65B39-60D5-40A2-B2B1-B2F78D31D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8582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45</xdr:row>
      <xdr:rowOff>85725</xdr:rowOff>
    </xdr:from>
    <xdr:ext cx="47625" cy="47625"/>
    <xdr:pic>
      <xdr:nvPicPr>
        <xdr:cNvPr id="139" name="BExIFSCLN1G86X78PFLTSMRP0US5" descr="9JK4SPV4DG7VTCZIILWHXQU5J" hidden="1">
          <a:extLst>
            <a:ext uri="{FF2B5EF4-FFF2-40B4-BE49-F238E27FC236}">
              <a16:creationId xmlns:a16="http://schemas.microsoft.com/office/drawing/2014/main" id="{F5493D5D-6F67-4952-AEAA-57B558757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8658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45</xdr:row>
      <xdr:rowOff>9525</xdr:rowOff>
    </xdr:from>
    <xdr:ext cx="47625" cy="47625"/>
    <xdr:pic>
      <xdr:nvPicPr>
        <xdr:cNvPr id="140" name="BEx1I152WN2D3A85O2XN0DGXCWHN" descr="KHBZFMANRA4UMJR1AB4M5NJNT" hidden="1">
          <a:extLst>
            <a:ext uri="{FF2B5EF4-FFF2-40B4-BE49-F238E27FC236}">
              <a16:creationId xmlns:a16="http://schemas.microsoft.com/office/drawing/2014/main" id="{AE8E5A5A-06D8-415B-B143-3B861FAF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8582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45</xdr:row>
      <xdr:rowOff>85725</xdr:rowOff>
    </xdr:from>
    <xdr:ext cx="47625" cy="47625"/>
    <xdr:pic>
      <xdr:nvPicPr>
        <xdr:cNvPr id="141" name="BExW9676P0SKCVKK25QCGHPA3PAD" descr="9A4PWZ20RMSRF0PNECCDM75CA" hidden="1">
          <a:extLst>
            <a:ext uri="{FF2B5EF4-FFF2-40B4-BE49-F238E27FC236}">
              <a16:creationId xmlns:a16="http://schemas.microsoft.com/office/drawing/2014/main" id="{7B6CC7BA-2F5F-401E-836A-C8E511E82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8658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47</xdr:row>
      <xdr:rowOff>0</xdr:rowOff>
    </xdr:from>
    <xdr:ext cx="123825" cy="123825"/>
    <xdr:pic>
      <xdr:nvPicPr>
        <xdr:cNvPr id="142" name="BExW253QPOZK9KW8BJC3LBXGCG2N" descr="Y5HX37BEUWSN1NEFJKZJXI3SX" hidden="1">
          <a:extLst>
            <a:ext uri="{FF2B5EF4-FFF2-40B4-BE49-F238E27FC236}">
              <a16:creationId xmlns:a16="http://schemas.microsoft.com/office/drawing/2014/main" id="{E5330BA7-98A3-441D-97C5-4E8CC8A66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895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45</xdr:row>
      <xdr:rowOff>9525</xdr:rowOff>
    </xdr:from>
    <xdr:ext cx="47625" cy="47625"/>
    <xdr:pic>
      <xdr:nvPicPr>
        <xdr:cNvPr id="143" name="BExS5CPQ8P8JOQPK7ANNKHLSGOKU" hidden="1">
          <a:extLst>
            <a:ext uri="{FF2B5EF4-FFF2-40B4-BE49-F238E27FC236}">
              <a16:creationId xmlns:a16="http://schemas.microsoft.com/office/drawing/2014/main" id="{8179CDB3-CA88-445E-B22F-B634345B7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8582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45</xdr:row>
      <xdr:rowOff>85725</xdr:rowOff>
    </xdr:from>
    <xdr:ext cx="47625" cy="47625"/>
    <xdr:pic>
      <xdr:nvPicPr>
        <xdr:cNvPr id="144" name="BExMM0AVUAIRNJLXB1FW8R0YB4ZZ" hidden="1">
          <a:extLst>
            <a:ext uri="{FF2B5EF4-FFF2-40B4-BE49-F238E27FC236}">
              <a16:creationId xmlns:a16="http://schemas.microsoft.com/office/drawing/2014/main" id="{C9036039-4620-4528-B3EF-C878309EF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8658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45</xdr:row>
      <xdr:rowOff>9525</xdr:rowOff>
    </xdr:from>
    <xdr:ext cx="47625" cy="47625"/>
    <xdr:pic>
      <xdr:nvPicPr>
        <xdr:cNvPr id="145" name="BExXZ7Y09CBS0XA7IPB3IRJ8RJM4" hidden="1">
          <a:extLst>
            <a:ext uri="{FF2B5EF4-FFF2-40B4-BE49-F238E27FC236}">
              <a16:creationId xmlns:a16="http://schemas.microsoft.com/office/drawing/2014/main" id="{9272107D-535A-41FC-A855-55FD5DAC4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8582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45</xdr:row>
      <xdr:rowOff>85725</xdr:rowOff>
    </xdr:from>
    <xdr:ext cx="47625" cy="47625"/>
    <xdr:pic>
      <xdr:nvPicPr>
        <xdr:cNvPr id="146" name="BExQ7SXS9VUG7P6CACU2J7R2SGIZ" hidden="1">
          <a:extLst>
            <a:ext uri="{FF2B5EF4-FFF2-40B4-BE49-F238E27FC236}">
              <a16:creationId xmlns:a16="http://schemas.microsoft.com/office/drawing/2014/main" id="{EA32C3E2-2EBA-446F-963F-82FE3187F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8658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45</xdr:row>
      <xdr:rowOff>9525</xdr:rowOff>
    </xdr:from>
    <xdr:ext cx="47625" cy="47625"/>
    <xdr:pic>
      <xdr:nvPicPr>
        <xdr:cNvPr id="147" name="BEx5AQZ4ETQ9LMY5EBWVH20Z7VXQ" hidden="1">
          <a:extLst>
            <a:ext uri="{FF2B5EF4-FFF2-40B4-BE49-F238E27FC236}">
              <a16:creationId xmlns:a16="http://schemas.microsoft.com/office/drawing/2014/main" id="{06A7C3E6-F1F7-44D3-87A2-FC43FFA4E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8582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45</xdr:row>
      <xdr:rowOff>85725</xdr:rowOff>
    </xdr:from>
    <xdr:ext cx="47625" cy="47625"/>
    <xdr:pic>
      <xdr:nvPicPr>
        <xdr:cNvPr id="148" name="BExUBK0YZ5VYFY8TTITJGJU9S06A" hidden="1">
          <a:extLst>
            <a:ext uri="{FF2B5EF4-FFF2-40B4-BE49-F238E27FC236}">
              <a16:creationId xmlns:a16="http://schemas.microsoft.com/office/drawing/2014/main" id="{E0CC4925-72AC-4BDE-B7CF-4C6B7232C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8658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45</xdr:row>
      <xdr:rowOff>9525</xdr:rowOff>
    </xdr:from>
    <xdr:ext cx="47625" cy="47625"/>
    <xdr:pic>
      <xdr:nvPicPr>
        <xdr:cNvPr id="149" name="BExUEZCSSJ7RN4J18I2NUIQR2FZS" hidden="1">
          <a:extLst>
            <a:ext uri="{FF2B5EF4-FFF2-40B4-BE49-F238E27FC236}">
              <a16:creationId xmlns:a16="http://schemas.microsoft.com/office/drawing/2014/main" id="{0CF49E1F-8760-4D3B-BA4F-BCDD88E72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8582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45</xdr:row>
      <xdr:rowOff>85725</xdr:rowOff>
    </xdr:from>
    <xdr:ext cx="47625" cy="47625"/>
    <xdr:pic>
      <xdr:nvPicPr>
        <xdr:cNvPr id="150" name="BExS3JDQWF7U3F5JTEVOE16ASIYK" hidden="1">
          <a:extLst>
            <a:ext uri="{FF2B5EF4-FFF2-40B4-BE49-F238E27FC236}">
              <a16:creationId xmlns:a16="http://schemas.microsoft.com/office/drawing/2014/main" id="{D5615EB9-9863-4DE7-88BF-B46A265EF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8658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151" name="BEx973S463FCQVJ7QDFBUIU0WJ3F" descr="ZQTVYL8DCSADVT0QMRXFLU0TR" hidden="1">
          <a:extLst>
            <a:ext uri="{FF2B5EF4-FFF2-40B4-BE49-F238E27FC236}">
              <a16:creationId xmlns:a16="http://schemas.microsoft.com/office/drawing/2014/main" id="{8A7B71F7-2A47-4484-BFDE-8A67B158E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9144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47</xdr:row>
      <xdr:rowOff>0</xdr:rowOff>
    </xdr:from>
    <xdr:ext cx="123825" cy="123825"/>
    <xdr:pic>
      <xdr:nvPicPr>
        <xdr:cNvPr id="152" name="BEx5FXJGJOT93D0J2IRJ3985IUMI" hidden="1">
          <a:extLst>
            <a:ext uri="{FF2B5EF4-FFF2-40B4-BE49-F238E27FC236}">
              <a16:creationId xmlns:a16="http://schemas.microsoft.com/office/drawing/2014/main" id="{9EAD7CF6-D89D-4628-82AD-06AAE1F46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895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46</xdr:row>
      <xdr:rowOff>0</xdr:rowOff>
    </xdr:from>
    <xdr:ext cx="123825" cy="123825"/>
    <xdr:pic>
      <xdr:nvPicPr>
        <xdr:cNvPr id="153" name="BEx3RTMHAR35NUAAK49TV6NU7EPA" descr="QFXLG4ZCXTRQSJYFCKJ58G9N8" hidden="1">
          <a:extLst>
            <a:ext uri="{FF2B5EF4-FFF2-40B4-BE49-F238E27FC236}">
              <a16:creationId xmlns:a16="http://schemas.microsoft.com/office/drawing/2014/main" id="{80401889-8EA5-4D61-B879-A32D7E701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876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49</xdr:row>
      <xdr:rowOff>0</xdr:rowOff>
    </xdr:from>
    <xdr:ext cx="123825" cy="123825"/>
    <xdr:pic>
      <xdr:nvPicPr>
        <xdr:cNvPr id="154" name="BExS8T38WLC2R738ZC7BDJQAKJAJ" descr="MRI962L5PB0E0YWXCIBN82VJH" hidden="1">
          <a:extLst>
            <a:ext uri="{FF2B5EF4-FFF2-40B4-BE49-F238E27FC236}">
              <a16:creationId xmlns:a16="http://schemas.microsoft.com/office/drawing/2014/main" id="{1F37E9B1-9B24-4274-8258-48314D08F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933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47</xdr:row>
      <xdr:rowOff>0</xdr:rowOff>
    </xdr:from>
    <xdr:ext cx="123825" cy="123825"/>
    <xdr:pic>
      <xdr:nvPicPr>
        <xdr:cNvPr id="155" name="BEx5F64BJ6DCM4EJH81D5ZFNPZ0V" descr="7DJ9FILZD2YPS6X1JBP9E76TU" hidden="1">
          <a:extLst>
            <a:ext uri="{FF2B5EF4-FFF2-40B4-BE49-F238E27FC236}">
              <a16:creationId xmlns:a16="http://schemas.microsoft.com/office/drawing/2014/main" id="{7D734CAD-10A1-41D7-9C09-9B9821F81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895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47</xdr:row>
      <xdr:rowOff>0</xdr:rowOff>
    </xdr:from>
    <xdr:ext cx="123825" cy="123825"/>
    <xdr:pic>
      <xdr:nvPicPr>
        <xdr:cNvPr id="156" name="BExQEXXHA3EEXR44LT6RKCDWM6ZT" hidden="1">
          <a:extLst>
            <a:ext uri="{FF2B5EF4-FFF2-40B4-BE49-F238E27FC236}">
              <a16:creationId xmlns:a16="http://schemas.microsoft.com/office/drawing/2014/main" id="{DA173754-B303-4DE1-9486-B354A4CCC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895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51</xdr:row>
      <xdr:rowOff>0</xdr:rowOff>
    </xdr:from>
    <xdr:ext cx="123825" cy="123825"/>
    <xdr:pic>
      <xdr:nvPicPr>
        <xdr:cNvPr id="157" name="BEx1X6AMHV6ZK3UJB2BXIJTJHYJU" descr="OALR4L95ELQLZ1Y1LETHM1CS9" hidden="1">
          <a:extLst>
            <a:ext uri="{FF2B5EF4-FFF2-40B4-BE49-F238E27FC236}">
              <a16:creationId xmlns:a16="http://schemas.microsoft.com/office/drawing/2014/main" id="{7F3CF6ED-E0F7-4FD5-80F1-574945108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971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46</xdr:row>
      <xdr:rowOff>0</xdr:rowOff>
    </xdr:from>
    <xdr:ext cx="123825" cy="123825"/>
    <xdr:pic>
      <xdr:nvPicPr>
        <xdr:cNvPr id="158" name="BExSDIVCE09QKG3CT52PHCS6ZJ09" descr="9F076L7EQCF2COMMGCQG6BQGU" hidden="1">
          <a:extLst>
            <a:ext uri="{FF2B5EF4-FFF2-40B4-BE49-F238E27FC236}">
              <a16:creationId xmlns:a16="http://schemas.microsoft.com/office/drawing/2014/main" id="{E021BB3D-B79E-4763-970E-00B0E790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876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54</xdr:row>
      <xdr:rowOff>0</xdr:rowOff>
    </xdr:from>
    <xdr:ext cx="123825" cy="123825"/>
    <xdr:pic>
      <xdr:nvPicPr>
        <xdr:cNvPr id="159" name="BExS343F8GCKP6HTF9Y97L133DX8" descr="ZRF0KB1IYQSNV63CTXT25G67G" hidden="1">
          <a:extLst>
            <a:ext uri="{FF2B5EF4-FFF2-40B4-BE49-F238E27FC236}">
              <a16:creationId xmlns:a16="http://schemas.microsoft.com/office/drawing/2014/main" id="{9876406A-8A76-4CCC-9AA5-CCE05D469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0287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53</xdr:row>
      <xdr:rowOff>0</xdr:rowOff>
    </xdr:from>
    <xdr:ext cx="123825" cy="123825"/>
    <xdr:pic>
      <xdr:nvPicPr>
        <xdr:cNvPr id="160" name="BExZMRC09W87CY4B73NPZMNH21AH" descr="78CUMI0OVLYJRSDRQ3V2YX812" hidden="1">
          <a:extLst>
            <a:ext uri="{FF2B5EF4-FFF2-40B4-BE49-F238E27FC236}">
              <a16:creationId xmlns:a16="http://schemas.microsoft.com/office/drawing/2014/main" id="{18508DAD-7606-4002-9118-15C838196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009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52</xdr:row>
      <xdr:rowOff>9525</xdr:rowOff>
    </xdr:from>
    <xdr:ext cx="123825" cy="123825"/>
    <xdr:pic>
      <xdr:nvPicPr>
        <xdr:cNvPr id="161" name="BExZXVFJ4DY4I24AARDT4AMP6EN1" descr="TXSMH2MTH86CYKA26740RQPUC" hidden="1">
          <a:extLst>
            <a:ext uri="{FF2B5EF4-FFF2-40B4-BE49-F238E27FC236}">
              <a16:creationId xmlns:a16="http://schemas.microsoft.com/office/drawing/2014/main" id="{36EF57FF-7C1D-4DE1-A4EB-BF58AC125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9915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51</xdr:row>
      <xdr:rowOff>0</xdr:rowOff>
    </xdr:from>
    <xdr:ext cx="123825" cy="123825"/>
    <xdr:pic>
      <xdr:nvPicPr>
        <xdr:cNvPr id="162" name="BExOCUIOFQWUGTBU5ESTW3EYEP5C" descr="9BNF49V0R6VVYPHEVMJ3ABDQZ" hidden="1">
          <a:extLst>
            <a:ext uri="{FF2B5EF4-FFF2-40B4-BE49-F238E27FC236}">
              <a16:creationId xmlns:a16="http://schemas.microsoft.com/office/drawing/2014/main" id="{248E72EE-D58E-422D-B5C7-5456D3A59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971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50</xdr:row>
      <xdr:rowOff>0</xdr:rowOff>
    </xdr:from>
    <xdr:ext cx="123825" cy="123825"/>
    <xdr:pic>
      <xdr:nvPicPr>
        <xdr:cNvPr id="163" name="BExU65O9OE4B4MQ2A3OYH13M8BZJ" descr="3INNIMMPDBB0JF37L81M6ID21" hidden="1">
          <a:extLst>
            <a:ext uri="{FF2B5EF4-FFF2-40B4-BE49-F238E27FC236}">
              <a16:creationId xmlns:a16="http://schemas.microsoft.com/office/drawing/2014/main" id="{AD479106-691A-41E0-B3AF-DA9C79EA0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9525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49</xdr:row>
      <xdr:rowOff>0</xdr:rowOff>
    </xdr:from>
    <xdr:ext cx="123825" cy="123825"/>
    <xdr:pic>
      <xdr:nvPicPr>
        <xdr:cNvPr id="164" name="BExOPRCR0UW7TKXSV5WDTL348FGL" descr="S9JM17GP1802LHN4GT14BJYIC" hidden="1">
          <a:extLst>
            <a:ext uri="{FF2B5EF4-FFF2-40B4-BE49-F238E27FC236}">
              <a16:creationId xmlns:a16="http://schemas.microsoft.com/office/drawing/2014/main" id="{AC4E5307-D1EE-4453-8FEC-C41A03F7E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933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165" name="BEx5OESAY2W8SEGI3TSB65EHJ04B" descr="9CN2Y88X8WYV1HWZG1QILY9BK" hidden="1">
          <a:extLst>
            <a:ext uri="{FF2B5EF4-FFF2-40B4-BE49-F238E27FC236}">
              <a16:creationId xmlns:a16="http://schemas.microsoft.com/office/drawing/2014/main" id="{0C3A0B86-FB2A-403A-921C-DE23ED094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9144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47</xdr:row>
      <xdr:rowOff>0</xdr:rowOff>
    </xdr:from>
    <xdr:ext cx="123825" cy="123825"/>
    <xdr:pic>
      <xdr:nvPicPr>
        <xdr:cNvPr id="166" name="BExGMWEQ2BYRY9BAO5T1X850MJN1" descr="AZ9ST0XDIOP50HSUFO5V31BR0" hidden="1">
          <a:extLst>
            <a:ext uri="{FF2B5EF4-FFF2-40B4-BE49-F238E27FC236}">
              <a16:creationId xmlns:a16="http://schemas.microsoft.com/office/drawing/2014/main" id="{DC734BDB-916D-424D-8AA9-BCB892A22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895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56</xdr:row>
      <xdr:rowOff>9525</xdr:rowOff>
    </xdr:from>
    <xdr:ext cx="47625" cy="47625"/>
    <xdr:pic>
      <xdr:nvPicPr>
        <xdr:cNvPr id="167" name="BExMO7VFCN4EL59982UR4AJ25JNJ" descr="XX6TINEJADZGKR0CTM7ZRT0RA" hidden="1">
          <a:extLst>
            <a:ext uri="{FF2B5EF4-FFF2-40B4-BE49-F238E27FC236}">
              <a16:creationId xmlns:a16="http://schemas.microsoft.com/office/drawing/2014/main" id="{BFD673B1-E1E9-4CF1-8F9B-018B45AB0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56</xdr:row>
      <xdr:rowOff>85725</xdr:rowOff>
    </xdr:from>
    <xdr:ext cx="47625" cy="47625"/>
    <xdr:pic>
      <xdr:nvPicPr>
        <xdr:cNvPr id="168" name="BExU3EX5JJCXCII4YKUJBFBGIJR2" descr="OF5ZI9PI5WH36VPANJ2DYLNMI" hidden="1">
          <a:extLst>
            <a:ext uri="{FF2B5EF4-FFF2-40B4-BE49-F238E27FC236}">
              <a16:creationId xmlns:a16="http://schemas.microsoft.com/office/drawing/2014/main" id="{499CB459-6E10-4D3B-872E-67127C5AA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56</xdr:row>
      <xdr:rowOff>9525</xdr:rowOff>
    </xdr:from>
    <xdr:ext cx="47625" cy="47625"/>
    <xdr:pic>
      <xdr:nvPicPr>
        <xdr:cNvPr id="169" name="BEx1KD7H6UB1VYCJ7O61P562EIUY" descr="IQGV9140X0K0UPBL8OGU3I44J" hidden="1">
          <a:extLst>
            <a:ext uri="{FF2B5EF4-FFF2-40B4-BE49-F238E27FC236}">
              <a16:creationId xmlns:a16="http://schemas.microsoft.com/office/drawing/2014/main" id="{71A52E3D-77B4-4B7A-AA9B-59B8DB6B6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56</xdr:row>
      <xdr:rowOff>85725</xdr:rowOff>
    </xdr:from>
    <xdr:ext cx="47625" cy="47625"/>
    <xdr:pic>
      <xdr:nvPicPr>
        <xdr:cNvPr id="170" name="BEx5BJQWS6YWHH4ZMSUAMD641V6Y" descr="ZTMFMXCIQSECDX38ALEFHUB00" hidden="1">
          <a:extLst>
            <a:ext uri="{FF2B5EF4-FFF2-40B4-BE49-F238E27FC236}">
              <a16:creationId xmlns:a16="http://schemas.microsoft.com/office/drawing/2014/main" id="{5AE2983D-5D28-4E45-A434-A080725DC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56</xdr:row>
      <xdr:rowOff>9525</xdr:rowOff>
    </xdr:from>
    <xdr:ext cx="47625" cy="47625"/>
    <xdr:pic>
      <xdr:nvPicPr>
        <xdr:cNvPr id="171" name="BExVTO5Q8G2M7BPL4B2584LQS0R0" descr="OB6Q8NA4LZFE4GM9Y3V56BPMQ" hidden="1">
          <a:extLst>
            <a:ext uri="{FF2B5EF4-FFF2-40B4-BE49-F238E27FC236}">
              <a16:creationId xmlns:a16="http://schemas.microsoft.com/office/drawing/2014/main" id="{F2255C10-8430-4645-8AE0-2D4432EC2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56</xdr:row>
      <xdr:rowOff>85725</xdr:rowOff>
    </xdr:from>
    <xdr:ext cx="47625" cy="47625"/>
    <xdr:pic>
      <xdr:nvPicPr>
        <xdr:cNvPr id="172" name="BExIFSCLN1G86X78PFLTSMRP0US5" descr="9JK4SPV4DG7VTCZIILWHXQU5J" hidden="1">
          <a:extLst>
            <a:ext uri="{FF2B5EF4-FFF2-40B4-BE49-F238E27FC236}">
              <a16:creationId xmlns:a16="http://schemas.microsoft.com/office/drawing/2014/main" id="{72714F49-8D33-4A03-AD13-94A11F97D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56</xdr:row>
      <xdr:rowOff>9525</xdr:rowOff>
    </xdr:from>
    <xdr:ext cx="47625" cy="47625"/>
    <xdr:pic>
      <xdr:nvPicPr>
        <xdr:cNvPr id="173" name="BEx1I152WN2D3A85O2XN0DGXCWHN" descr="KHBZFMANRA4UMJR1AB4M5NJNT" hidden="1">
          <a:extLst>
            <a:ext uri="{FF2B5EF4-FFF2-40B4-BE49-F238E27FC236}">
              <a16:creationId xmlns:a16="http://schemas.microsoft.com/office/drawing/2014/main" id="{AF9F92AD-7C6D-4DBA-A2F1-FFD94E246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56</xdr:row>
      <xdr:rowOff>85725</xdr:rowOff>
    </xdr:from>
    <xdr:ext cx="47625" cy="47625"/>
    <xdr:pic>
      <xdr:nvPicPr>
        <xdr:cNvPr id="174" name="BExW9676P0SKCVKK25QCGHPA3PAD" descr="9A4PWZ20RMSRF0PNECCDM75CA" hidden="1">
          <a:extLst>
            <a:ext uri="{FF2B5EF4-FFF2-40B4-BE49-F238E27FC236}">
              <a16:creationId xmlns:a16="http://schemas.microsoft.com/office/drawing/2014/main" id="{E4BA2876-77CB-46FB-876D-288355C8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58</xdr:row>
      <xdr:rowOff>0</xdr:rowOff>
    </xdr:from>
    <xdr:ext cx="123825" cy="123825"/>
    <xdr:pic>
      <xdr:nvPicPr>
        <xdr:cNvPr id="175" name="BExW253QPOZK9KW8BJC3LBXGCG2N" descr="Y5HX37BEUWSN1NEFJKZJXI3SX" hidden="1">
          <a:extLst>
            <a:ext uri="{FF2B5EF4-FFF2-40B4-BE49-F238E27FC236}">
              <a16:creationId xmlns:a16="http://schemas.microsoft.com/office/drawing/2014/main" id="{E8A5F4FE-162F-44FE-A701-08E9CF2E4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1104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56</xdr:row>
      <xdr:rowOff>9525</xdr:rowOff>
    </xdr:from>
    <xdr:ext cx="47625" cy="47625"/>
    <xdr:pic>
      <xdr:nvPicPr>
        <xdr:cNvPr id="176" name="BExS5CPQ8P8JOQPK7ANNKHLSGOKU" hidden="1">
          <a:extLst>
            <a:ext uri="{FF2B5EF4-FFF2-40B4-BE49-F238E27FC236}">
              <a16:creationId xmlns:a16="http://schemas.microsoft.com/office/drawing/2014/main" id="{F949BCDC-5FE1-4C17-ABA1-E00C92C7E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56</xdr:row>
      <xdr:rowOff>85725</xdr:rowOff>
    </xdr:from>
    <xdr:ext cx="47625" cy="47625"/>
    <xdr:pic>
      <xdr:nvPicPr>
        <xdr:cNvPr id="177" name="BExMM0AVUAIRNJLXB1FW8R0YB4ZZ" hidden="1">
          <a:extLst>
            <a:ext uri="{FF2B5EF4-FFF2-40B4-BE49-F238E27FC236}">
              <a16:creationId xmlns:a16="http://schemas.microsoft.com/office/drawing/2014/main" id="{A626C349-CD5C-4F36-A1EB-164869F27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56</xdr:row>
      <xdr:rowOff>9525</xdr:rowOff>
    </xdr:from>
    <xdr:ext cx="47625" cy="47625"/>
    <xdr:pic>
      <xdr:nvPicPr>
        <xdr:cNvPr id="178" name="BExXZ7Y09CBS0XA7IPB3IRJ8RJM4" hidden="1">
          <a:extLst>
            <a:ext uri="{FF2B5EF4-FFF2-40B4-BE49-F238E27FC236}">
              <a16:creationId xmlns:a16="http://schemas.microsoft.com/office/drawing/2014/main" id="{A35A01E7-59A5-4415-A053-C1E40E50E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56</xdr:row>
      <xdr:rowOff>85725</xdr:rowOff>
    </xdr:from>
    <xdr:ext cx="47625" cy="47625"/>
    <xdr:pic>
      <xdr:nvPicPr>
        <xdr:cNvPr id="179" name="BExQ7SXS9VUG7P6CACU2J7R2SGIZ" hidden="1">
          <a:extLst>
            <a:ext uri="{FF2B5EF4-FFF2-40B4-BE49-F238E27FC236}">
              <a16:creationId xmlns:a16="http://schemas.microsoft.com/office/drawing/2014/main" id="{18F8C7EC-D65F-4E46-969C-EA8697545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56</xdr:row>
      <xdr:rowOff>9525</xdr:rowOff>
    </xdr:from>
    <xdr:ext cx="47625" cy="47625"/>
    <xdr:pic>
      <xdr:nvPicPr>
        <xdr:cNvPr id="180" name="BEx5AQZ4ETQ9LMY5EBWVH20Z7VXQ" hidden="1">
          <a:extLst>
            <a:ext uri="{FF2B5EF4-FFF2-40B4-BE49-F238E27FC236}">
              <a16:creationId xmlns:a16="http://schemas.microsoft.com/office/drawing/2014/main" id="{D6BBA9B2-3ED7-48EB-9CCC-EF83DAE5F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56</xdr:row>
      <xdr:rowOff>85725</xdr:rowOff>
    </xdr:from>
    <xdr:ext cx="47625" cy="47625"/>
    <xdr:pic>
      <xdr:nvPicPr>
        <xdr:cNvPr id="181" name="BExUBK0YZ5VYFY8TTITJGJU9S06A" hidden="1">
          <a:extLst>
            <a:ext uri="{FF2B5EF4-FFF2-40B4-BE49-F238E27FC236}">
              <a16:creationId xmlns:a16="http://schemas.microsoft.com/office/drawing/2014/main" id="{63B95CC1-CB56-483E-9B1C-4517E5D4F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56</xdr:row>
      <xdr:rowOff>9525</xdr:rowOff>
    </xdr:from>
    <xdr:ext cx="47625" cy="47625"/>
    <xdr:pic>
      <xdr:nvPicPr>
        <xdr:cNvPr id="182" name="BExUEZCSSJ7RN4J18I2NUIQR2FZS" hidden="1">
          <a:extLst>
            <a:ext uri="{FF2B5EF4-FFF2-40B4-BE49-F238E27FC236}">
              <a16:creationId xmlns:a16="http://schemas.microsoft.com/office/drawing/2014/main" id="{37066F58-F444-4B25-831D-CBC4D4299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10677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56</xdr:row>
      <xdr:rowOff>85725</xdr:rowOff>
    </xdr:from>
    <xdr:ext cx="47625" cy="47625"/>
    <xdr:pic>
      <xdr:nvPicPr>
        <xdr:cNvPr id="183" name="BExS3JDQWF7U3F5JTEVOE16ASIYK" hidden="1">
          <a:extLst>
            <a:ext uri="{FF2B5EF4-FFF2-40B4-BE49-F238E27FC236}">
              <a16:creationId xmlns:a16="http://schemas.microsoft.com/office/drawing/2014/main" id="{F86B97A7-375D-42F8-8188-6336E062A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10753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59</xdr:row>
      <xdr:rowOff>0</xdr:rowOff>
    </xdr:from>
    <xdr:ext cx="123825" cy="123825"/>
    <xdr:pic>
      <xdr:nvPicPr>
        <xdr:cNvPr id="184" name="BEx973S463FCQVJ7QDFBUIU0WJ3F" descr="ZQTVYL8DCSADVT0QMRXFLU0TR" hidden="1">
          <a:extLst>
            <a:ext uri="{FF2B5EF4-FFF2-40B4-BE49-F238E27FC236}">
              <a16:creationId xmlns:a16="http://schemas.microsoft.com/office/drawing/2014/main" id="{0D5ADFBD-7D11-49E7-B306-82AD386EB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11239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58</xdr:row>
      <xdr:rowOff>0</xdr:rowOff>
    </xdr:from>
    <xdr:ext cx="123825" cy="123825"/>
    <xdr:pic>
      <xdr:nvPicPr>
        <xdr:cNvPr id="185" name="BEx5FXJGJOT93D0J2IRJ3985IUMI" hidden="1">
          <a:extLst>
            <a:ext uri="{FF2B5EF4-FFF2-40B4-BE49-F238E27FC236}">
              <a16:creationId xmlns:a16="http://schemas.microsoft.com/office/drawing/2014/main" id="{4A9F158A-C8D7-4B90-B911-65B889659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04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57</xdr:row>
      <xdr:rowOff>0</xdr:rowOff>
    </xdr:from>
    <xdr:ext cx="123825" cy="123825"/>
    <xdr:pic>
      <xdr:nvPicPr>
        <xdr:cNvPr id="186" name="BEx3RTMHAR35NUAAK49TV6NU7EPA" descr="QFXLG4ZCXTRQSJYFCKJ58G9N8" hidden="1">
          <a:extLst>
            <a:ext uri="{FF2B5EF4-FFF2-40B4-BE49-F238E27FC236}">
              <a16:creationId xmlns:a16="http://schemas.microsoft.com/office/drawing/2014/main" id="{7B78F23E-2854-451A-9AD9-B36AB9B91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0858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60</xdr:row>
      <xdr:rowOff>0</xdr:rowOff>
    </xdr:from>
    <xdr:ext cx="123825" cy="123825"/>
    <xdr:pic>
      <xdr:nvPicPr>
        <xdr:cNvPr id="187" name="BExS8T38WLC2R738ZC7BDJQAKJAJ" descr="MRI962L5PB0E0YWXCIBN82VJH" hidden="1">
          <a:extLst>
            <a:ext uri="{FF2B5EF4-FFF2-40B4-BE49-F238E27FC236}">
              <a16:creationId xmlns:a16="http://schemas.microsoft.com/office/drawing/2014/main" id="{F275C8A8-8FF2-406C-B9BC-FE9923EC3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11430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58</xdr:row>
      <xdr:rowOff>0</xdr:rowOff>
    </xdr:from>
    <xdr:ext cx="123825" cy="123825"/>
    <xdr:pic>
      <xdr:nvPicPr>
        <xdr:cNvPr id="188" name="BEx5F64BJ6DCM4EJH81D5ZFNPZ0V" descr="7DJ9FILZD2YPS6X1JBP9E76TU" hidden="1">
          <a:extLst>
            <a:ext uri="{FF2B5EF4-FFF2-40B4-BE49-F238E27FC236}">
              <a16:creationId xmlns:a16="http://schemas.microsoft.com/office/drawing/2014/main" id="{B6FA8EB3-6408-4035-ABC5-D5840FFCB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04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58</xdr:row>
      <xdr:rowOff>0</xdr:rowOff>
    </xdr:from>
    <xdr:ext cx="123825" cy="123825"/>
    <xdr:pic>
      <xdr:nvPicPr>
        <xdr:cNvPr id="189" name="BExQEXXHA3EEXR44LT6RKCDWM6ZT" hidden="1">
          <a:extLst>
            <a:ext uri="{FF2B5EF4-FFF2-40B4-BE49-F238E27FC236}">
              <a16:creationId xmlns:a16="http://schemas.microsoft.com/office/drawing/2014/main" id="{55E40B60-0894-4F0B-A0AB-887FB75AC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04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62</xdr:row>
      <xdr:rowOff>0</xdr:rowOff>
    </xdr:from>
    <xdr:ext cx="123825" cy="123825"/>
    <xdr:pic>
      <xdr:nvPicPr>
        <xdr:cNvPr id="190" name="BEx1X6AMHV6ZK3UJB2BXIJTJHYJU" descr="OALR4L95ELQLZ1Y1LETHM1CS9" hidden="1">
          <a:extLst>
            <a:ext uri="{FF2B5EF4-FFF2-40B4-BE49-F238E27FC236}">
              <a16:creationId xmlns:a16="http://schemas.microsoft.com/office/drawing/2014/main" id="{F2B7B867-8DFC-4328-A644-3FAB243F2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1181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57</xdr:row>
      <xdr:rowOff>0</xdr:rowOff>
    </xdr:from>
    <xdr:ext cx="123825" cy="123825"/>
    <xdr:pic>
      <xdr:nvPicPr>
        <xdr:cNvPr id="191" name="BExSDIVCE09QKG3CT52PHCS6ZJ09" descr="9F076L7EQCF2COMMGCQG6BQGU" hidden="1">
          <a:extLst>
            <a:ext uri="{FF2B5EF4-FFF2-40B4-BE49-F238E27FC236}">
              <a16:creationId xmlns:a16="http://schemas.microsoft.com/office/drawing/2014/main" id="{6C81ABDF-3364-4289-B982-7AF4CCDC6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0858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65</xdr:row>
      <xdr:rowOff>0</xdr:rowOff>
    </xdr:from>
    <xdr:ext cx="123825" cy="123825"/>
    <xdr:pic>
      <xdr:nvPicPr>
        <xdr:cNvPr id="192" name="BExS343F8GCKP6HTF9Y97L133DX8" descr="ZRF0KB1IYQSNV63CTXT25G67G" hidden="1">
          <a:extLst>
            <a:ext uri="{FF2B5EF4-FFF2-40B4-BE49-F238E27FC236}">
              <a16:creationId xmlns:a16="http://schemas.microsoft.com/office/drawing/2014/main" id="{50A65599-1FF7-4941-8A86-DED9234AF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238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64</xdr:row>
      <xdr:rowOff>0</xdr:rowOff>
    </xdr:from>
    <xdr:ext cx="123825" cy="123825"/>
    <xdr:pic>
      <xdr:nvPicPr>
        <xdr:cNvPr id="193" name="BExZMRC09W87CY4B73NPZMNH21AH" descr="78CUMI0OVLYJRSDRQ3V2YX812" hidden="1">
          <a:extLst>
            <a:ext uri="{FF2B5EF4-FFF2-40B4-BE49-F238E27FC236}">
              <a16:creationId xmlns:a16="http://schemas.microsoft.com/office/drawing/2014/main" id="{A8C72D9E-7EC4-4D9A-A54B-0AF58C485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219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63</xdr:row>
      <xdr:rowOff>9525</xdr:rowOff>
    </xdr:from>
    <xdr:ext cx="123825" cy="123825"/>
    <xdr:pic>
      <xdr:nvPicPr>
        <xdr:cNvPr id="194" name="BExZXVFJ4DY4I24AARDT4AMP6EN1" descr="TXSMH2MTH86CYKA26740RQPUC" hidden="1">
          <a:extLst>
            <a:ext uri="{FF2B5EF4-FFF2-40B4-BE49-F238E27FC236}">
              <a16:creationId xmlns:a16="http://schemas.microsoft.com/office/drawing/2014/main" id="{C2D2A4AE-CEA4-4C1D-B27E-D510B327A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2011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62</xdr:row>
      <xdr:rowOff>0</xdr:rowOff>
    </xdr:from>
    <xdr:ext cx="123825" cy="123825"/>
    <xdr:pic>
      <xdr:nvPicPr>
        <xdr:cNvPr id="195" name="BExOCUIOFQWUGTBU5ESTW3EYEP5C" descr="9BNF49V0R6VVYPHEVMJ3ABDQZ" hidden="1">
          <a:extLst>
            <a:ext uri="{FF2B5EF4-FFF2-40B4-BE49-F238E27FC236}">
              <a16:creationId xmlns:a16="http://schemas.microsoft.com/office/drawing/2014/main" id="{68871386-42C3-4FF8-8ED8-038978FE6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81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61</xdr:row>
      <xdr:rowOff>0</xdr:rowOff>
    </xdr:from>
    <xdr:ext cx="123825" cy="123825"/>
    <xdr:pic>
      <xdr:nvPicPr>
        <xdr:cNvPr id="196" name="BExU65O9OE4B4MQ2A3OYH13M8BZJ" descr="3INNIMMPDBB0JF37L81M6ID21" hidden="1">
          <a:extLst>
            <a:ext uri="{FF2B5EF4-FFF2-40B4-BE49-F238E27FC236}">
              <a16:creationId xmlns:a16="http://schemas.microsoft.com/office/drawing/2014/main" id="{ACAA9E16-CBA4-407B-815A-9F0D16D0C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620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60</xdr:row>
      <xdr:rowOff>0</xdr:rowOff>
    </xdr:from>
    <xdr:ext cx="123825" cy="123825"/>
    <xdr:pic>
      <xdr:nvPicPr>
        <xdr:cNvPr id="197" name="BExOPRCR0UW7TKXSV5WDTL348FGL" descr="S9JM17GP1802LHN4GT14BJYIC" hidden="1">
          <a:extLst>
            <a:ext uri="{FF2B5EF4-FFF2-40B4-BE49-F238E27FC236}">
              <a16:creationId xmlns:a16="http://schemas.microsoft.com/office/drawing/2014/main" id="{3863B1DF-3A0C-4869-AB7C-11489602D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430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59</xdr:row>
      <xdr:rowOff>0</xdr:rowOff>
    </xdr:from>
    <xdr:ext cx="123825" cy="123825"/>
    <xdr:pic>
      <xdr:nvPicPr>
        <xdr:cNvPr id="198" name="BEx5OESAY2W8SEGI3TSB65EHJ04B" descr="9CN2Y88X8WYV1HWZG1QILY9BK" hidden="1">
          <a:extLst>
            <a:ext uri="{FF2B5EF4-FFF2-40B4-BE49-F238E27FC236}">
              <a16:creationId xmlns:a16="http://schemas.microsoft.com/office/drawing/2014/main" id="{1AEBD76B-8EAF-4453-8504-311E0DC4A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239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58</xdr:row>
      <xdr:rowOff>0</xdr:rowOff>
    </xdr:from>
    <xdr:ext cx="123825" cy="123825"/>
    <xdr:pic>
      <xdr:nvPicPr>
        <xdr:cNvPr id="199" name="BExGMWEQ2BYRY9BAO5T1X850MJN1" descr="AZ9ST0XDIOP50HSUFO5V31BR0" hidden="1">
          <a:extLst>
            <a:ext uri="{FF2B5EF4-FFF2-40B4-BE49-F238E27FC236}">
              <a16:creationId xmlns:a16="http://schemas.microsoft.com/office/drawing/2014/main" id="{B5391B8A-C848-4769-8F10-B3D1A2030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104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67</xdr:row>
      <xdr:rowOff>9525</xdr:rowOff>
    </xdr:from>
    <xdr:ext cx="47625" cy="47625"/>
    <xdr:pic>
      <xdr:nvPicPr>
        <xdr:cNvPr id="200" name="BExMO7VFCN4EL59982UR4AJ25JNJ" descr="XX6TINEJADZGKR0CTM7ZRT0RA" hidden="1">
          <a:extLst>
            <a:ext uri="{FF2B5EF4-FFF2-40B4-BE49-F238E27FC236}">
              <a16:creationId xmlns:a16="http://schemas.microsoft.com/office/drawing/2014/main" id="{7545CBC2-BD21-4FFB-A907-EFFD112EF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2773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67</xdr:row>
      <xdr:rowOff>85725</xdr:rowOff>
    </xdr:from>
    <xdr:ext cx="47625" cy="47625"/>
    <xdr:pic>
      <xdr:nvPicPr>
        <xdr:cNvPr id="201" name="BExU3EX5JJCXCII4YKUJBFBGIJR2" descr="OF5ZI9PI5WH36VPANJ2DYLNMI" hidden="1">
          <a:extLst>
            <a:ext uri="{FF2B5EF4-FFF2-40B4-BE49-F238E27FC236}">
              <a16:creationId xmlns:a16="http://schemas.microsoft.com/office/drawing/2014/main" id="{E0836040-78D8-4517-9E0F-CBDA7AB33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2849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67</xdr:row>
      <xdr:rowOff>9525</xdr:rowOff>
    </xdr:from>
    <xdr:ext cx="47625" cy="47625"/>
    <xdr:pic>
      <xdr:nvPicPr>
        <xdr:cNvPr id="202" name="BEx1KD7H6UB1VYCJ7O61P562EIUY" descr="IQGV9140X0K0UPBL8OGU3I44J" hidden="1">
          <a:extLst>
            <a:ext uri="{FF2B5EF4-FFF2-40B4-BE49-F238E27FC236}">
              <a16:creationId xmlns:a16="http://schemas.microsoft.com/office/drawing/2014/main" id="{DFF27301-E51A-4F4D-AD05-8900F7CB3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12773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67</xdr:row>
      <xdr:rowOff>85725</xdr:rowOff>
    </xdr:from>
    <xdr:ext cx="47625" cy="47625"/>
    <xdr:pic>
      <xdr:nvPicPr>
        <xdr:cNvPr id="203" name="BEx5BJQWS6YWHH4ZMSUAMD641V6Y" descr="ZTMFMXCIQSECDX38ALEFHUB00" hidden="1">
          <a:extLst>
            <a:ext uri="{FF2B5EF4-FFF2-40B4-BE49-F238E27FC236}">
              <a16:creationId xmlns:a16="http://schemas.microsoft.com/office/drawing/2014/main" id="{835F2DD1-4418-49F6-92E2-C408E53E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12849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67</xdr:row>
      <xdr:rowOff>9525</xdr:rowOff>
    </xdr:from>
    <xdr:ext cx="47625" cy="47625"/>
    <xdr:pic>
      <xdr:nvPicPr>
        <xdr:cNvPr id="204" name="BExVTO5Q8G2M7BPL4B2584LQS0R0" descr="OB6Q8NA4LZFE4GM9Y3V56BPMQ" hidden="1">
          <a:extLst>
            <a:ext uri="{FF2B5EF4-FFF2-40B4-BE49-F238E27FC236}">
              <a16:creationId xmlns:a16="http://schemas.microsoft.com/office/drawing/2014/main" id="{15397A53-6F5B-46F5-A2DE-D14D01E06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12773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67</xdr:row>
      <xdr:rowOff>85725</xdr:rowOff>
    </xdr:from>
    <xdr:ext cx="47625" cy="47625"/>
    <xdr:pic>
      <xdr:nvPicPr>
        <xdr:cNvPr id="205" name="BExIFSCLN1G86X78PFLTSMRP0US5" descr="9JK4SPV4DG7VTCZIILWHXQU5J" hidden="1">
          <a:extLst>
            <a:ext uri="{FF2B5EF4-FFF2-40B4-BE49-F238E27FC236}">
              <a16:creationId xmlns:a16="http://schemas.microsoft.com/office/drawing/2014/main" id="{E6F0BD50-88C2-436A-9ADE-2E8A6A2D7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12849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67</xdr:row>
      <xdr:rowOff>9525</xdr:rowOff>
    </xdr:from>
    <xdr:ext cx="47625" cy="47625"/>
    <xdr:pic>
      <xdr:nvPicPr>
        <xdr:cNvPr id="206" name="BEx1I152WN2D3A85O2XN0DGXCWHN" descr="KHBZFMANRA4UMJR1AB4M5NJNT" hidden="1">
          <a:extLst>
            <a:ext uri="{FF2B5EF4-FFF2-40B4-BE49-F238E27FC236}">
              <a16:creationId xmlns:a16="http://schemas.microsoft.com/office/drawing/2014/main" id="{5908A6BF-139C-4B2E-9E31-12AA86F9D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2773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67</xdr:row>
      <xdr:rowOff>85725</xdr:rowOff>
    </xdr:from>
    <xdr:ext cx="47625" cy="47625"/>
    <xdr:pic>
      <xdr:nvPicPr>
        <xdr:cNvPr id="207" name="BExW9676P0SKCVKK25QCGHPA3PAD" descr="9A4PWZ20RMSRF0PNECCDM75CA" hidden="1">
          <a:extLst>
            <a:ext uri="{FF2B5EF4-FFF2-40B4-BE49-F238E27FC236}">
              <a16:creationId xmlns:a16="http://schemas.microsoft.com/office/drawing/2014/main" id="{B438B423-E7D9-4A8C-91DD-A16D9577F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2849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69</xdr:row>
      <xdr:rowOff>0</xdr:rowOff>
    </xdr:from>
    <xdr:ext cx="123825" cy="123825"/>
    <xdr:pic>
      <xdr:nvPicPr>
        <xdr:cNvPr id="208" name="BExW253QPOZK9KW8BJC3LBXGCG2N" descr="Y5HX37BEUWSN1NEFJKZJXI3SX" hidden="1">
          <a:extLst>
            <a:ext uri="{FF2B5EF4-FFF2-40B4-BE49-F238E27FC236}">
              <a16:creationId xmlns:a16="http://schemas.microsoft.com/office/drawing/2014/main" id="{55A83877-AC0A-449B-ADE9-68F7C73AD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1314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67</xdr:row>
      <xdr:rowOff>9525</xdr:rowOff>
    </xdr:from>
    <xdr:ext cx="47625" cy="47625"/>
    <xdr:pic>
      <xdr:nvPicPr>
        <xdr:cNvPr id="209" name="BExS5CPQ8P8JOQPK7ANNKHLSGOKU" hidden="1">
          <a:extLst>
            <a:ext uri="{FF2B5EF4-FFF2-40B4-BE49-F238E27FC236}">
              <a16:creationId xmlns:a16="http://schemas.microsoft.com/office/drawing/2014/main" id="{0B0E6711-B1E7-44F9-A822-7B2A4E858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2773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67</xdr:row>
      <xdr:rowOff>85725</xdr:rowOff>
    </xdr:from>
    <xdr:ext cx="47625" cy="47625"/>
    <xdr:pic>
      <xdr:nvPicPr>
        <xdr:cNvPr id="210" name="BExMM0AVUAIRNJLXB1FW8R0YB4ZZ" hidden="1">
          <a:extLst>
            <a:ext uri="{FF2B5EF4-FFF2-40B4-BE49-F238E27FC236}">
              <a16:creationId xmlns:a16="http://schemas.microsoft.com/office/drawing/2014/main" id="{580E0140-8DC2-40DB-8BC0-5D646476B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2849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67</xdr:row>
      <xdr:rowOff>9525</xdr:rowOff>
    </xdr:from>
    <xdr:ext cx="47625" cy="47625"/>
    <xdr:pic>
      <xdr:nvPicPr>
        <xdr:cNvPr id="211" name="BExXZ7Y09CBS0XA7IPB3IRJ8RJM4" hidden="1">
          <a:extLst>
            <a:ext uri="{FF2B5EF4-FFF2-40B4-BE49-F238E27FC236}">
              <a16:creationId xmlns:a16="http://schemas.microsoft.com/office/drawing/2014/main" id="{94C46B58-C510-40CC-B27A-1A804470E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2773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67</xdr:row>
      <xdr:rowOff>85725</xdr:rowOff>
    </xdr:from>
    <xdr:ext cx="47625" cy="47625"/>
    <xdr:pic>
      <xdr:nvPicPr>
        <xdr:cNvPr id="212" name="BExQ7SXS9VUG7P6CACU2J7R2SGIZ" hidden="1">
          <a:extLst>
            <a:ext uri="{FF2B5EF4-FFF2-40B4-BE49-F238E27FC236}">
              <a16:creationId xmlns:a16="http://schemas.microsoft.com/office/drawing/2014/main" id="{870C1794-F8BE-4ED0-B188-6CABDDD1B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2849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67</xdr:row>
      <xdr:rowOff>9525</xdr:rowOff>
    </xdr:from>
    <xdr:ext cx="47625" cy="47625"/>
    <xdr:pic>
      <xdr:nvPicPr>
        <xdr:cNvPr id="213" name="BEx5AQZ4ETQ9LMY5EBWVH20Z7VXQ" hidden="1">
          <a:extLst>
            <a:ext uri="{FF2B5EF4-FFF2-40B4-BE49-F238E27FC236}">
              <a16:creationId xmlns:a16="http://schemas.microsoft.com/office/drawing/2014/main" id="{191B6DFB-970A-4B88-A304-732C7F991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12773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67</xdr:row>
      <xdr:rowOff>85725</xdr:rowOff>
    </xdr:from>
    <xdr:ext cx="47625" cy="47625"/>
    <xdr:pic>
      <xdr:nvPicPr>
        <xdr:cNvPr id="214" name="BExUBK0YZ5VYFY8TTITJGJU9S06A" hidden="1">
          <a:extLst>
            <a:ext uri="{FF2B5EF4-FFF2-40B4-BE49-F238E27FC236}">
              <a16:creationId xmlns:a16="http://schemas.microsoft.com/office/drawing/2014/main" id="{E7A6DC81-341D-4DFC-BF64-7DEBB5BD4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12849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67</xdr:row>
      <xdr:rowOff>9525</xdr:rowOff>
    </xdr:from>
    <xdr:ext cx="47625" cy="47625"/>
    <xdr:pic>
      <xdr:nvPicPr>
        <xdr:cNvPr id="215" name="BExUEZCSSJ7RN4J18I2NUIQR2FZS" hidden="1">
          <a:extLst>
            <a:ext uri="{FF2B5EF4-FFF2-40B4-BE49-F238E27FC236}">
              <a16:creationId xmlns:a16="http://schemas.microsoft.com/office/drawing/2014/main" id="{1357881C-F57C-4B60-88EC-3BBCA6980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12773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67</xdr:row>
      <xdr:rowOff>85725</xdr:rowOff>
    </xdr:from>
    <xdr:ext cx="47625" cy="47625"/>
    <xdr:pic>
      <xdr:nvPicPr>
        <xdr:cNvPr id="216" name="BExS3JDQWF7U3F5JTEVOE16ASIYK" hidden="1">
          <a:extLst>
            <a:ext uri="{FF2B5EF4-FFF2-40B4-BE49-F238E27FC236}">
              <a16:creationId xmlns:a16="http://schemas.microsoft.com/office/drawing/2014/main" id="{644C479E-8510-4CF9-835B-5EEEABDF7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12849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70</xdr:row>
      <xdr:rowOff>0</xdr:rowOff>
    </xdr:from>
    <xdr:ext cx="123825" cy="123825"/>
    <xdr:pic>
      <xdr:nvPicPr>
        <xdr:cNvPr id="217" name="BEx973S463FCQVJ7QDFBUIU0WJ3F" descr="ZQTVYL8DCSADVT0QMRXFLU0TR" hidden="1">
          <a:extLst>
            <a:ext uri="{FF2B5EF4-FFF2-40B4-BE49-F238E27FC236}">
              <a16:creationId xmlns:a16="http://schemas.microsoft.com/office/drawing/2014/main" id="{CE8EB120-D91D-4126-848C-E3091B30B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13335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69</xdr:row>
      <xdr:rowOff>0</xdr:rowOff>
    </xdr:from>
    <xdr:ext cx="123825" cy="123825"/>
    <xdr:pic>
      <xdr:nvPicPr>
        <xdr:cNvPr id="218" name="BEx5FXJGJOT93D0J2IRJ3985IUMI" hidden="1">
          <a:extLst>
            <a:ext uri="{FF2B5EF4-FFF2-40B4-BE49-F238E27FC236}">
              <a16:creationId xmlns:a16="http://schemas.microsoft.com/office/drawing/2014/main" id="{4569BB5D-958C-4DDC-89C6-8954D87F5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314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68</xdr:row>
      <xdr:rowOff>0</xdr:rowOff>
    </xdr:from>
    <xdr:ext cx="123825" cy="123825"/>
    <xdr:pic>
      <xdr:nvPicPr>
        <xdr:cNvPr id="219" name="BEx3RTMHAR35NUAAK49TV6NU7EPA" descr="QFXLG4ZCXTRQSJYFCKJ58G9N8" hidden="1">
          <a:extLst>
            <a:ext uri="{FF2B5EF4-FFF2-40B4-BE49-F238E27FC236}">
              <a16:creationId xmlns:a16="http://schemas.microsoft.com/office/drawing/2014/main" id="{08C6127E-20A0-4182-B79D-69DADE663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2954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71</xdr:row>
      <xdr:rowOff>0</xdr:rowOff>
    </xdr:from>
    <xdr:ext cx="123825" cy="123825"/>
    <xdr:pic>
      <xdr:nvPicPr>
        <xdr:cNvPr id="220" name="BExS8T38WLC2R738ZC7BDJQAKJAJ" descr="MRI962L5PB0E0YWXCIBN82VJH" hidden="1">
          <a:extLst>
            <a:ext uri="{FF2B5EF4-FFF2-40B4-BE49-F238E27FC236}">
              <a16:creationId xmlns:a16="http://schemas.microsoft.com/office/drawing/2014/main" id="{22AA32AE-E802-4EE1-B6C4-E185B4F79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1352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69</xdr:row>
      <xdr:rowOff>0</xdr:rowOff>
    </xdr:from>
    <xdr:ext cx="123825" cy="123825"/>
    <xdr:pic>
      <xdr:nvPicPr>
        <xdr:cNvPr id="221" name="BEx5F64BJ6DCM4EJH81D5ZFNPZ0V" descr="7DJ9FILZD2YPS6X1JBP9E76TU" hidden="1">
          <a:extLst>
            <a:ext uri="{FF2B5EF4-FFF2-40B4-BE49-F238E27FC236}">
              <a16:creationId xmlns:a16="http://schemas.microsoft.com/office/drawing/2014/main" id="{A44BB9DF-0AFC-4CFD-A913-59A7A1A08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314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69</xdr:row>
      <xdr:rowOff>0</xdr:rowOff>
    </xdr:from>
    <xdr:ext cx="123825" cy="123825"/>
    <xdr:pic>
      <xdr:nvPicPr>
        <xdr:cNvPr id="222" name="BExQEXXHA3EEXR44LT6RKCDWM6ZT" hidden="1">
          <a:extLst>
            <a:ext uri="{FF2B5EF4-FFF2-40B4-BE49-F238E27FC236}">
              <a16:creationId xmlns:a16="http://schemas.microsoft.com/office/drawing/2014/main" id="{9AF69078-CE50-4E45-BA52-8687055EC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314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73</xdr:row>
      <xdr:rowOff>0</xdr:rowOff>
    </xdr:from>
    <xdr:ext cx="123825" cy="123825"/>
    <xdr:pic>
      <xdr:nvPicPr>
        <xdr:cNvPr id="223" name="BEx1X6AMHV6ZK3UJB2BXIJTJHYJU" descr="OALR4L95ELQLZ1Y1LETHM1CS9" hidden="1">
          <a:extLst>
            <a:ext uri="{FF2B5EF4-FFF2-40B4-BE49-F238E27FC236}">
              <a16:creationId xmlns:a16="http://schemas.microsoft.com/office/drawing/2014/main" id="{39DCC413-348F-4AB3-8AC6-7EAE82E32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1390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68</xdr:row>
      <xdr:rowOff>0</xdr:rowOff>
    </xdr:from>
    <xdr:ext cx="123825" cy="123825"/>
    <xdr:pic>
      <xdr:nvPicPr>
        <xdr:cNvPr id="224" name="BExSDIVCE09QKG3CT52PHCS6ZJ09" descr="9F076L7EQCF2COMMGCQG6BQGU" hidden="1">
          <a:extLst>
            <a:ext uri="{FF2B5EF4-FFF2-40B4-BE49-F238E27FC236}">
              <a16:creationId xmlns:a16="http://schemas.microsoft.com/office/drawing/2014/main" id="{DBE0D171-FDDD-4780-A97B-C0FA2EFC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2954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76</xdr:row>
      <xdr:rowOff>0</xdr:rowOff>
    </xdr:from>
    <xdr:ext cx="123825" cy="123825"/>
    <xdr:pic>
      <xdr:nvPicPr>
        <xdr:cNvPr id="225" name="BExS343F8GCKP6HTF9Y97L133DX8" descr="ZRF0KB1IYQSNV63CTXT25G67G" hidden="1">
          <a:extLst>
            <a:ext uri="{FF2B5EF4-FFF2-40B4-BE49-F238E27FC236}">
              <a16:creationId xmlns:a16="http://schemas.microsoft.com/office/drawing/2014/main" id="{741A6238-1AF6-49C8-A28F-7ADDBA63F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4478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75</xdr:row>
      <xdr:rowOff>0</xdr:rowOff>
    </xdr:from>
    <xdr:ext cx="123825" cy="123825"/>
    <xdr:pic>
      <xdr:nvPicPr>
        <xdr:cNvPr id="226" name="BExZMRC09W87CY4B73NPZMNH21AH" descr="78CUMI0OVLYJRSDRQ3V2YX812" hidden="1">
          <a:extLst>
            <a:ext uri="{FF2B5EF4-FFF2-40B4-BE49-F238E27FC236}">
              <a16:creationId xmlns:a16="http://schemas.microsoft.com/office/drawing/2014/main" id="{C65BB154-EE61-4FB5-8109-39D7B84A3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4287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74</xdr:row>
      <xdr:rowOff>9525</xdr:rowOff>
    </xdr:from>
    <xdr:ext cx="123825" cy="123825"/>
    <xdr:pic>
      <xdr:nvPicPr>
        <xdr:cNvPr id="227" name="BExZXVFJ4DY4I24AARDT4AMP6EN1" descr="TXSMH2MTH86CYKA26740RQPUC" hidden="1">
          <a:extLst>
            <a:ext uri="{FF2B5EF4-FFF2-40B4-BE49-F238E27FC236}">
              <a16:creationId xmlns:a16="http://schemas.microsoft.com/office/drawing/2014/main" id="{C68FC1E3-A549-4CF0-9A81-D2808F562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4106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73</xdr:row>
      <xdr:rowOff>0</xdr:rowOff>
    </xdr:from>
    <xdr:ext cx="123825" cy="123825"/>
    <xdr:pic>
      <xdr:nvPicPr>
        <xdr:cNvPr id="228" name="BExOCUIOFQWUGTBU5ESTW3EYEP5C" descr="9BNF49V0R6VVYPHEVMJ3ABDQZ" hidden="1">
          <a:extLst>
            <a:ext uri="{FF2B5EF4-FFF2-40B4-BE49-F238E27FC236}">
              <a16:creationId xmlns:a16="http://schemas.microsoft.com/office/drawing/2014/main" id="{1A9AF090-88DB-4CFD-80A1-060A151C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390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72</xdr:row>
      <xdr:rowOff>0</xdr:rowOff>
    </xdr:from>
    <xdr:ext cx="123825" cy="123825"/>
    <xdr:pic>
      <xdr:nvPicPr>
        <xdr:cNvPr id="229" name="BExU65O9OE4B4MQ2A3OYH13M8BZJ" descr="3INNIMMPDBB0JF37L81M6ID21" hidden="1">
          <a:extLst>
            <a:ext uri="{FF2B5EF4-FFF2-40B4-BE49-F238E27FC236}">
              <a16:creationId xmlns:a16="http://schemas.microsoft.com/office/drawing/2014/main" id="{78739FC2-01A0-42D3-B2A0-421CA5D82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3716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71</xdr:row>
      <xdr:rowOff>0</xdr:rowOff>
    </xdr:from>
    <xdr:ext cx="123825" cy="123825"/>
    <xdr:pic>
      <xdr:nvPicPr>
        <xdr:cNvPr id="230" name="BExOPRCR0UW7TKXSV5WDTL348FGL" descr="S9JM17GP1802LHN4GT14BJYIC" hidden="1">
          <a:extLst>
            <a:ext uri="{FF2B5EF4-FFF2-40B4-BE49-F238E27FC236}">
              <a16:creationId xmlns:a16="http://schemas.microsoft.com/office/drawing/2014/main" id="{8A9E2E0A-D3D5-4122-A683-C8D7B15A6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352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70</xdr:row>
      <xdr:rowOff>0</xdr:rowOff>
    </xdr:from>
    <xdr:ext cx="123825" cy="123825"/>
    <xdr:pic>
      <xdr:nvPicPr>
        <xdr:cNvPr id="231" name="BEx5OESAY2W8SEGI3TSB65EHJ04B" descr="9CN2Y88X8WYV1HWZG1QILY9BK" hidden="1">
          <a:extLst>
            <a:ext uri="{FF2B5EF4-FFF2-40B4-BE49-F238E27FC236}">
              <a16:creationId xmlns:a16="http://schemas.microsoft.com/office/drawing/2014/main" id="{78676571-2523-414F-B4BC-5F0313913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3335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69</xdr:row>
      <xdr:rowOff>0</xdr:rowOff>
    </xdr:from>
    <xdr:ext cx="123825" cy="123825"/>
    <xdr:pic>
      <xdr:nvPicPr>
        <xdr:cNvPr id="232" name="BExGMWEQ2BYRY9BAO5T1X850MJN1" descr="AZ9ST0XDIOP50HSUFO5V31BR0" hidden="1">
          <a:extLst>
            <a:ext uri="{FF2B5EF4-FFF2-40B4-BE49-F238E27FC236}">
              <a16:creationId xmlns:a16="http://schemas.microsoft.com/office/drawing/2014/main" id="{8C07E743-6896-4B8B-A123-A8FF66A01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314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78</xdr:row>
      <xdr:rowOff>9525</xdr:rowOff>
    </xdr:from>
    <xdr:ext cx="47625" cy="47625"/>
    <xdr:pic>
      <xdr:nvPicPr>
        <xdr:cNvPr id="233" name="BExMO7VFCN4EL59982UR4AJ25JNJ" descr="XX6TINEJADZGKR0CTM7ZRT0RA" hidden="1">
          <a:extLst>
            <a:ext uri="{FF2B5EF4-FFF2-40B4-BE49-F238E27FC236}">
              <a16:creationId xmlns:a16="http://schemas.microsoft.com/office/drawing/2014/main" id="{A786A711-BBE1-4E21-B1CB-C108628A7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4868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78</xdr:row>
      <xdr:rowOff>85725</xdr:rowOff>
    </xdr:from>
    <xdr:ext cx="47625" cy="47625"/>
    <xdr:pic>
      <xdr:nvPicPr>
        <xdr:cNvPr id="234" name="BExU3EX5JJCXCII4YKUJBFBGIJR2" descr="OF5ZI9PI5WH36VPANJ2DYLNMI" hidden="1">
          <a:extLst>
            <a:ext uri="{FF2B5EF4-FFF2-40B4-BE49-F238E27FC236}">
              <a16:creationId xmlns:a16="http://schemas.microsoft.com/office/drawing/2014/main" id="{F31D173A-B864-402A-8497-765B43C5D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4944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78</xdr:row>
      <xdr:rowOff>9525</xdr:rowOff>
    </xdr:from>
    <xdr:ext cx="47625" cy="47625"/>
    <xdr:pic>
      <xdr:nvPicPr>
        <xdr:cNvPr id="235" name="BEx1KD7H6UB1VYCJ7O61P562EIUY" descr="IQGV9140X0K0UPBL8OGU3I44J" hidden="1">
          <a:extLst>
            <a:ext uri="{FF2B5EF4-FFF2-40B4-BE49-F238E27FC236}">
              <a16:creationId xmlns:a16="http://schemas.microsoft.com/office/drawing/2014/main" id="{74071080-11FD-433F-B9AE-3EB95B029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14868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78</xdr:row>
      <xdr:rowOff>85725</xdr:rowOff>
    </xdr:from>
    <xdr:ext cx="47625" cy="47625"/>
    <xdr:pic>
      <xdr:nvPicPr>
        <xdr:cNvPr id="236" name="BEx5BJQWS6YWHH4ZMSUAMD641V6Y" descr="ZTMFMXCIQSECDX38ALEFHUB00" hidden="1">
          <a:extLst>
            <a:ext uri="{FF2B5EF4-FFF2-40B4-BE49-F238E27FC236}">
              <a16:creationId xmlns:a16="http://schemas.microsoft.com/office/drawing/2014/main" id="{F5341490-17F9-484B-8FDA-540F44B25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14944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78</xdr:row>
      <xdr:rowOff>9525</xdr:rowOff>
    </xdr:from>
    <xdr:ext cx="47625" cy="47625"/>
    <xdr:pic>
      <xdr:nvPicPr>
        <xdr:cNvPr id="237" name="BExVTO5Q8G2M7BPL4B2584LQS0R0" descr="OB6Q8NA4LZFE4GM9Y3V56BPMQ" hidden="1">
          <a:extLst>
            <a:ext uri="{FF2B5EF4-FFF2-40B4-BE49-F238E27FC236}">
              <a16:creationId xmlns:a16="http://schemas.microsoft.com/office/drawing/2014/main" id="{5C725146-BFFA-4973-BDF5-B2B008CA2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14868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78</xdr:row>
      <xdr:rowOff>85725</xdr:rowOff>
    </xdr:from>
    <xdr:ext cx="47625" cy="47625"/>
    <xdr:pic>
      <xdr:nvPicPr>
        <xdr:cNvPr id="238" name="BExIFSCLN1G86X78PFLTSMRP0US5" descr="9JK4SPV4DG7VTCZIILWHXQU5J" hidden="1">
          <a:extLst>
            <a:ext uri="{FF2B5EF4-FFF2-40B4-BE49-F238E27FC236}">
              <a16:creationId xmlns:a16="http://schemas.microsoft.com/office/drawing/2014/main" id="{820419F2-9ED7-41A1-BF30-7D786B319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14944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78</xdr:row>
      <xdr:rowOff>9525</xdr:rowOff>
    </xdr:from>
    <xdr:ext cx="47625" cy="47625"/>
    <xdr:pic>
      <xdr:nvPicPr>
        <xdr:cNvPr id="239" name="BEx1I152WN2D3A85O2XN0DGXCWHN" descr="KHBZFMANRA4UMJR1AB4M5NJNT" hidden="1">
          <a:extLst>
            <a:ext uri="{FF2B5EF4-FFF2-40B4-BE49-F238E27FC236}">
              <a16:creationId xmlns:a16="http://schemas.microsoft.com/office/drawing/2014/main" id="{1143EE8E-B096-4177-8A82-70CB8DD51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4868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78</xdr:row>
      <xdr:rowOff>85725</xdr:rowOff>
    </xdr:from>
    <xdr:ext cx="47625" cy="47625"/>
    <xdr:pic>
      <xdr:nvPicPr>
        <xdr:cNvPr id="240" name="BExW9676P0SKCVKK25QCGHPA3PAD" descr="9A4PWZ20RMSRF0PNECCDM75CA" hidden="1">
          <a:extLst>
            <a:ext uri="{FF2B5EF4-FFF2-40B4-BE49-F238E27FC236}">
              <a16:creationId xmlns:a16="http://schemas.microsoft.com/office/drawing/2014/main" id="{98506B2E-8B92-42B9-B652-43312C258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4944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80</xdr:row>
      <xdr:rowOff>0</xdr:rowOff>
    </xdr:from>
    <xdr:ext cx="123825" cy="123825"/>
    <xdr:pic>
      <xdr:nvPicPr>
        <xdr:cNvPr id="241" name="BExW253QPOZK9KW8BJC3LBXGCG2N" descr="Y5HX37BEUWSN1NEFJKZJXI3SX" hidden="1">
          <a:extLst>
            <a:ext uri="{FF2B5EF4-FFF2-40B4-BE49-F238E27FC236}">
              <a16:creationId xmlns:a16="http://schemas.microsoft.com/office/drawing/2014/main" id="{6572D92D-CF05-4669-99B2-12AC13712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15240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78</xdr:row>
      <xdr:rowOff>9525</xdr:rowOff>
    </xdr:from>
    <xdr:ext cx="47625" cy="47625"/>
    <xdr:pic>
      <xdr:nvPicPr>
        <xdr:cNvPr id="242" name="BExS5CPQ8P8JOQPK7ANNKHLSGOKU" hidden="1">
          <a:extLst>
            <a:ext uri="{FF2B5EF4-FFF2-40B4-BE49-F238E27FC236}">
              <a16:creationId xmlns:a16="http://schemas.microsoft.com/office/drawing/2014/main" id="{77E14613-C007-4CD5-BB54-F004552E3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4868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78</xdr:row>
      <xdr:rowOff>85725</xdr:rowOff>
    </xdr:from>
    <xdr:ext cx="47625" cy="47625"/>
    <xdr:pic>
      <xdr:nvPicPr>
        <xdr:cNvPr id="243" name="BExMM0AVUAIRNJLXB1FW8R0YB4ZZ" hidden="1">
          <a:extLst>
            <a:ext uri="{FF2B5EF4-FFF2-40B4-BE49-F238E27FC236}">
              <a16:creationId xmlns:a16="http://schemas.microsoft.com/office/drawing/2014/main" id="{32F3CDDD-0BCF-4DFC-8B6F-E96B21F34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4944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78</xdr:row>
      <xdr:rowOff>9525</xdr:rowOff>
    </xdr:from>
    <xdr:ext cx="47625" cy="47625"/>
    <xdr:pic>
      <xdr:nvPicPr>
        <xdr:cNvPr id="244" name="BExXZ7Y09CBS0XA7IPB3IRJ8RJM4" hidden="1">
          <a:extLst>
            <a:ext uri="{FF2B5EF4-FFF2-40B4-BE49-F238E27FC236}">
              <a16:creationId xmlns:a16="http://schemas.microsoft.com/office/drawing/2014/main" id="{12D9176B-F576-4121-AA13-48EC55EBB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4868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78</xdr:row>
      <xdr:rowOff>85725</xdr:rowOff>
    </xdr:from>
    <xdr:ext cx="47625" cy="47625"/>
    <xdr:pic>
      <xdr:nvPicPr>
        <xdr:cNvPr id="245" name="BExQ7SXS9VUG7P6CACU2J7R2SGIZ" hidden="1">
          <a:extLst>
            <a:ext uri="{FF2B5EF4-FFF2-40B4-BE49-F238E27FC236}">
              <a16:creationId xmlns:a16="http://schemas.microsoft.com/office/drawing/2014/main" id="{948AD990-D414-48CF-83E9-9525D0B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4944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78</xdr:row>
      <xdr:rowOff>9525</xdr:rowOff>
    </xdr:from>
    <xdr:ext cx="47625" cy="47625"/>
    <xdr:pic>
      <xdr:nvPicPr>
        <xdr:cNvPr id="246" name="BEx5AQZ4ETQ9LMY5EBWVH20Z7VXQ" hidden="1">
          <a:extLst>
            <a:ext uri="{FF2B5EF4-FFF2-40B4-BE49-F238E27FC236}">
              <a16:creationId xmlns:a16="http://schemas.microsoft.com/office/drawing/2014/main" id="{F40D44D2-2079-40AC-A2E4-4D38DFE5E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14868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78</xdr:row>
      <xdr:rowOff>85725</xdr:rowOff>
    </xdr:from>
    <xdr:ext cx="47625" cy="47625"/>
    <xdr:pic>
      <xdr:nvPicPr>
        <xdr:cNvPr id="247" name="BExUBK0YZ5VYFY8TTITJGJU9S06A" hidden="1">
          <a:extLst>
            <a:ext uri="{FF2B5EF4-FFF2-40B4-BE49-F238E27FC236}">
              <a16:creationId xmlns:a16="http://schemas.microsoft.com/office/drawing/2014/main" id="{9C2199D3-64AD-43F6-B992-A583D1686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14944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78</xdr:row>
      <xdr:rowOff>9525</xdr:rowOff>
    </xdr:from>
    <xdr:ext cx="47625" cy="47625"/>
    <xdr:pic>
      <xdr:nvPicPr>
        <xdr:cNvPr id="248" name="BExUEZCSSJ7RN4J18I2NUIQR2FZS" hidden="1">
          <a:extLst>
            <a:ext uri="{FF2B5EF4-FFF2-40B4-BE49-F238E27FC236}">
              <a16:creationId xmlns:a16="http://schemas.microsoft.com/office/drawing/2014/main" id="{673E6E71-6551-4961-BC0A-C47E5763B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14868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78</xdr:row>
      <xdr:rowOff>85725</xdr:rowOff>
    </xdr:from>
    <xdr:ext cx="47625" cy="47625"/>
    <xdr:pic>
      <xdr:nvPicPr>
        <xdr:cNvPr id="249" name="BExS3JDQWF7U3F5JTEVOE16ASIYK" hidden="1">
          <a:extLst>
            <a:ext uri="{FF2B5EF4-FFF2-40B4-BE49-F238E27FC236}">
              <a16:creationId xmlns:a16="http://schemas.microsoft.com/office/drawing/2014/main" id="{7D8BB892-BCC9-4EED-BA63-E684781F6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14944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81</xdr:row>
      <xdr:rowOff>0</xdr:rowOff>
    </xdr:from>
    <xdr:ext cx="123825" cy="123825"/>
    <xdr:pic>
      <xdr:nvPicPr>
        <xdr:cNvPr id="250" name="BEx973S463FCQVJ7QDFBUIU0WJ3F" descr="ZQTVYL8DCSADVT0QMRXFLU0TR" hidden="1">
          <a:extLst>
            <a:ext uri="{FF2B5EF4-FFF2-40B4-BE49-F238E27FC236}">
              <a16:creationId xmlns:a16="http://schemas.microsoft.com/office/drawing/2014/main" id="{04DC3C36-CC42-47E5-8C23-1D8BD739D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15430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80</xdr:row>
      <xdr:rowOff>0</xdr:rowOff>
    </xdr:from>
    <xdr:ext cx="123825" cy="123825"/>
    <xdr:pic>
      <xdr:nvPicPr>
        <xdr:cNvPr id="251" name="BEx5FXJGJOT93D0J2IRJ3985IUMI" hidden="1">
          <a:extLst>
            <a:ext uri="{FF2B5EF4-FFF2-40B4-BE49-F238E27FC236}">
              <a16:creationId xmlns:a16="http://schemas.microsoft.com/office/drawing/2014/main" id="{84C7DDD5-C37A-4D70-A149-683A8B2F1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5240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79</xdr:row>
      <xdr:rowOff>0</xdr:rowOff>
    </xdr:from>
    <xdr:ext cx="123825" cy="123825"/>
    <xdr:pic>
      <xdr:nvPicPr>
        <xdr:cNvPr id="252" name="BEx3RTMHAR35NUAAK49TV6NU7EPA" descr="QFXLG4ZCXTRQSJYFCKJ58G9N8" hidden="1">
          <a:extLst>
            <a:ext uri="{FF2B5EF4-FFF2-40B4-BE49-F238E27FC236}">
              <a16:creationId xmlns:a16="http://schemas.microsoft.com/office/drawing/2014/main" id="{AD7E0FC4-E4E6-42A8-A0CD-5CE96835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5049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82</xdr:row>
      <xdr:rowOff>0</xdr:rowOff>
    </xdr:from>
    <xdr:ext cx="123825" cy="123825"/>
    <xdr:pic>
      <xdr:nvPicPr>
        <xdr:cNvPr id="253" name="BExS8T38WLC2R738ZC7BDJQAKJAJ" descr="MRI962L5PB0E0YWXCIBN82VJH" hidden="1">
          <a:extLst>
            <a:ext uri="{FF2B5EF4-FFF2-40B4-BE49-F238E27FC236}">
              <a16:creationId xmlns:a16="http://schemas.microsoft.com/office/drawing/2014/main" id="{A2C0E91E-8024-4304-9445-79616390F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1562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80</xdr:row>
      <xdr:rowOff>0</xdr:rowOff>
    </xdr:from>
    <xdr:ext cx="123825" cy="123825"/>
    <xdr:pic>
      <xdr:nvPicPr>
        <xdr:cNvPr id="254" name="BEx5F64BJ6DCM4EJH81D5ZFNPZ0V" descr="7DJ9FILZD2YPS6X1JBP9E76TU" hidden="1">
          <a:extLst>
            <a:ext uri="{FF2B5EF4-FFF2-40B4-BE49-F238E27FC236}">
              <a16:creationId xmlns:a16="http://schemas.microsoft.com/office/drawing/2014/main" id="{C5FF3807-90B0-4F47-94D2-F2B1DF944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5240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80</xdr:row>
      <xdr:rowOff>0</xdr:rowOff>
    </xdr:from>
    <xdr:ext cx="123825" cy="123825"/>
    <xdr:pic>
      <xdr:nvPicPr>
        <xdr:cNvPr id="255" name="BExQEXXHA3EEXR44LT6RKCDWM6ZT" hidden="1">
          <a:extLst>
            <a:ext uri="{FF2B5EF4-FFF2-40B4-BE49-F238E27FC236}">
              <a16:creationId xmlns:a16="http://schemas.microsoft.com/office/drawing/2014/main" id="{DCBFABD4-0034-4AA2-81CD-60670CD28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5240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84</xdr:row>
      <xdr:rowOff>0</xdr:rowOff>
    </xdr:from>
    <xdr:ext cx="123825" cy="123825"/>
    <xdr:pic>
      <xdr:nvPicPr>
        <xdr:cNvPr id="256" name="BEx1X6AMHV6ZK3UJB2BXIJTJHYJU" descr="OALR4L95ELQLZ1Y1LETHM1CS9" hidden="1">
          <a:extLst>
            <a:ext uri="{FF2B5EF4-FFF2-40B4-BE49-F238E27FC236}">
              <a16:creationId xmlns:a16="http://schemas.microsoft.com/office/drawing/2014/main" id="{CE0FCBEE-E526-401C-B330-B438BDF9A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1600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79</xdr:row>
      <xdr:rowOff>0</xdr:rowOff>
    </xdr:from>
    <xdr:ext cx="123825" cy="123825"/>
    <xdr:pic>
      <xdr:nvPicPr>
        <xdr:cNvPr id="257" name="BExSDIVCE09QKG3CT52PHCS6ZJ09" descr="9F076L7EQCF2COMMGCQG6BQGU" hidden="1">
          <a:extLst>
            <a:ext uri="{FF2B5EF4-FFF2-40B4-BE49-F238E27FC236}">
              <a16:creationId xmlns:a16="http://schemas.microsoft.com/office/drawing/2014/main" id="{2B1A783A-C552-4992-8860-549796554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5049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87</xdr:row>
      <xdr:rowOff>0</xdr:rowOff>
    </xdr:from>
    <xdr:ext cx="123825" cy="123825"/>
    <xdr:pic>
      <xdr:nvPicPr>
        <xdr:cNvPr id="258" name="BExS343F8GCKP6HTF9Y97L133DX8" descr="ZRF0KB1IYQSNV63CTXT25G67G" hidden="1">
          <a:extLst>
            <a:ext uri="{FF2B5EF4-FFF2-40B4-BE49-F238E27FC236}">
              <a16:creationId xmlns:a16="http://schemas.microsoft.com/office/drawing/2014/main" id="{65F7B141-86A9-4927-B097-D389A89B8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657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86</xdr:row>
      <xdr:rowOff>0</xdr:rowOff>
    </xdr:from>
    <xdr:ext cx="123825" cy="123825"/>
    <xdr:pic>
      <xdr:nvPicPr>
        <xdr:cNvPr id="259" name="BExZMRC09W87CY4B73NPZMNH21AH" descr="78CUMI0OVLYJRSDRQ3V2YX812" hidden="1">
          <a:extLst>
            <a:ext uri="{FF2B5EF4-FFF2-40B4-BE49-F238E27FC236}">
              <a16:creationId xmlns:a16="http://schemas.microsoft.com/office/drawing/2014/main" id="{574B4DD7-4D0C-49D0-A3CF-C6BACA422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638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85</xdr:row>
      <xdr:rowOff>9525</xdr:rowOff>
    </xdr:from>
    <xdr:ext cx="123825" cy="123825"/>
    <xdr:pic>
      <xdr:nvPicPr>
        <xdr:cNvPr id="260" name="BExZXVFJ4DY4I24AARDT4AMP6EN1" descr="TXSMH2MTH86CYKA26740RQPUC" hidden="1">
          <a:extLst>
            <a:ext uri="{FF2B5EF4-FFF2-40B4-BE49-F238E27FC236}">
              <a16:creationId xmlns:a16="http://schemas.microsoft.com/office/drawing/2014/main" id="{B1A8E04A-CE05-4BCC-9467-044F708C9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6202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84</xdr:row>
      <xdr:rowOff>0</xdr:rowOff>
    </xdr:from>
    <xdr:ext cx="123825" cy="123825"/>
    <xdr:pic>
      <xdr:nvPicPr>
        <xdr:cNvPr id="261" name="BExOCUIOFQWUGTBU5ESTW3EYEP5C" descr="9BNF49V0R6VVYPHEVMJ3ABDQZ" hidden="1">
          <a:extLst>
            <a:ext uri="{FF2B5EF4-FFF2-40B4-BE49-F238E27FC236}">
              <a16:creationId xmlns:a16="http://schemas.microsoft.com/office/drawing/2014/main" id="{7FF64666-1A66-4975-9167-2473817C9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600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83</xdr:row>
      <xdr:rowOff>0</xdr:rowOff>
    </xdr:from>
    <xdr:ext cx="123825" cy="123825"/>
    <xdr:pic>
      <xdr:nvPicPr>
        <xdr:cNvPr id="262" name="BExU65O9OE4B4MQ2A3OYH13M8BZJ" descr="3INNIMMPDBB0JF37L81M6ID21" hidden="1">
          <a:extLst>
            <a:ext uri="{FF2B5EF4-FFF2-40B4-BE49-F238E27FC236}">
              <a16:creationId xmlns:a16="http://schemas.microsoft.com/office/drawing/2014/main" id="{692EEE21-7439-49DF-9C75-00DFB2A01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581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82</xdr:row>
      <xdr:rowOff>0</xdr:rowOff>
    </xdr:from>
    <xdr:ext cx="123825" cy="123825"/>
    <xdr:pic>
      <xdr:nvPicPr>
        <xdr:cNvPr id="263" name="BExOPRCR0UW7TKXSV5WDTL348FGL" descr="S9JM17GP1802LHN4GT14BJYIC" hidden="1">
          <a:extLst>
            <a:ext uri="{FF2B5EF4-FFF2-40B4-BE49-F238E27FC236}">
              <a16:creationId xmlns:a16="http://schemas.microsoft.com/office/drawing/2014/main" id="{B137528D-D06E-438C-AFF6-E135B0F74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562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81</xdr:row>
      <xdr:rowOff>0</xdr:rowOff>
    </xdr:from>
    <xdr:ext cx="123825" cy="123825"/>
    <xdr:pic>
      <xdr:nvPicPr>
        <xdr:cNvPr id="264" name="BEx5OESAY2W8SEGI3TSB65EHJ04B" descr="9CN2Y88X8WYV1HWZG1QILY9BK" hidden="1">
          <a:extLst>
            <a:ext uri="{FF2B5EF4-FFF2-40B4-BE49-F238E27FC236}">
              <a16:creationId xmlns:a16="http://schemas.microsoft.com/office/drawing/2014/main" id="{5CE7EAAC-9D5A-4950-A6DA-B7078B331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5430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80</xdr:row>
      <xdr:rowOff>0</xdr:rowOff>
    </xdr:from>
    <xdr:ext cx="123825" cy="123825"/>
    <xdr:pic>
      <xdr:nvPicPr>
        <xdr:cNvPr id="265" name="BExGMWEQ2BYRY9BAO5T1X850MJN1" descr="AZ9ST0XDIOP50HSUFO5V31BR0" hidden="1">
          <a:extLst>
            <a:ext uri="{FF2B5EF4-FFF2-40B4-BE49-F238E27FC236}">
              <a16:creationId xmlns:a16="http://schemas.microsoft.com/office/drawing/2014/main" id="{3B32C5E2-BC12-48AE-A568-20ACBD0B5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5240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89</xdr:row>
      <xdr:rowOff>9525</xdr:rowOff>
    </xdr:from>
    <xdr:ext cx="47625" cy="47625"/>
    <xdr:pic>
      <xdr:nvPicPr>
        <xdr:cNvPr id="266" name="BExMO7VFCN4EL59982UR4AJ25JNJ" descr="XX6TINEJADZGKR0CTM7ZRT0RA" hidden="1">
          <a:extLst>
            <a:ext uri="{FF2B5EF4-FFF2-40B4-BE49-F238E27FC236}">
              <a16:creationId xmlns:a16="http://schemas.microsoft.com/office/drawing/2014/main" id="{646FA4FF-7651-4BFB-885F-D5E81B77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6964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89</xdr:row>
      <xdr:rowOff>85725</xdr:rowOff>
    </xdr:from>
    <xdr:ext cx="47625" cy="47625"/>
    <xdr:pic>
      <xdr:nvPicPr>
        <xdr:cNvPr id="267" name="BExU3EX5JJCXCII4YKUJBFBGIJR2" descr="OF5ZI9PI5WH36VPANJ2DYLNMI" hidden="1">
          <a:extLst>
            <a:ext uri="{FF2B5EF4-FFF2-40B4-BE49-F238E27FC236}">
              <a16:creationId xmlns:a16="http://schemas.microsoft.com/office/drawing/2014/main" id="{0AEDBA91-34D0-450A-AF17-92A41CD39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7040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89</xdr:row>
      <xdr:rowOff>9525</xdr:rowOff>
    </xdr:from>
    <xdr:ext cx="47625" cy="47625"/>
    <xdr:pic>
      <xdr:nvPicPr>
        <xdr:cNvPr id="268" name="BEx1KD7H6UB1VYCJ7O61P562EIUY" descr="IQGV9140X0K0UPBL8OGU3I44J" hidden="1">
          <a:extLst>
            <a:ext uri="{FF2B5EF4-FFF2-40B4-BE49-F238E27FC236}">
              <a16:creationId xmlns:a16="http://schemas.microsoft.com/office/drawing/2014/main" id="{C9CEC841-75BA-4A7D-8888-054D24460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16964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89</xdr:row>
      <xdr:rowOff>85725</xdr:rowOff>
    </xdr:from>
    <xdr:ext cx="47625" cy="47625"/>
    <xdr:pic>
      <xdr:nvPicPr>
        <xdr:cNvPr id="269" name="BEx5BJQWS6YWHH4ZMSUAMD641V6Y" descr="ZTMFMXCIQSECDX38ALEFHUB00" hidden="1">
          <a:extLst>
            <a:ext uri="{FF2B5EF4-FFF2-40B4-BE49-F238E27FC236}">
              <a16:creationId xmlns:a16="http://schemas.microsoft.com/office/drawing/2014/main" id="{A496D945-C1A7-4E22-836B-A8FACDBB5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17040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89</xdr:row>
      <xdr:rowOff>9525</xdr:rowOff>
    </xdr:from>
    <xdr:ext cx="47625" cy="47625"/>
    <xdr:pic>
      <xdr:nvPicPr>
        <xdr:cNvPr id="270" name="BExVTO5Q8G2M7BPL4B2584LQS0R0" descr="OB6Q8NA4LZFE4GM9Y3V56BPMQ" hidden="1">
          <a:extLst>
            <a:ext uri="{FF2B5EF4-FFF2-40B4-BE49-F238E27FC236}">
              <a16:creationId xmlns:a16="http://schemas.microsoft.com/office/drawing/2014/main" id="{56495B2E-CEF7-4725-8795-02F3761E1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16964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89</xdr:row>
      <xdr:rowOff>85725</xdr:rowOff>
    </xdr:from>
    <xdr:ext cx="47625" cy="47625"/>
    <xdr:pic>
      <xdr:nvPicPr>
        <xdr:cNvPr id="271" name="BExIFSCLN1G86X78PFLTSMRP0US5" descr="9JK4SPV4DG7VTCZIILWHXQU5J" hidden="1">
          <a:extLst>
            <a:ext uri="{FF2B5EF4-FFF2-40B4-BE49-F238E27FC236}">
              <a16:creationId xmlns:a16="http://schemas.microsoft.com/office/drawing/2014/main" id="{813775F8-6251-4EAD-B5D9-FED8A1718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17040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89</xdr:row>
      <xdr:rowOff>9525</xdr:rowOff>
    </xdr:from>
    <xdr:ext cx="47625" cy="47625"/>
    <xdr:pic>
      <xdr:nvPicPr>
        <xdr:cNvPr id="272" name="BEx1I152WN2D3A85O2XN0DGXCWHN" descr="KHBZFMANRA4UMJR1AB4M5NJNT" hidden="1">
          <a:extLst>
            <a:ext uri="{FF2B5EF4-FFF2-40B4-BE49-F238E27FC236}">
              <a16:creationId xmlns:a16="http://schemas.microsoft.com/office/drawing/2014/main" id="{FCA881EA-F59F-4A11-85C9-EAABAD74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6964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89</xdr:row>
      <xdr:rowOff>85725</xdr:rowOff>
    </xdr:from>
    <xdr:ext cx="47625" cy="47625"/>
    <xdr:pic>
      <xdr:nvPicPr>
        <xdr:cNvPr id="273" name="BExW9676P0SKCVKK25QCGHPA3PAD" descr="9A4PWZ20RMSRF0PNECCDM75CA" hidden="1">
          <a:extLst>
            <a:ext uri="{FF2B5EF4-FFF2-40B4-BE49-F238E27FC236}">
              <a16:creationId xmlns:a16="http://schemas.microsoft.com/office/drawing/2014/main" id="{C2B3AA84-4296-481E-9823-34307DAB8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7040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91</xdr:row>
      <xdr:rowOff>0</xdr:rowOff>
    </xdr:from>
    <xdr:ext cx="123825" cy="123825"/>
    <xdr:pic>
      <xdr:nvPicPr>
        <xdr:cNvPr id="274" name="BExW253QPOZK9KW8BJC3LBXGCG2N" descr="Y5HX37BEUWSN1NEFJKZJXI3SX" hidden="1">
          <a:extLst>
            <a:ext uri="{FF2B5EF4-FFF2-40B4-BE49-F238E27FC236}">
              <a16:creationId xmlns:a16="http://schemas.microsoft.com/office/drawing/2014/main" id="{E61502A4-D8EB-494F-B9DA-0E208D82D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1733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89</xdr:row>
      <xdr:rowOff>9525</xdr:rowOff>
    </xdr:from>
    <xdr:ext cx="47625" cy="47625"/>
    <xdr:pic>
      <xdr:nvPicPr>
        <xdr:cNvPr id="275" name="BExS5CPQ8P8JOQPK7ANNKHLSGOKU" hidden="1">
          <a:extLst>
            <a:ext uri="{FF2B5EF4-FFF2-40B4-BE49-F238E27FC236}">
              <a16:creationId xmlns:a16="http://schemas.microsoft.com/office/drawing/2014/main" id="{85974787-11AE-4617-B991-B884332C3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6964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89</xdr:row>
      <xdr:rowOff>85725</xdr:rowOff>
    </xdr:from>
    <xdr:ext cx="47625" cy="47625"/>
    <xdr:pic>
      <xdr:nvPicPr>
        <xdr:cNvPr id="276" name="BExMM0AVUAIRNJLXB1FW8R0YB4ZZ" hidden="1">
          <a:extLst>
            <a:ext uri="{FF2B5EF4-FFF2-40B4-BE49-F238E27FC236}">
              <a16:creationId xmlns:a16="http://schemas.microsoft.com/office/drawing/2014/main" id="{4C934E9A-D935-4AAE-B6C5-AF441EC0A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7040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89</xdr:row>
      <xdr:rowOff>9525</xdr:rowOff>
    </xdr:from>
    <xdr:ext cx="47625" cy="47625"/>
    <xdr:pic>
      <xdr:nvPicPr>
        <xdr:cNvPr id="277" name="BExXZ7Y09CBS0XA7IPB3IRJ8RJM4" hidden="1">
          <a:extLst>
            <a:ext uri="{FF2B5EF4-FFF2-40B4-BE49-F238E27FC236}">
              <a16:creationId xmlns:a16="http://schemas.microsoft.com/office/drawing/2014/main" id="{19A5B7B3-E441-40ED-A2DB-000F61092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6964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89</xdr:row>
      <xdr:rowOff>85725</xdr:rowOff>
    </xdr:from>
    <xdr:ext cx="47625" cy="47625"/>
    <xdr:pic>
      <xdr:nvPicPr>
        <xdr:cNvPr id="278" name="BExQ7SXS9VUG7P6CACU2J7R2SGIZ" hidden="1">
          <a:extLst>
            <a:ext uri="{FF2B5EF4-FFF2-40B4-BE49-F238E27FC236}">
              <a16:creationId xmlns:a16="http://schemas.microsoft.com/office/drawing/2014/main" id="{85C6E44C-F9FA-4949-963B-E1A9F37BE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7040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89</xdr:row>
      <xdr:rowOff>9525</xdr:rowOff>
    </xdr:from>
    <xdr:ext cx="47625" cy="47625"/>
    <xdr:pic>
      <xdr:nvPicPr>
        <xdr:cNvPr id="279" name="BEx5AQZ4ETQ9LMY5EBWVH20Z7VXQ" hidden="1">
          <a:extLst>
            <a:ext uri="{FF2B5EF4-FFF2-40B4-BE49-F238E27FC236}">
              <a16:creationId xmlns:a16="http://schemas.microsoft.com/office/drawing/2014/main" id="{A13A6448-F2AC-4A8C-85CE-F4E73AC54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16964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89</xdr:row>
      <xdr:rowOff>85725</xdr:rowOff>
    </xdr:from>
    <xdr:ext cx="47625" cy="47625"/>
    <xdr:pic>
      <xdr:nvPicPr>
        <xdr:cNvPr id="280" name="BExUBK0YZ5VYFY8TTITJGJU9S06A" hidden="1">
          <a:extLst>
            <a:ext uri="{FF2B5EF4-FFF2-40B4-BE49-F238E27FC236}">
              <a16:creationId xmlns:a16="http://schemas.microsoft.com/office/drawing/2014/main" id="{E5C251F4-7990-420E-AFDF-F3719C8CD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17040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89</xdr:row>
      <xdr:rowOff>9525</xdr:rowOff>
    </xdr:from>
    <xdr:ext cx="47625" cy="47625"/>
    <xdr:pic>
      <xdr:nvPicPr>
        <xdr:cNvPr id="281" name="BExUEZCSSJ7RN4J18I2NUIQR2FZS" hidden="1">
          <a:extLst>
            <a:ext uri="{FF2B5EF4-FFF2-40B4-BE49-F238E27FC236}">
              <a16:creationId xmlns:a16="http://schemas.microsoft.com/office/drawing/2014/main" id="{457E8B6B-26E6-4F1E-9384-AE5AE8D7A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16964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89</xdr:row>
      <xdr:rowOff>85725</xdr:rowOff>
    </xdr:from>
    <xdr:ext cx="47625" cy="47625"/>
    <xdr:pic>
      <xdr:nvPicPr>
        <xdr:cNvPr id="282" name="BExS3JDQWF7U3F5JTEVOE16ASIYK" hidden="1">
          <a:extLst>
            <a:ext uri="{FF2B5EF4-FFF2-40B4-BE49-F238E27FC236}">
              <a16:creationId xmlns:a16="http://schemas.microsoft.com/office/drawing/2014/main" id="{6524D785-F6CF-4EEE-8E7C-125432743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17040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92</xdr:row>
      <xdr:rowOff>0</xdr:rowOff>
    </xdr:from>
    <xdr:ext cx="123825" cy="123825"/>
    <xdr:pic>
      <xdr:nvPicPr>
        <xdr:cNvPr id="283" name="BEx973S463FCQVJ7QDFBUIU0WJ3F" descr="ZQTVYL8DCSADVT0QMRXFLU0TR" hidden="1">
          <a:extLst>
            <a:ext uri="{FF2B5EF4-FFF2-40B4-BE49-F238E27FC236}">
              <a16:creationId xmlns:a16="http://schemas.microsoft.com/office/drawing/2014/main" id="{F7A81388-3E02-42F5-BAE7-6C1057672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17526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91</xdr:row>
      <xdr:rowOff>0</xdr:rowOff>
    </xdr:from>
    <xdr:ext cx="123825" cy="123825"/>
    <xdr:pic>
      <xdr:nvPicPr>
        <xdr:cNvPr id="284" name="BEx5FXJGJOT93D0J2IRJ3985IUMI" hidden="1">
          <a:extLst>
            <a:ext uri="{FF2B5EF4-FFF2-40B4-BE49-F238E27FC236}">
              <a16:creationId xmlns:a16="http://schemas.microsoft.com/office/drawing/2014/main" id="{DFC7BC66-0519-47FA-B16F-198439E8B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733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90</xdr:row>
      <xdr:rowOff>0</xdr:rowOff>
    </xdr:from>
    <xdr:ext cx="123825" cy="123825"/>
    <xdr:pic>
      <xdr:nvPicPr>
        <xdr:cNvPr id="285" name="BEx3RTMHAR35NUAAK49TV6NU7EPA" descr="QFXLG4ZCXTRQSJYFCKJ58G9N8" hidden="1">
          <a:extLst>
            <a:ext uri="{FF2B5EF4-FFF2-40B4-BE49-F238E27FC236}">
              <a16:creationId xmlns:a16="http://schemas.microsoft.com/office/drawing/2014/main" id="{B651AC6B-2C02-4C72-9CC0-EE06BE577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7145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93</xdr:row>
      <xdr:rowOff>0</xdr:rowOff>
    </xdr:from>
    <xdr:ext cx="123825" cy="123825"/>
    <xdr:pic>
      <xdr:nvPicPr>
        <xdr:cNvPr id="286" name="BExS8T38WLC2R738ZC7BDJQAKJAJ" descr="MRI962L5PB0E0YWXCIBN82VJH" hidden="1">
          <a:extLst>
            <a:ext uri="{FF2B5EF4-FFF2-40B4-BE49-F238E27FC236}">
              <a16:creationId xmlns:a16="http://schemas.microsoft.com/office/drawing/2014/main" id="{B0BBF3F1-41BC-40E6-A7E6-9C2228290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1771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91</xdr:row>
      <xdr:rowOff>0</xdr:rowOff>
    </xdr:from>
    <xdr:ext cx="123825" cy="123825"/>
    <xdr:pic>
      <xdr:nvPicPr>
        <xdr:cNvPr id="287" name="BEx5F64BJ6DCM4EJH81D5ZFNPZ0V" descr="7DJ9FILZD2YPS6X1JBP9E76TU" hidden="1">
          <a:extLst>
            <a:ext uri="{FF2B5EF4-FFF2-40B4-BE49-F238E27FC236}">
              <a16:creationId xmlns:a16="http://schemas.microsoft.com/office/drawing/2014/main" id="{DD5A3667-259C-4D67-BA62-503EED315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733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91</xdr:row>
      <xdr:rowOff>0</xdr:rowOff>
    </xdr:from>
    <xdr:ext cx="123825" cy="123825"/>
    <xdr:pic>
      <xdr:nvPicPr>
        <xdr:cNvPr id="288" name="BExQEXXHA3EEXR44LT6RKCDWM6ZT" hidden="1">
          <a:extLst>
            <a:ext uri="{FF2B5EF4-FFF2-40B4-BE49-F238E27FC236}">
              <a16:creationId xmlns:a16="http://schemas.microsoft.com/office/drawing/2014/main" id="{12A59B05-196F-4722-82CE-EF64A9226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733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95</xdr:row>
      <xdr:rowOff>0</xdr:rowOff>
    </xdr:from>
    <xdr:ext cx="123825" cy="123825"/>
    <xdr:pic>
      <xdr:nvPicPr>
        <xdr:cNvPr id="289" name="BEx1X6AMHV6ZK3UJB2BXIJTJHYJU" descr="OALR4L95ELQLZ1Y1LETHM1CS9" hidden="1">
          <a:extLst>
            <a:ext uri="{FF2B5EF4-FFF2-40B4-BE49-F238E27FC236}">
              <a16:creationId xmlns:a16="http://schemas.microsoft.com/office/drawing/2014/main" id="{295C1510-FE55-4735-8653-E3E007121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18097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90</xdr:row>
      <xdr:rowOff>0</xdr:rowOff>
    </xdr:from>
    <xdr:ext cx="123825" cy="123825"/>
    <xdr:pic>
      <xdr:nvPicPr>
        <xdr:cNvPr id="290" name="BExSDIVCE09QKG3CT52PHCS6ZJ09" descr="9F076L7EQCF2COMMGCQG6BQGU" hidden="1">
          <a:extLst>
            <a:ext uri="{FF2B5EF4-FFF2-40B4-BE49-F238E27FC236}">
              <a16:creationId xmlns:a16="http://schemas.microsoft.com/office/drawing/2014/main" id="{2F5924C9-B09E-412D-B356-CE4DDE57D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7145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98</xdr:row>
      <xdr:rowOff>0</xdr:rowOff>
    </xdr:from>
    <xdr:ext cx="123825" cy="123825"/>
    <xdr:pic>
      <xdr:nvPicPr>
        <xdr:cNvPr id="291" name="BExS343F8GCKP6HTF9Y97L133DX8" descr="ZRF0KB1IYQSNV63CTXT25G67G" hidden="1">
          <a:extLst>
            <a:ext uri="{FF2B5EF4-FFF2-40B4-BE49-F238E27FC236}">
              <a16:creationId xmlns:a16="http://schemas.microsoft.com/office/drawing/2014/main" id="{44DB1135-7999-4E37-8EC6-4BCCE6167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866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97</xdr:row>
      <xdr:rowOff>0</xdr:rowOff>
    </xdr:from>
    <xdr:ext cx="123825" cy="123825"/>
    <xdr:pic>
      <xdr:nvPicPr>
        <xdr:cNvPr id="292" name="BExZMRC09W87CY4B73NPZMNH21AH" descr="78CUMI0OVLYJRSDRQ3V2YX812" hidden="1">
          <a:extLst>
            <a:ext uri="{FF2B5EF4-FFF2-40B4-BE49-F238E27FC236}">
              <a16:creationId xmlns:a16="http://schemas.microsoft.com/office/drawing/2014/main" id="{7BFECD9A-2488-4AD0-8843-7F4A6977F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8478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96</xdr:row>
      <xdr:rowOff>9525</xdr:rowOff>
    </xdr:from>
    <xdr:ext cx="123825" cy="123825"/>
    <xdr:pic>
      <xdr:nvPicPr>
        <xdr:cNvPr id="293" name="BExZXVFJ4DY4I24AARDT4AMP6EN1" descr="TXSMH2MTH86CYKA26740RQPUC" hidden="1">
          <a:extLst>
            <a:ext uri="{FF2B5EF4-FFF2-40B4-BE49-F238E27FC236}">
              <a16:creationId xmlns:a16="http://schemas.microsoft.com/office/drawing/2014/main" id="{59699733-8FC9-410A-BAF0-7F29CC05F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8297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95</xdr:row>
      <xdr:rowOff>0</xdr:rowOff>
    </xdr:from>
    <xdr:ext cx="123825" cy="123825"/>
    <xdr:pic>
      <xdr:nvPicPr>
        <xdr:cNvPr id="294" name="BExOCUIOFQWUGTBU5ESTW3EYEP5C" descr="9BNF49V0R6VVYPHEVMJ3ABDQZ" hidden="1">
          <a:extLst>
            <a:ext uri="{FF2B5EF4-FFF2-40B4-BE49-F238E27FC236}">
              <a16:creationId xmlns:a16="http://schemas.microsoft.com/office/drawing/2014/main" id="{FFB1F0DB-E346-437C-A27E-3E1DE25B7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8097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94</xdr:row>
      <xdr:rowOff>0</xdr:rowOff>
    </xdr:from>
    <xdr:ext cx="123825" cy="123825"/>
    <xdr:pic>
      <xdr:nvPicPr>
        <xdr:cNvPr id="295" name="BExU65O9OE4B4MQ2A3OYH13M8BZJ" descr="3INNIMMPDBB0JF37L81M6ID21" hidden="1">
          <a:extLst>
            <a:ext uri="{FF2B5EF4-FFF2-40B4-BE49-F238E27FC236}">
              <a16:creationId xmlns:a16="http://schemas.microsoft.com/office/drawing/2014/main" id="{3A368FEE-963C-46AE-B0CC-D9C8192AA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7907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93</xdr:row>
      <xdr:rowOff>0</xdr:rowOff>
    </xdr:from>
    <xdr:ext cx="123825" cy="123825"/>
    <xdr:pic>
      <xdr:nvPicPr>
        <xdr:cNvPr id="296" name="BExOPRCR0UW7TKXSV5WDTL348FGL" descr="S9JM17GP1802LHN4GT14BJYIC" hidden="1">
          <a:extLst>
            <a:ext uri="{FF2B5EF4-FFF2-40B4-BE49-F238E27FC236}">
              <a16:creationId xmlns:a16="http://schemas.microsoft.com/office/drawing/2014/main" id="{50C35A56-AF50-4357-8CB9-74CA3F571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771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92</xdr:row>
      <xdr:rowOff>0</xdr:rowOff>
    </xdr:from>
    <xdr:ext cx="123825" cy="123825"/>
    <xdr:pic>
      <xdr:nvPicPr>
        <xdr:cNvPr id="297" name="BEx5OESAY2W8SEGI3TSB65EHJ04B" descr="9CN2Y88X8WYV1HWZG1QILY9BK" hidden="1">
          <a:extLst>
            <a:ext uri="{FF2B5EF4-FFF2-40B4-BE49-F238E27FC236}">
              <a16:creationId xmlns:a16="http://schemas.microsoft.com/office/drawing/2014/main" id="{ADDAE9BD-417E-41B0-A28E-9C9CCC2BC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7526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91</xdr:row>
      <xdr:rowOff>0</xdr:rowOff>
    </xdr:from>
    <xdr:ext cx="123825" cy="123825"/>
    <xdr:pic>
      <xdr:nvPicPr>
        <xdr:cNvPr id="298" name="BExGMWEQ2BYRY9BAO5T1X850MJN1" descr="AZ9ST0XDIOP50HSUFO5V31BR0" hidden="1">
          <a:extLst>
            <a:ext uri="{FF2B5EF4-FFF2-40B4-BE49-F238E27FC236}">
              <a16:creationId xmlns:a16="http://schemas.microsoft.com/office/drawing/2014/main" id="{248D0182-6B87-447A-A8EF-128CB959C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733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100</xdr:row>
      <xdr:rowOff>9525</xdr:rowOff>
    </xdr:from>
    <xdr:ext cx="47625" cy="47625"/>
    <xdr:pic>
      <xdr:nvPicPr>
        <xdr:cNvPr id="299" name="BExMO7VFCN4EL59982UR4AJ25JNJ" descr="XX6TINEJADZGKR0CTM7ZRT0RA" hidden="1">
          <a:extLst>
            <a:ext uri="{FF2B5EF4-FFF2-40B4-BE49-F238E27FC236}">
              <a16:creationId xmlns:a16="http://schemas.microsoft.com/office/drawing/2014/main" id="{D953E8CE-4559-4346-82DF-2AFA575F1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9059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100</xdr:row>
      <xdr:rowOff>85725</xdr:rowOff>
    </xdr:from>
    <xdr:ext cx="47625" cy="47625"/>
    <xdr:pic>
      <xdr:nvPicPr>
        <xdr:cNvPr id="300" name="BExU3EX5JJCXCII4YKUJBFBGIJR2" descr="OF5ZI9PI5WH36VPANJ2DYLNMI" hidden="1">
          <a:extLst>
            <a:ext uri="{FF2B5EF4-FFF2-40B4-BE49-F238E27FC236}">
              <a16:creationId xmlns:a16="http://schemas.microsoft.com/office/drawing/2014/main" id="{9B4AB529-182E-4EB6-BB79-9E4B93115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9135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100</xdr:row>
      <xdr:rowOff>9525</xdr:rowOff>
    </xdr:from>
    <xdr:ext cx="47625" cy="47625"/>
    <xdr:pic>
      <xdr:nvPicPr>
        <xdr:cNvPr id="301" name="BEx1KD7H6UB1VYCJ7O61P562EIUY" descr="IQGV9140X0K0UPBL8OGU3I44J" hidden="1">
          <a:extLst>
            <a:ext uri="{FF2B5EF4-FFF2-40B4-BE49-F238E27FC236}">
              <a16:creationId xmlns:a16="http://schemas.microsoft.com/office/drawing/2014/main" id="{7F99568C-2EFD-49DF-AE2C-03D64A641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19059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100</xdr:row>
      <xdr:rowOff>85725</xdr:rowOff>
    </xdr:from>
    <xdr:ext cx="47625" cy="47625"/>
    <xdr:pic>
      <xdr:nvPicPr>
        <xdr:cNvPr id="302" name="BEx5BJQWS6YWHH4ZMSUAMD641V6Y" descr="ZTMFMXCIQSECDX38ALEFHUB00" hidden="1">
          <a:extLst>
            <a:ext uri="{FF2B5EF4-FFF2-40B4-BE49-F238E27FC236}">
              <a16:creationId xmlns:a16="http://schemas.microsoft.com/office/drawing/2014/main" id="{B4772493-612B-47BD-977C-B6C0C54CD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19135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100</xdr:row>
      <xdr:rowOff>9525</xdr:rowOff>
    </xdr:from>
    <xdr:ext cx="47625" cy="47625"/>
    <xdr:pic>
      <xdr:nvPicPr>
        <xdr:cNvPr id="303" name="BExVTO5Q8G2M7BPL4B2584LQS0R0" descr="OB6Q8NA4LZFE4GM9Y3V56BPMQ" hidden="1">
          <a:extLst>
            <a:ext uri="{FF2B5EF4-FFF2-40B4-BE49-F238E27FC236}">
              <a16:creationId xmlns:a16="http://schemas.microsoft.com/office/drawing/2014/main" id="{E723E84A-37CD-4805-9679-35839EA9D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19059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100</xdr:row>
      <xdr:rowOff>85725</xdr:rowOff>
    </xdr:from>
    <xdr:ext cx="47625" cy="47625"/>
    <xdr:pic>
      <xdr:nvPicPr>
        <xdr:cNvPr id="304" name="BExIFSCLN1G86X78PFLTSMRP0US5" descr="9JK4SPV4DG7VTCZIILWHXQU5J" hidden="1">
          <a:extLst>
            <a:ext uri="{FF2B5EF4-FFF2-40B4-BE49-F238E27FC236}">
              <a16:creationId xmlns:a16="http://schemas.microsoft.com/office/drawing/2014/main" id="{631E1722-BFF6-4700-8947-154A3BC4E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19135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100</xdr:row>
      <xdr:rowOff>9525</xdr:rowOff>
    </xdr:from>
    <xdr:ext cx="47625" cy="47625"/>
    <xdr:pic>
      <xdr:nvPicPr>
        <xdr:cNvPr id="305" name="BEx1I152WN2D3A85O2XN0DGXCWHN" descr="KHBZFMANRA4UMJR1AB4M5NJNT" hidden="1">
          <a:extLst>
            <a:ext uri="{FF2B5EF4-FFF2-40B4-BE49-F238E27FC236}">
              <a16:creationId xmlns:a16="http://schemas.microsoft.com/office/drawing/2014/main" id="{76A6B4B5-41CD-4F23-A6D7-FA0A0F965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9059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100</xdr:row>
      <xdr:rowOff>85725</xdr:rowOff>
    </xdr:from>
    <xdr:ext cx="47625" cy="47625"/>
    <xdr:pic>
      <xdr:nvPicPr>
        <xdr:cNvPr id="306" name="BExW9676P0SKCVKK25QCGHPA3PAD" descr="9A4PWZ20RMSRF0PNECCDM75CA" hidden="1">
          <a:extLst>
            <a:ext uri="{FF2B5EF4-FFF2-40B4-BE49-F238E27FC236}">
              <a16:creationId xmlns:a16="http://schemas.microsoft.com/office/drawing/2014/main" id="{D370B846-D8D0-47FA-842C-AD094BEA5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9135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102</xdr:row>
      <xdr:rowOff>0</xdr:rowOff>
    </xdr:from>
    <xdr:ext cx="123825" cy="123825"/>
    <xdr:pic>
      <xdr:nvPicPr>
        <xdr:cNvPr id="307" name="BExW253QPOZK9KW8BJC3LBXGCG2N" descr="Y5HX37BEUWSN1NEFJKZJXI3SX" hidden="1">
          <a:extLst>
            <a:ext uri="{FF2B5EF4-FFF2-40B4-BE49-F238E27FC236}">
              <a16:creationId xmlns:a16="http://schemas.microsoft.com/office/drawing/2014/main" id="{1C31F0A5-CA36-4786-A564-D3EFC1F35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1943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100</xdr:row>
      <xdr:rowOff>9525</xdr:rowOff>
    </xdr:from>
    <xdr:ext cx="47625" cy="47625"/>
    <xdr:pic>
      <xdr:nvPicPr>
        <xdr:cNvPr id="308" name="BExS5CPQ8P8JOQPK7ANNKHLSGOKU" hidden="1">
          <a:extLst>
            <a:ext uri="{FF2B5EF4-FFF2-40B4-BE49-F238E27FC236}">
              <a16:creationId xmlns:a16="http://schemas.microsoft.com/office/drawing/2014/main" id="{93AA292B-92EB-40CD-8970-722DABAF2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9059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100</xdr:row>
      <xdr:rowOff>85725</xdr:rowOff>
    </xdr:from>
    <xdr:ext cx="47625" cy="47625"/>
    <xdr:pic>
      <xdr:nvPicPr>
        <xdr:cNvPr id="309" name="BExMM0AVUAIRNJLXB1FW8R0YB4ZZ" hidden="1">
          <a:extLst>
            <a:ext uri="{FF2B5EF4-FFF2-40B4-BE49-F238E27FC236}">
              <a16:creationId xmlns:a16="http://schemas.microsoft.com/office/drawing/2014/main" id="{6A641A9D-BE51-4A5D-8E63-20ABDCE3D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9135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100</xdr:row>
      <xdr:rowOff>9525</xdr:rowOff>
    </xdr:from>
    <xdr:ext cx="47625" cy="47625"/>
    <xdr:pic>
      <xdr:nvPicPr>
        <xdr:cNvPr id="310" name="BExXZ7Y09CBS0XA7IPB3IRJ8RJM4" hidden="1">
          <a:extLst>
            <a:ext uri="{FF2B5EF4-FFF2-40B4-BE49-F238E27FC236}">
              <a16:creationId xmlns:a16="http://schemas.microsoft.com/office/drawing/2014/main" id="{4F6ED728-DCA7-4CD2-84F3-A0B8C2072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9059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100</xdr:row>
      <xdr:rowOff>85725</xdr:rowOff>
    </xdr:from>
    <xdr:ext cx="47625" cy="47625"/>
    <xdr:pic>
      <xdr:nvPicPr>
        <xdr:cNvPr id="311" name="BExQ7SXS9VUG7P6CACU2J7R2SGIZ" hidden="1">
          <a:extLst>
            <a:ext uri="{FF2B5EF4-FFF2-40B4-BE49-F238E27FC236}">
              <a16:creationId xmlns:a16="http://schemas.microsoft.com/office/drawing/2014/main" id="{7865F387-C74C-4B1C-8242-55DE627B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9135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100</xdr:row>
      <xdr:rowOff>9525</xdr:rowOff>
    </xdr:from>
    <xdr:ext cx="47625" cy="47625"/>
    <xdr:pic>
      <xdr:nvPicPr>
        <xdr:cNvPr id="312" name="BEx5AQZ4ETQ9LMY5EBWVH20Z7VXQ" hidden="1">
          <a:extLst>
            <a:ext uri="{FF2B5EF4-FFF2-40B4-BE49-F238E27FC236}">
              <a16:creationId xmlns:a16="http://schemas.microsoft.com/office/drawing/2014/main" id="{1C985E13-35BF-4AB9-9C63-5FCAFA2C2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19059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100</xdr:row>
      <xdr:rowOff>85725</xdr:rowOff>
    </xdr:from>
    <xdr:ext cx="47625" cy="47625"/>
    <xdr:pic>
      <xdr:nvPicPr>
        <xdr:cNvPr id="313" name="BExUBK0YZ5VYFY8TTITJGJU9S06A" hidden="1">
          <a:extLst>
            <a:ext uri="{FF2B5EF4-FFF2-40B4-BE49-F238E27FC236}">
              <a16:creationId xmlns:a16="http://schemas.microsoft.com/office/drawing/2014/main" id="{5F3B39FC-C6AA-4E03-9BF1-B85E3008C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19135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100</xdr:row>
      <xdr:rowOff>9525</xdr:rowOff>
    </xdr:from>
    <xdr:ext cx="47625" cy="47625"/>
    <xdr:pic>
      <xdr:nvPicPr>
        <xdr:cNvPr id="314" name="BExUEZCSSJ7RN4J18I2NUIQR2FZS" hidden="1">
          <a:extLst>
            <a:ext uri="{FF2B5EF4-FFF2-40B4-BE49-F238E27FC236}">
              <a16:creationId xmlns:a16="http://schemas.microsoft.com/office/drawing/2014/main" id="{B3152EA2-536C-4F4A-A55C-BC94CFFF2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19059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100</xdr:row>
      <xdr:rowOff>85725</xdr:rowOff>
    </xdr:from>
    <xdr:ext cx="47625" cy="47625"/>
    <xdr:pic>
      <xdr:nvPicPr>
        <xdr:cNvPr id="315" name="BExS3JDQWF7U3F5JTEVOE16ASIYK" hidden="1">
          <a:extLst>
            <a:ext uri="{FF2B5EF4-FFF2-40B4-BE49-F238E27FC236}">
              <a16:creationId xmlns:a16="http://schemas.microsoft.com/office/drawing/2014/main" id="{D89F2344-FC0F-4914-82DD-80F900FEF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19135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103</xdr:row>
      <xdr:rowOff>0</xdr:rowOff>
    </xdr:from>
    <xdr:ext cx="123825" cy="123825"/>
    <xdr:pic>
      <xdr:nvPicPr>
        <xdr:cNvPr id="316" name="BEx973S463FCQVJ7QDFBUIU0WJ3F" descr="ZQTVYL8DCSADVT0QMRXFLU0TR" hidden="1">
          <a:extLst>
            <a:ext uri="{FF2B5EF4-FFF2-40B4-BE49-F238E27FC236}">
              <a16:creationId xmlns:a16="http://schemas.microsoft.com/office/drawing/2014/main" id="{3F070BE0-9FCC-4359-B3A3-0093DFFC7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1962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102</xdr:row>
      <xdr:rowOff>0</xdr:rowOff>
    </xdr:from>
    <xdr:ext cx="123825" cy="123825"/>
    <xdr:pic>
      <xdr:nvPicPr>
        <xdr:cNvPr id="317" name="BEx5FXJGJOT93D0J2IRJ3985IUMI" hidden="1">
          <a:extLst>
            <a:ext uri="{FF2B5EF4-FFF2-40B4-BE49-F238E27FC236}">
              <a16:creationId xmlns:a16="http://schemas.microsoft.com/office/drawing/2014/main" id="{B404C031-869A-4E61-AF02-E4C61FBEF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943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101</xdr:row>
      <xdr:rowOff>0</xdr:rowOff>
    </xdr:from>
    <xdr:ext cx="123825" cy="123825"/>
    <xdr:pic>
      <xdr:nvPicPr>
        <xdr:cNvPr id="318" name="BEx3RTMHAR35NUAAK49TV6NU7EPA" descr="QFXLG4ZCXTRQSJYFCKJ58G9N8" hidden="1">
          <a:extLst>
            <a:ext uri="{FF2B5EF4-FFF2-40B4-BE49-F238E27FC236}">
              <a16:creationId xmlns:a16="http://schemas.microsoft.com/office/drawing/2014/main" id="{CAAEA720-AC04-4CE0-AB1F-456C05E40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9240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104</xdr:row>
      <xdr:rowOff>0</xdr:rowOff>
    </xdr:from>
    <xdr:ext cx="123825" cy="123825"/>
    <xdr:pic>
      <xdr:nvPicPr>
        <xdr:cNvPr id="319" name="BExS8T38WLC2R738ZC7BDJQAKJAJ" descr="MRI962L5PB0E0YWXCIBN82VJH" hidden="1">
          <a:extLst>
            <a:ext uri="{FF2B5EF4-FFF2-40B4-BE49-F238E27FC236}">
              <a16:creationId xmlns:a16="http://schemas.microsoft.com/office/drawing/2014/main" id="{879B68EE-EBF2-4206-BC2C-DBA1863AD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1981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102</xdr:row>
      <xdr:rowOff>0</xdr:rowOff>
    </xdr:from>
    <xdr:ext cx="123825" cy="123825"/>
    <xdr:pic>
      <xdr:nvPicPr>
        <xdr:cNvPr id="320" name="BEx5F64BJ6DCM4EJH81D5ZFNPZ0V" descr="7DJ9FILZD2YPS6X1JBP9E76TU" hidden="1">
          <a:extLst>
            <a:ext uri="{FF2B5EF4-FFF2-40B4-BE49-F238E27FC236}">
              <a16:creationId xmlns:a16="http://schemas.microsoft.com/office/drawing/2014/main" id="{B840A9EE-8165-4C1A-A656-9AEE819E3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943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102</xdr:row>
      <xdr:rowOff>0</xdr:rowOff>
    </xdr:from>
    <xdr:ext cx="123825" cy="123825"/>
    <xdr:pic>
      <xdr:nvPicPr>
        <xdr:cNvPr id="321" name="BExQEXXHA3EEXR44LT6RKCDWM6ZT" hidden="1">
          <a:extLst>
            <a:ext uri="{FF2B5EF4-FFF2-40B4-BE49-F238E27FC236}">
              <a16:creationId xmlns:a16="http://schemas.microsoft.com/office/drawing/2014/main" id="{82434381-5463-4F59-BFB8-D57D5C4D6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943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106</xdr:row>
      <xdr:rowOff>0</xdr:rowOff>
    </xdr:from>
    <xdr:ext cx="123825" cy="123825"/>
    <xdr:pic>
      <xdr:nvPicPr>
        <xdr:cNvPr id="322" name="BEx1X6AMHV6ZK3UJB2BXIJTJHYJU" descr="OALR4L95ELQLZ1Y1LETHM1CS9" hidden="1">
          <a:extLst>
            <a:ext uri="{FF2B5EF4-FFF2-40B4-BE49-F238E27FC236}">
              <a16:creationId xmlns:a16="http://schemas.microsoft.com/office/drawing/2014/main" id="{DD538580-07F3-4E3B-B678-CCB683A10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2019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101</xdr:row>
      <xdr:rowOff>0</xdr:rowOff>
    </xdr:from>
    <xdr:ext cx="123825" cy="123825"/>
    <xdr:pic>
      <xdr:nvPicPr>
        <xdr:cNvPr id="323" name="BExSDIVCE09QKG3CT52PHCS6ZJ09" descr="9F076L7EQCF2COMMGCQG6BQGU" hidden="1">
          <a:extLst>
            <a:ext uri="{FF2B5EF4-FFF2-40B4-BE49-F238E27FC236}">
              <a16:creationId xmlns:a16="http://schemas.microsoft.com/office/drawing/2014/main" id="{18F008BD-3B98-4654-95EB-12608B8B6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19240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109</xdr:row>
      <xdr:rowOff>0</xdr:rowOff>
    </xdr:from>
    <xdr:ext cx="123825" cy="123825"/>
    <xdr:pic>
      <xdr:nvPicPr>
        <xdr:cNvPr id="324" name="BExS343F8GCKP6HTF9Y97L133DX8" descr="ZRF0KB1IYQSNV63CTXT25G67G" hidden="1">
          <a:extLst>
            <a:ext uri="{FF2B5EF4-FFF2-40B4-BE49-F238E27FC236}">
              <a16:creationId xmlns:a16="http://schemas.microsoft.com/office/drawing/2014/main" id="{4B9A4200-2F74-44A8-BE9A-F93890583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0764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108</xdr:row>
      <xdr:rowOff>0</xdr:rowOff>
    </xdr:from>
    <xdr:ext cx="123825" cy="123825"/>
    <xdr:pic>
      <xdr:nvPicPr>
        <xdr:cNvPr id="325" name="BExZMRC09W87CY4B73NPZMNH21AH" descr="78CUMI0OVLYJRSDRQ3V2YX812" hidden="1">
          <a:extLst>
            <a:ext uri="{FF2B5EF4-FFF2-40B4-BE49-F238E27FC236}">
              <a16:creationId xmlns:a16="http://schemas.microsoft.com/office/drawing/2014/main" id="{2B849604-1C60-4FE1-8746-088067E4C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0574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107</xdr:row>
      <xdr:rowOff>9525</xdr:rowOff>
    </xdr:from>
    <xdr:ext cx="123825" cy="123825"/>
    <xdr:pic>
      <xdr:nvPicPr>
        <xdr:cNvPr id="326" name="BExZXVFJ4DY4I24AARDT4AMP6EN1" descr="TXSMH2MTH86CYKA26740RQPUC" hidden="1">
          <a:extLst>
            <a:ext uri="{FF2B5EF4-FFF2-40B4-BE49-F238E27FC236}">
              <a16:creationId xmlns:a16="http://schemas.microsoft.com/office/drawing/2014/main" id="{774FE25D-7F19-4330-B0E2-7F65E38CB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0393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106</xdr:row>
      <xdr:rowOff>0</xdr:rowOff>
    </xdr:from>
    <xdr:ext cx="123825" cy="123825"/>
    <xdr:pic>
      <xdr:nvPicPr>
        <xdr:cNvPr id="327" name="BExOCUIOFQWUGTBU5ESTW3EYEP5C" descr="9BNF49V0R6VVYPHEVMJ3ABDQZ" hidden="1">
          <a:extLst>
            <a:ext uri="{FF2B5EF4-FFF2-40B4-BE49-F238E27FC236}">
              <a16:creationId xmlns:a16="http://schemas.microsoft.com/office/drawing/2014/main" id="{F694D8D6-F38E-419D-80A1-346DE6A13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019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105</xdr:row>
      <xdr:rowOff>0</xdr:rowOff>
    </xdr:from>
    <xdr:ext cx="123825" cy="123825"/>
    <xdr:pic>
      <xdr:nvPicPr>
        <xdr:cNvPr id="328" name="BExU65O9OE4B4MQ2A3OYH13M8BZJ" descr="3INNIMMPDBB0JF37L81M6ID21" hidden="1">
          <a:extLst>
            <a:ext uri="{FF2B5EF4-FFF2-40B4-BE49-F238E27FC236}">
              <a16:creationId xmlns:a16="http://schemas.microsoft.com/office/drawing/2014/main" id="{1442D6C7-6B9D-4043-8863-5B9A02A4E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000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104</xdr:row>
      <xdr:rowOff>0</xdr:rowOff>
    </xdr:from>
    <xdr:ext cx="123825" cy="123825"/>
    <xdr:pic>
      <xdr:nvPicPr>
        <xdr:cNvPr id="329" name="BExOPRCR0UW7TKXSV5WDTL348FGL" descr="S9JM17GP1802LHN4GT14BJYIC" hidden="1">
          <a:extLst>
            <a:ext uri="{FF2B5EF4-FFF2-40B4-BE49-F238E27FC236}">
              <a16:creationId xmlns:a16="http://schemas.microsoft.com/office/drawing/2014/main" id="{44405630-32B7-46EA-8DA1-C042EEB11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981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103</xdr:row>
      <xdr:rowOff>0</xdr:rowOff>
    </xdr:from>
    <xdr:ext cx="123825" cy="123825"/>
    <xdr:pic>
      <xdr:nvPicPr>
        <xdr:cNvPr id="330" name="BEx5OESAY2W8SEGI3TSB65EHJ04B" descr="9CN2Y88X8WYV1HWZG1QILY9BK" hidden="1">
          <a:extLst>
            <a:ext uri="{FF2B5EF4-FFF2-40B4-BE49-F238E27FC236}">
              <a16:creationId xmlns:a16="http://schemas.microsoft.com/office/drawing/2014/main" id="{1758EF16-2CE8-4999-A528-1B53F9448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962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102</xdr:row>
      <xdr:rowOff>0</xdr:rowOff>
    </xdr:from>
    <xdr:ext cx="123825" cy="123825"/>
    <xdr:pic>
      <xdr:nvPicPr>
        <xdr:cNvPr id="331" name="BExGMWEQ2BYRY9BAO5T1X850MJN1" descr="AZ9ST0XDIOP50HSUFO5V31BR0" hidden="1">
          <a:extLst>
            <a:ext uri="{FF2B5EF4-FFF2-40B4-BE49-F238E27FC236}">
              <a16:creationId xmlns:a16="http://schemas.microsoft.com/office/drawing/2014/main" id="{ECFB67D0-A9DF-4E99-80A9-97F7D7E5E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19431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111</xdr:row>
      <xdr:rowOff>9525</xdr:rowOff>
    </xdr:from>
    <xdr:ext cx="47625" cy="47625"/>
    <xdr:pic>
      <xdr:nvPicPr>
        <xdr:cNvPr id="332" name="BExMO7VFCN4EL59982UR4AJ25JNJ" descr="XX6TINEJADZGKR0CTM7ZRT0RA" hidden="1">
          <a:extLst>
            <a:ext uri="{FF2B5EF4-FFF2-40B4-BE49-F238E27FC236}">
              <a16:creationId xmlns:a16="http://schemas.microsoft.com/office/drawing/2014/main" id="{EB9E1AD7-9E15-4567-A131-8DAD69270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111</xdr:row>
      <xdr:rowOff>85725</xdr:rowOff>
    </xdr:from>
    <xdr:ext cx="47625" cy="47625"/>
    <xdr:pic>
      <xdr:nvPicPr>
        <xdr:cNvPr id="333" name="BExU3EX5JJCXCII4YKUJBFBGIJR2" descr="OF5ZI9PI5WH36VPANJ2DYLNMI" hidden="1">
          <a:extLst>
            <a:ext uri="{FF2B5EF4-FFF2-40B4-BE49-F238E27FC236}">
              <a16:creationId xmlns:a16="http://schemas.microsoft.com/office/drawing/2014/main" id="{4283B148-BB2B-4DDE-85EA-913C77DE8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111</xdr:row>
      <xdr:rowOff>9525</xdr:rowOff>
    </xdr:from>
    <xdr:ext cx="47625" cy="47625"/>
    <xdr:pic>
      <xdr:nvPicPr>
        <xdr:cNvPr id="334" name="BEx1KD7H6UB1VYCJ7O61P562EIUY" descr="IQGV9140X0K0UPBL8OGU3I44J" hidden="1">
          <a:extLst>
            <a:ext uri="{FF2B5EF4-FFF2-40B4-BE49-F238E27FC236}">
              <a16:creationId xmlns:a16="http://schemas.microsoft.com/office/drawing/2014/main" id="{59D6FF92-1E58-403A-A91F-51578819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111</xdr:row>
      <xdr:rowOff>85725</xdr:rowOff>
    </xdr:from>
    <xdr:ext cx="47625" cy="47625"/>
    <xdr:pic>
      <xdr:nvPicPr>
        <xdr:cNvPr id="335" name="BEx5BJQWS6YWHH4ZMSUAMD641V6Y" descr="ZTMFMXCIQSECDX38ALEFHUB00" hidden="1">
          <a:extLst>
            <a:ext uri="{FF2B5EF4-FFF2-40B4-BE49-F238E27FC236}">
              <a16:creationId xmlns:a16="http://schemas.microsoft.com/office/drawing/2014/main" id="{99168E46-4B1B-4B1B-935B-9514B7E65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111</xdr:row>
      <xdr:rowOff>9525</xdr:rowOff>
    </xdr:from>
    <xdr:ext cx="47625" cy="47625"/>
    <xdr:pic>
      <xdr:nvPicPr>
        <xdr:cNvPr id="336" name="BExVTO5Q8G2M7BPL4B2584LQS0R0" descr="OB6Q8NA4LZFE4GM9Y3V56BPMQ" hidden="1">
          <a:extLst>
            <a:ext uri="{FF2B5EF4-FFF2-40B4-BE49-F238E27FC236}">
              <a16:creationId xmlns:a16="http://schemas.microsoft.com/office/drawing/2014/main" id="{ABBAC3A5-EB79-4051-8652-C81CBA511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111</xdr:row>
      <xdr:rowOff>85725</xdr:rowOff>
    </xdr:from>
    <xdr:ext cx="47625" cy="47625"/>
    <xdr:pic>
      <xdr:nvPicPr>
        <xdr:cNvPr id="337" name="BExIFSCLN1G86X78PFLTSMRP0US5" descr="9JK4SPV4DG7VTCZIILWHXQU5J" hidden="1">
          <a:extLst>
            <a:ext uri="{FF2B5EF4-FFF2-40B4-BE49-F238E27FC236}">
              <a16:creationId xmlns:a16="http://schemas.microsoft.com/office/drawing/2014/main" id="{B8F88BFA-B97B-43D3-B484-249E4E264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111</xdr:row>
      <xdr:rowOff>9525</xdr:rowOff>
    </xdr:from>
    <xdr:ext cx="47625" cy="47625"/>
    <xdr:pic>
      <xdr:nvPicPr>
        <xdr:cNvPr id="338" name="BEx1I152WN2D3A85O2XN0DGXCWHN" descr="KHBZFMANRA4UMJR1AB4M5NJNT" hidden="1">
          <a:extLst>
            <a:ext uri="{FF2B5EF4-FFF2-40B4-BE49-F238E27FC236}">
              <a16:creationId xmlns:a16="http://schemas.microsoft.com/office/drawing/2014/main" id="{3D6A22C3-DD24-43EF-A223-EA0394EAC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111</xdr:row>
      <xdr:rowOff>85725</xdr:rowOff>
    </xdr:from>
    <xdr:ext cx="47625" cy="47625"/>
    <xdr:pic>
      <xdr:nvPicPr>
        <xdr:cNvPr id="339" name="BExW9676P0SKCVKK25QCGHPA3PAD" descr="9A4PWZ20RMSRF0PNECCDM75CA" hidden="1">
          <a:extLst>
            <a:ext uri="{FF2B5EF4-FFF2-40B4-BE49-F238E27FC236}">
              <a16:creationId xmlns:a16="http://schemas.microsoft.com/office/drawing/2014/main" id="{E3596E76-2517-489A-A24A-E8ECE3D13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113</xdr:row>
      <xdr:rowOff>0</xdr:rowOff>
    </xdr:from>
    <xdr:ext cx="123825" cy="123825"/>
    <xdr:pic>
      <xdr:nvPicPr>
        <xdr:cNvPr id="340" name="BExW253QPOZK9KW8BJC3LBXGCG2N" descr="Y5HX37BEUWSN1NEFJKZJXI3SX" hidden="1">
          <a:extLst>
            <a:ext uri="{FF2B5EF4-FFF2-40B4-BE49-F238E27FC236}">
              <a16:creationId xmlns:a16="http://schemas.microsoft.com/office/drawing/2014/main" id="{84895A9A-BAEB-4F0F-8761-011DBB03F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2152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111</xdr:row>
      <xdr:rowOff>9525</xdr:rowOff>
    </xdr:from>
    <xdr:ext cx="47625" cy="47625"/>
    <xdr:pic>
      <xdr:nvPicPr>
        <xdr:cNvPr id="341" name="BExS5CPQ8P8JOQPK7ANNKHLSGOKU" hidden="1">
          <a:extLst>
            <a:ext uri="{FF2B5EF4-FFF2-40B4-BE49-F238E27FC236}">
              <a16:creationId xmlns:a16="http://schemas.microsoft.com/office/drawing/2014/main" id="{089E39CE-72F7-432A-89C4-3A5B9EC9D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111</xdr:row>
      <xdr:rowOff>85725</xdr:rowOff>
    </xdr:from>
    <xdr:ext cx="47625" cy="47625"/>
    <xdr:pic>
      <xdr:nvPicPr>
        <xdr:cNvPr id="342" name="BExMM0AVUAIRNJLXB1FW8R0YB4ZZ" hidden="1">
          <a:extLst>
            <a:ext uri="{FF2B5EF4-FFF2-40B4-BE49-F238E27FC236}">
              <a16:creationId xmlns:a16="http://schemas.microsoft.com/office/drawing/2014/main" id="{21EC7F09-5F24-45BA-BD80-94B8F0302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111</xdr:row>
      <xdr:rowOff>9525</xdr:rowOff>
    </xdr:from>
    <xdr:ext cx="47625" cy="47625"/>
    <xdr:pic>
      <xdr:nvPicPr>
        <xdr:cNvPr id="343" name="BExXZ7Y09CBS0XA7IPB3IRJ8RJM4" hidden="1">
          <a:extLst>
            <a:ext uri="{FF2B5EF4-FFF2-40B4-BE49-F238E27FC236}">
              <a16:creationId xmlns:a16="http://schemas.microsoft.com/office/drawing/2014/main" id="{D392143B-9EE4-41AE-BDE4-374F983F2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111</xdr:row>
      <xdr:rowOff>85725</xdr:rowOff>
    </xdr:from>
    <xdr:ext cx="47625" cy="47625"/>
    <xdr:pic>
      <xdr:nvPicPr>
        <xdr:cNvPr id="344" name="BExQ7SXS9VUG7P6CACU2J7R2SGIZ" hidden="1">
          <a:extLst>
            <a:ext uri="{FF2B5EF4-FFF2-40B4-BE49-F238E27FC236}">
              <a16:creationId xmlns:a16="http://schemas.microsoft.com/office/drawing/2014/main" id="{E78B7ADE-9BB5-4F5D-9C5F-B8837FB97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111</xdr:row>
      <xdr:rowOff>9525</xdr:rowOff>
    </xdr:from>
    <xdr:ext cx="47625" cy="47625"/>
    <xdr:pic>
      <xdr:nvPicPr>
        <xdr:cNvPr id="345" name="BEx5AQZ4ETQ9LMY5EBWVH20Z7VXQ" hidden="1">
          <a:extLst>
            <a:ext uri="{FF2B5EF4-FFF2-40B4-BE49-F238E27FC236}">
              <a16:creationId xmlns:a16="http://schemas.microsoft.com/office/drawing/2014/main" id="{CAFB381A-9A3C-4112-8A8B-2113AFEA5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111</xdr:row>
      <xdr:rowOff>85725</xdr:rowOff>
    </xdr:from>
    <xdr:ext cx="47625" cy="47625"/>
    <xdr:pic>
      <xdr:nvPicPr>
        <xdr:cNvPr id="346" name="BExUBK0YZ5VYFY8TTITJGJU9S06A" hidden="1">
          <a:extLst>
            <a:ext uri="{FF2B5EF4-FFF2-40B4-BE49-F238E27FC236}">
              <a16:creationId xmlns:a16="http://schemas.microsoft.com/office/drawing/2014/main" id="{4713E959-395D-466D-B37A-7DA4209E4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111</xdr:row>
      <xdr:rowOff>9525</xdr:rowOff>
    </xdr:from>
    <xdr:ext cx="47625" cy="47625"/>
    <xdr:pic>
      <xdr:nvPicPr>
        <xdr:cNvPr id="347" name="BExUEZCSSJ7RN4J18I2NUIQR2FZS" hidden="1">
          <a:extLst>
            <a:ext uri="{FF2B5EF4-FFF2-40B4-BE49-F238E27FC236}">
              <a16:creationId xmlns:a16="http://schemas.microsoft.com/office/drawing/2014/main" id="{93ADFE28-89AA-4CD5-BD0E-72FBBC422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211550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111</xdr:row>
      <xdr:rowOff>85725</xdr:rowOff>
    </xdr:from>
    <xdr:ext cx="47625" cy="47625"/>
    <xdr:pic>
      <xdr:nvPicPr>
        <xdr:cNvPr id="348" name="BExS3JDQWF7U3F5JTEVOE16ASIYK" hidden="1">
          <a:extLst>
            <a:ext uri="{FF2B5EF4-FFF2-40B4-BE49-F238E27FC236}">
              <a16:creationId xmlns:a16="http://schemas.microsoft.com/office/drawing/2014/main" id="{4E5B0298-1E41-48AA-9BD4-620499551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212312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114</xdr:row>
      <xdr:rowOff>0</xdr:rowOff>
    </xdr:from>
    <xdr:ext cx="123825" cy="123825"/>
    <xdr:pic>
      <xdr:nvPicPr>
        <xdr:cNvPr id="349" name="BEx973S463FCQVJ7QDFBUIU0WJ3F" descr="ZQTVYL8DCSADVT0QMRXFLU0TR" hidden="1">
          <a:extLst>
            <a:ext uri="{FF2B5EF4-FFF2-40B4-BE49-F238E27FC236}">
              <a16:creationId xmlns:a16="http://schemas.microsoft.com/office/drawing/2014/main" id="{FCE669B9-5E3D-4147-8082-DF91FC0B0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21717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113</xdr:row>
      <xdr:rowOff>0</xdr:rowOff>
    </xdr:from>
    <xdr:ext cx="123825" cy="123825"/>
    <xdr:pic>
      <xdr:nvPicPr>
        <xdr:cNvPr id="350" name="BEx5FXJGJOT93D0J2IRJ3985IUMI" hidden="1">
          <a:extLst>
            <a:ext uri="{FF2B5EF4-FFF2-40B4-BE49-F238E27FC236}">
              <a16:creationId xmlns:a16="http://schemas.microsoft.com/office/drawing/2014/main" id="{9FBE1064-68A3-4744-A004-225159ECE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152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112</xdr:row>
      <xdr:rowOff>0</xdr:rowOff>
    </xdr:from>
    <xdr:ext cx="123825" cy="123825"/>
    <xdr:pic>
      <xdr:nvPicPr>
        <xdr:cNvPr id="351" name="BEx3RTMHAR35NUAAK49TV6NU7EPA" descr="QFXLG4ZCXTRQSJYFCKJ58G9N8" hidden="1">
          <a:extLst>
            <a:ext uri="{FF2B5EF4-FFF2-40B4-BE49-F238E27FC236}">
              <a16:creationId xmlns:a16="http://schemas.microsoft.com/office/drawing/2014/main" id="{1D3BFB14-0593-455E-AC25-FAAFDBD11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21336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115</xdr:row>
      <xdr:rowOff>0</xdr:rowOff>
    </xdr:from>
    <xdr:ext cx="123825" cy="123825"/>
    <xdr:pic>
      <xdr:nvPicPr>
        <xdr:cNvPr id="352" name="BExS8T38WLC2R738ZC7BDJQAKJAJ" descr="MRI962L5PB0E0YWXCIBN82VJH" hidden="1">
          <a:extLst>
            <a:ext uri="{FF2B5EF4-FFF2-40B4-BE49-F238E27FC236}">
              <a16:creationId xmlns:a16="http://schemas.microsoft.com/office/drawing/2014/main" id="{6EE9E79A-B2F0-404C-A72D-170697AC0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21907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113</xdr:row>
      <xdr:rowOff>0</xdr:rowOff>
    </xdr:from>
    <xdr:ext cx="123825" cy="123825"/>
    <xdr:pic>
      <xdr:nvPicPr>
        <xdr:cNvPr id="353" name="BEx5F64BJ6DCM4EJH81D5ZFNPZ0V" descr="7DJ9FILZD2YPS6X1JBP9E76TU" hidden="1">
          <a:extLst>
            <a:ext uri="{FF2B5EF4-FFF2-40B4-BE49-F238E27FC236}">
              <a16:creationId xmlns:a16="http://schemas.microsoft.com/office/drawing/2014/main" id="{457FF1FA-E34B-4478-9CA6-917D638C5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152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113</xdr:row>
      <xdr:rowOff>0</xdr:rowOff>
    </xdr:from>
    <xdr:ext cx="123825" cy="123825"/>
    <xdr:pic>
      <xdr:nvPicPr>
        <xdr:cNvPr id="354" name="BExQEXXHA3EEXR44LT6RKCDWM6ZT" hidden="1">
          <a:extLst>
            <a:ext uri="{FF2B5EF4-FFF2-40B4-BE49-F238E27FC236}">
              <a16:creationId xmlns:a16="http://schemas.microsoft.com/office/drawing/2014/main" id="{444B896E-7328-4CAA-A09C-046AB8268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152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117</xdr:row>
      <xdr:rowOff>0</xdr:rowOff>
    </xdr:from>
    <xdr:ext cx="123825" cy="123825"/>
    <xdr:pic>
      <xdr:nvPicPr>
        <xdr:cNvPr id="355" name="BEx1X6AMHV6ZK3UJB2BXIJTJHYJU" descr="OALR4L95ELQLZ1Y1LETHM1CS9" hidden="1">
          <a:extLst>
            <a:ext uri="{FF2B5EF4-FFF2-40B4-BE49-F238E27FC236}">
              <a16:creationId xmlns:a16="http://schemas.microsoft.com/office/drawing/2014/main" id="{D6AFEFC4-3D84-43D8-8FE8-0973A1AD4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22288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112</xdr:row>
      <xdr:rowOff>0</xdr:rowOff>
    </xdr:from>
    <xdr:ext cx="123825" cy="123825"/>
    <xdr:pic>
      <xdr:nvPicPr>
        <xdr:cNvPr id="356" name="BExSDIVCE09QKG3CT52PHCS6ZJ09" descr="9F076L7EQCF2COMMGCQG6BQGU" hidden="1">
          <a:extLst>
            <a:ext uri="{FF2B5EF4-FFF2-40B4-BE49-F238E27FC236}">
              <a16:creationId xmlns:a16="http://schemas.microsoft.com/office/drawing/2014/main" id="{3C25DDC9-6826-4C1C-A5AB-F82593DD3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21336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120</xdr:row>
      <xdr:rowOff>0</xdr:rowOff>
    </xdr:from>
    <xdr:ext cx="123825" cy="123825"/>
    <xdr:pic>
      <xdr:nvPicPr>
        <xdr:cNvPr id="357" name="BExS343F8GCKP6HTF9Y97L133DX8" descr="ZRF0KB1IYQSNV63CTXT25G67G" hidden="1">
          <a:extLst>
            <a:ext uri="{FF2B5EF4-FFF2-40B4-BE49-F238E27FC236}">
              <a16:creationId xmlns:a16="http://schemas.microsoft.com/office/drawing/2014/main" id="{0DDFBA1E-24FA-4CF5-92AB-997CBBA21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2860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119</xdr:row>
      <xdr:rowOff>0</xdr:rowOff>
    </xdr:from>
    <xdr:ext cx="123825" cy="123825"/>
    <xdr:pic>
      <xdr:nvPicPr>
        <xdr:cNvPr id="358" name="BExZMRC09W87CY4B73NPZMNH21AH" descr="78CUMI0OVLYJRSDRQ3V2YX812" hidden="1">
          <a:extLst>
            <a:ext uri="{FF2B5EF4-FFF2-40B4-BE49-F238E27FC236}">
              <a16:creationId xmlns:a16="http://schemas.microsoft.com/office/drawing/2014/main" id="{D311204C-37FA-4439-849A-19FAACA55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2669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118</xdr:row>
      <xdr:rowOff>9525</xdr:rowOff>
    </xdr:from>
    <xdr:ext cx="123825" cy="123825"/>
    <xdr:pic>
      <xdr:nvPicPr>
        <xdr:cNvPr id="359" name="BExZXVFJ4DY4I24AARDT4AMP6EN1" descr="TXSMH2MTH86CYKA26740RQPUC" hidden="1">
          <a:extLst>
            <a:ext uri="{FF2B5EF4-FFF2-40B4-BE49-F238E27FC236}">
              <a16:creationId xmlns:a16="http://schemas.microsoft.com/office/drawing/2014/main" id="{87CDD63D-1AFD-4132-B385-65993A447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2488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117</xdr:row>
      <xdr:rowOff>0</xdr:rowOff>
    </xdr:from>
    <xdr:ext cx="123825" cy="123825"/>
    <xdr:pic>
      <xdr:nvPicPr>
        <xdr:cNvPr id="360" name="BExOCUIOFQWUGTBU5ESTW3EYEP5C" descr="9BNF49V0R6VVYPHEVMJ3ABDQZ" hidden="1">
          <a:extLst>
            <a:ext uri="{FF2B5EF4-FFF2-40B4-BE49-F238E27FC236}">
              <a16:creationId xmlns:a16="http://schemas.microsoft.com/office/drawing/2014/main" id="{3539925D-F4C4-406E-9EA2-8457273BB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2288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116</xdr:row>
      <xdr:rowOff>0</xdr:rowOff>
    </xdr:from>
    <xdr:ext cx="123825" cy="123825"/>
    <xdr:pic>
      <xdr:nvPicPr>
        <xdr:cNvPr id="361" name="BExU65O9OE4B4MQ2A3OYH13M8BZJ" descr="3INNIMMPDBB0JF37L81M6ID21" hidden="1">
          <a:extLst>
            <a:ext uri="{FF2B5EF4-FFF2-40B4-BE49-F238E27FC236}">
              <a16:creationId xmlns:a16="http://schemas.microsoft.com/office/drawing/2014/main" id="{E6227518-9BB5-4CB7-ABA3-EF295C2DB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2098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115</xdr:row>
      <xdr:rowOff>0</xdr:rowOff>
    </xdr:from>
    <xdr:ext cx="123825" cy="123825"/>
    <xdr:pic>
      <xdr:nvPicPr>
        <xdr:cNvPr id="362" name="BExOPRCR0UW7TKXSV5WDTL348FGL" descr="S9JM17GP1802LHN4GT14BJYIC" hidden="1">
          <a:extLst>
            <a:ext uri="{FF2B5EF4-FFF2-40B4-BE49-F238E27FC236}">
              <a16:creationId xmlns:a16="http://schemas.microsoft.com/office/drawing/2014/main" id="{3B8FFA8A-B756-43A8-8A26-DBA3076CE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1907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114</xdr:row>
      <xdr:rowOff>0</xdr:rowOff>
    </xdr:from>
    <xdr:ext cx="123825" cy="123825"/>
    <xdr:pic>
      <xdr:nvPicPr>
        <xdr:cNvPr id="363" name="BEx5OESAY2W8SEGI3TSB65EHJ04B" descr="9CN2Y88X8WYV1HWZG1QILY9BK" hidden="1">
          <a:extLst>
            <a:ext uri="{FF2B5EF4-FFF2-40B4-BE49-F238E27FC236}">
              <a16:creationId xmlns:a16="http://schemas.microsoft.com/office/drawing/2014/main" id="{CAA4AE5F-DCF7-4C1F-B852-D9A7E9FB6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1717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113</xdr:row>
      <xdr:rowOff>0</xdr:rowOff>
    </xdr:from>
    <xdr:ext cx="123825" cy="123825"/>
    <xdr:pic>
      <xdr:nvPicPr>
        <xdr:cNvPr id="364" name="BExGMWEQ2BYRY9BAO5T1X850MJN1" descr="AZ9ST0XDIOP50HSUFO5V31BR0" hidden="1">
          <a:extLst>
            <a:ext uri="{FF2B5EF4-FFF2-40B4-BE49-F238E27FC236}">
              <a16:creationId xmlns:a16="http://schemas.microsoft.com/office/drawing/2014/main" id="{6178BC9A-1A40-408E-8D68-EADA65F34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1526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122</xdr:row>
      <xdr:rowOff>9525</xdr:rowOff>
    </xdr:from>
    <xdr:ext cx="47625" cy="47625"/>
    <xdr:pic>
      <xdr:nvPicPr>
        <xdr:cNvPr id="365" name="BExMO7VFCN4EL59982UR4AJ25JNJ" descr="XX6TINEJADZGKR0CTM7ZRT0RA" hidden="1">
          <a:extLst>
            <a:ext uri="{FF2B5EF4-FFF2-40B4-BE49-F238E27FC236}">
              <a16:creationId xmlns:a16="http://schemas.microsoft.com/office/drawing/2014/main" id="{84E59D81-D152-414A-9B28-527A96EBC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3250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122</xdr:row>
      <xdr:rowOff>85725</xdr:rowOff>
    </xdr:from>
    <xdr:ext cx="47625" cy="47625"/>
    <xdr:pic>
      <xdr:nvPicPr>
        <xdr:cNvPr id="366" name="BExU3EX5JJCXCII4YKUJBFBGIJR2" descr="OF5ZI9PI5WH36VPANJ2DYLNMI" hidden="1">
          <a:extLst>
            <a:ext uri="{FF2B5EF4-FFF2-40B4-BE49-F238E27FC236}">
              <a16:creationId xmlns:a16="http://schemas.microsoft.com/office/drawing/2014/main" id="{EA60E9EE-4E79-487C-A515-B5A0385D7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3326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122</xdr:row>
      <xdr:rowOff>9525</xdr:rowOff>
    </xdr:from>
    <xdr:ext cx="47625" cy="47625"/>
    <xdr:pic>
      <xdr:nvPicPr>
        <xdr:cNvPr id="367" name="BEx1KD7H6UB1VYCJ7O61P562EIUY" descr="IQGV9140X0K0UPBL8OGU3I44J" hidden="1">
          <a:extLst>
            <a:ext uri="{FF2B5EF4-FFF2-40B4-BE49-F238E27FC236}">
              <a16:creationId xmlns:a16="http://schemas.microsoft.com/office/drawing/2014/main" id="{51AC1C32-05EF-404C-9BEE-68D76C240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23250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122</xdr:row>
      <xdr:rowOff>85725</xdr:rowOff>
    </xdr:from>
    <xdr:ext cx="47625" cy="47625"/>
    <xdr:pic>
      <xdr:nvPicPr>
        <xdr:cNvPr id="368" name="BEx5BJQWS6YWHH4ZMSUAMD641V6Y" descr="ZTMFMXCIQSECDX38ALEFHUB00" hidden="1">
          <a:extLst>
            <a:ext uri="{FF2B5EF4-FFF2-40B4-BE49-F238E27FC236}">
              <a16:creationId xmlns:a16="http://schemas.microsoft.com/office/drawing/2014/main" id="{2BCA0AC2-2179-4C2C-8B3A-FD5F23E57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23326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122</xdr:row>
      <xdr:rowOff>9525</xdr:rowOff>
    </xdr:from>
    <xdr:ext cx="47625" cy="47625"/>
    <xdr:pic>
      <xdr:nvPicPr>
        <xdr:cNvPr id="369" name="BExVTO5Q8G2M7BPL4B2584LQS0R0" descr="OB6Q8NA4LZFE4GM9Y3V56BPMQ" hidden="1">
          <a:extLst>
            <a:ext uri="{FF2B5EF4-FFF2-40B4-BE49-F238E27FC236}">
              <a16:creationId xmlns:a16="http://schemas.microsoft.com/office/drawing/2014/main" id="{C4308532-6662-4665-B52F-AFBFCED0E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23250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122</xdr:row>
      <xdr:rowOff>85725</xdr:rowOff>
    </xdr:from>
    <xdr:ext cx="47625" cy="47625"/>
    <xdr:pic>
      <xdr:nvPicPr>
        <xdr:cNvPr id="370" name="BExIFSCLN1G86X78PFLTSMRP0US5" descr="9JK4SPV4DG7VTCZIILWHXQU5J" hidden="1">
          <a:extLst>
            <a:ext uri="{FF2B5EF4-FFF2-40B4-BE49-F238E27FC236}">
              <a16:creationId xmlns:a16="http://schemas.microsoft.com/office/drawing/2014/main" id="{13B0AFF7-46C5-4357-81CB-32A6DB808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0" y="23326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122</xdr:row>
      <xdr:rowOff>9525</xdr:rowOff>
    </xdr:from>
    <xdr:ext cx="47625" cy="47625"/>
    <xdr:pic>
      <xdr:nvPicPr>
        <xdr:cNvPr id="371" name="BEx1I152WN2D3A85O2XN0DGXCWHN" descr="KHBZFMANRA4UMJR1AB4M5NJNT" hidden="1">
          <a:extLst>
            <a:ext uri="{FF2B5EF4-FFF2-40B4-BE49-F238E27FC236}">
              <a16:creationId xmlns:a16="http://schemas.microsoft.com/office/drawing/2014/main" id="{6398D2B3-7DA9-475F-AD07-8AA733058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3250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122</xdr:row>
      <xdr:rowOff>85725</xdr:rowOff>
    </xdr:from>
    <xdr:ext cx="47625" cy="47625"/>
    <xdr:pic>
      <xdr:nvPicPr>
        <xdr:cNvPr id="372" name="BExW9676P0SKCVKK25QCGHPA3PAD" descr="9A4PWZ20RMSRF0PNECCDM75CA" hidden="1">
          <a:extLst>
            <a:ext uri="{FF2B5EF4-FFF2-40B4-BE49-F238E27FC236}">
              <a16:creationId xmlns:a16="http://schemas.microsoft.com/office/drawing/2014/main" id="{01A95517-A994-462F-8804-B2E61B8A5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3326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124</xdr:row>
      <xdr:rowOff>0</xdr:rowOff>
    </xdr:from>
    <xdr:ext cx="123825" cy="123825"/>
    <xdr:pic>
      <xdr:nvPicPr>
        <xdr:cNvPr id="373" name="BExW253QPOZK9KW8BJC3LBXGCG2N" descr="Y5HX37BEUWSN1NEFJKZJXI3SX" hidden="1">
          <a:extLst>
            <a:ext uri="{FF2B5EF4-FFF2-40B4-BE49-F238E27FC236}">
              <a16:creationId xmlns:a16="http://schemas.microsoft.com/office/drawing/2014/main" id="{CA1FA0F4-3ACC-40C4-A123-CC5C3FEA6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2362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122</xdr:row>
      <xdr:rowOff>9525</xdr:rowOff>
    </xdr:from>
    <xdr:ext cx="47625" cy="47625"/>
    <xdr:pic>
      <xdr:nvPicPr>
        <xdr:cNvPr id="374" name="BExS5CPQ8P8JOQPK7ANNKHLSGOKU" hidden="1">
          <a:extLst>
            <a:ext uri="{FF2B5EF4-FFF2-40B4-BE49-F238E27FC236}">
              <a16:creationId xmlns:a16="http://schemas.microsoft.com/office/drawing/2014/main" id="{64AD4E05-097B-4975-9B43-FFF21593D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3250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122</xdr:row>
      <xdr:rowOff>85725</xdr:rowOff>
    </xdr:from>
    <xdr:ext cx="47625" cy="47625"/>
    <xdr:pic>
      <xdr:nvPicPr>
        <xdr:cNvPr id="375" name="BExMM0AVUAIRNJLXB1FW8R0YB4ZZ" hidden="1">
          <a:extLst>
            <a:ext uri="{FF2B5EF4-FFF2-40B4-BE49-F238E27FC236}">
              <a16:creationId xmlns:a16="http://schemas.microsoft.com/office/drawing/2014/main" id="{787EE184-8EA2-4789-8C1A-243C6D22D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3326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122</xdr:row>
      <xdr:rowOff>9525</xdr:rowOff>
    </xdr:from>
    <xdr:ext cx="47625" cy="47625"/>
    <xdr:pic>
      <xdr:nvPicPr>
        <xdr:cNvPr id="376" name="BExXZ7Y09CBS0XA7IPB3IRJ8RJM4" hidden="1">
          <a:extLst>
            <a:ext uri="{FF2B5EF4-FFF2-40B4-BE49-F238E27FC236}">
              <a16:creationId xmlns:a16="http://schemas.microsoft.com/office/drawing/2014/main" id="{8E0EBB97-F055-4E52-B9D4-DFCBC5C2C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3250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122</xdr:row>
      <xdr:rowOff>85725</xdr:rowOff>
    </xdr:from>
    <xdr:ext cx="47625" cy="47625"/>
    <xdr:pic>
      <xdr:nvPicPr>
        <xdr:cNvPr id="377" name="BExQ7SXS9VUG7P6CACU2J7R2SGIZ" hidden="1">
          <a:extLst>
            <a:ext uri="{FF2B5EF4-FFF2-40B4-BE49-F238E27FC236}">
              <a16:creationId xmlns:a16="http://schemas.microsoft.com/office/drawing/2014/main" id="{27003A57-FC4B-4807-AC26-AFBD009DF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23326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122</xdr:row>
      <xdr:rowOff>9525</xdr:rowOff>
    </xdr:from>
    <xdr:ext cx="47625" cy="47625"/>
    <xdr:pic>
      <xdr:nvPicPr>
        <xdr:cNvPr id="378" name="BEx5AQZ4ETQ9LMY5EBWVH20Z7VXQ" hidden="1">
          <a:extLst>
            <a:ext uri="{FF2B5EF4-FFF2-40B4-BE49-F238E27FC236}">
              <a16:creationId xmlns:a16="http://schemas.microsoft.com/office/drawing/2014/main" id="{32BC89D5-CD40-41AD-BA9A-41274E6EC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23250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122</xdr:row>
      <xdr:rowOff>85725</xdr:rowOff>
    </xdr:from>
    <xdr:ext cx="47625" cy="47625"/>
    <xdr:pic>
      <xdr:nvPicPr>
        <xdr:cNvPr id="379" name="BExUBK0YZ5VYFY8TTITJGJU9S06A" hidden="1">
          <a:extLst>
            <a:ext uri="{FF2B5EF4-FFF2-40B4-BE49-F238E27FC236}">
              <a16:creationId xmlns:a16="http://schemas.microsoft.com/office/drawing/2014/main" id="{C83CC174-6587-405C-9679-CEFF28C4D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650" y="23326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122</xdr:row>
      <xdr:rowOff>9525</xdr:rowOff>
    </xdr:from>
    <xdr:ext cx="47625" cy="47625"/>
    <xdr:pic>
      <xdr:nvPicPr>
        <xdr:cNvPr id="380" name="BExUEZCSSJ7RN4J18I2NUIQR2FZS" hidden="1">
          <a:extLst>
            <a:ext uri="{FF2B5EF4-FFF2-40B4-BE49-F238E27FC236}">
              <a16:creationId xmlns:a16="http://schemas.microsoft.com/office/drawing/2014/main" id="{CB5AB4B3-1DCE-47B3-ACFC-D5C7B1783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7775" y="232505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122</xdr:row>
      <xdr:rowOff>85725</xdr:rowOff>
    </xdr:from>
    <xdr:ext cx="47625" cy="47625"/>
    <xdr:pic>
      <xdr:nvPicPr>
        <xdr:cNvPr id="381" name="BExS3JDQWF7U3F5JTEVOE16ASIYK" hidden="1">
          <a:extLst>
            <a:ext uri="{FF2B5EF4-FFF2-40B4-BE49-F238E27FC236}">
              <a16:creationId xmlns:a16="http://schemas.microsoft.com/office/drawing/2014/main" id="{35BA95CC-7AFD-485B-811C-D0DA0015C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2332672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125</xdr:row>
      <xdr:rowOff>0</xdr:rowOff>
    </xdr:from>
    <xdr:ext cx="123825" cy="123825"/>
    <xdr:pic>
      <xdr:nvPicPr>
        <xdr:cNvPr id="382" name="BEx973S463FCQVJ7QDFBUIU0WJ3F" descr="ZQTVYL8DCSADVT0QMRXFLU0TR" hidden="1">
          <a:extLst>
            <a:ext uri="{FF2B5EF4-FFF2-40B4-BE49-F238E27FC236}">
              <a16:creationId xmlns:a16="http://schemas.microsoft.com/office/drawing/2014/main" id="{28D7B822-8B8F-424E-9765-45C3DBCDE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" y="2381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124</xdr:row>
      <xdr:rowOff>0</xdr:rowOff>
    </xdr:from>
    <xdr:ext cx="123825" cy="123825"/>
    <xdr:pic>
      <xdr:nvPicPr>
        <xdr:cNvPr id="383" name="BEx5FXJGJOT93D0J2IRJ3985IUMI" hidden="1">
          <a:extLst>
            <a:ext uri="{FF2B5EF4-FFF2-40B4-BE49-F238E27FC236}">
              <a16:creationId xmlns:a16="http://schemas.microsoft.com/office/drawing/2014/main" id="{6225BF91-205E-46F6-B9D8-0B7FC08A1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362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123</xdr:row>
      <xdr:rowOff>0</xdr:rowOff>
    </xdr:from>
    <xdr:ext cx="123825" cy="123825"/>
    <xdr:pic>
      <xdr:nvPicPr>
        <xdr:cNvPr id="384" name="BEx3RTMHAR35NUAAK49TV6NU7EPA" descr="QFXLG4ZCXTRQSJYFCKJ58G9N8" hidden="1">
          <a:extLst>
            <a:ext uri="{FF2B5EF4-FFF2-40B4-BE49-F238E27FC236}">
              <a16:creationId xmlns:a16="http://schemas.microsoft.com/office/drawing/2014/main" id="{41BA7B1A-3F0C-4B0E-8599-8AB60BFA6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2343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126</xdr:row>
      <xdr:rowOff>0</xdr:rowOff>
    </xdr:from>
    <xdr:ext cx="123825" cy="123825"/>
    <xdr:pic>
      <xdr:nvPicPr>
        <xdr:cNvPr id="385" name="BExS8T38WLC2R738ZC7BDJQAKJAJ" descr="MRI962L5PB0E0YWXCIBN82VJH" hidden="1">
          <a:extLst>
            <a:ext uri="{FF2B5EF4-FFF2-40B4-BE49-F238E27FC236}">
              <a16:creationId xmlns:a16="http://schemas.microsoft.com/office/drawing/2014/main" id="{20CCBC76-C0F1-446F-8C95-79AF51B20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2400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124</xdr:row>
      <xdr:rowOff>0</xdr:rowOff>
    </xdr:from>
    <xdr:ext cx="123825" cy="123825"/>
    <xdr:pic>
      <xdr:nvPicPr>
        <xdr:cNvPr id="386" name="BEx5F64BJ6DCM4EJH81D5ZFNPZ0V" descr="7DJ9FILZD2YPS6X1JBP9E76TU" hidden="1">
          <a:extLst>
            <a:ext uri="{FF2B5EF4-FFF2-40B4-BE49-F238E27FC236}">
              <a16:creationId xmlns:a16="http://schemas.microsoft.com/office/drawing/2014/main" id="{96299099-4D2A-465D-BDD8-E028E873D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362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124</xdr:row>
      <xdr:rowOff>0</xdr:rowOff>
    </xdr:from>
    <xdr:ext cx="123825" cy="123825"/>
    <xdr:pic>
      <xdr:nvPicPr>
        <xdr:cNvPr id="387" name="BExQEXXHA3EEXR44LT6RKCDWM6ZT" hidden="1">
          <a:extLst>
            <a:ext uri="{FF2B5EF4-FFF2-40B4-BE49-F238E27FC236}">
              <a16:creationId xmlns:a16="http://schemas.microsoft.com/office/drawing/2014/main" id="{C0F92F36-5B02-4788-8BE0-05F4F9FC7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362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128</xdr:row>
      <xdr:rowOff>0</xdr:rowOff>
    </xdr:from>
    <xdr:ext cx="123825" cy="123825"/>
    <xdr:pic>
      <xdr:nvPicPr>
        <xdr:cNvPr id="388" name="BEx1X6AMHV6ZK3UJB2BXIJTJHYJU" descr="OALR4L95ELQLZ1Y1LETHM1CS9" hidden="1">
          <a:extLst>
            <a:ext uri="{FF2B5EF4-FFF2-40B4-BE49-F238E27FC236}">
              <a16:creationId xmlns:a16="http://schemas.microsoft.com/office/drawing/2014/main" id="{66B610B4-B720-41FE-A1FF-0FF652A63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5" y="24384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123</xdr:row>
      <xdr:rowOff>0</xdr:rowOff>
    </xdr:from>
    <xdr:ext cx="123825" cy="123825"/>
    <xdr:pic>
      <xdr:nvPicPr>
        <xdr:cNvPr id="389" name="BExSDIVCE09QKG3CT52PHCS6ZJ09" descr="9F076L7EQCF2COMMGCQG6BQGU" hidden="1">
          <a:extLst>
            <a:ext uri="{FF2B5EF4-FFF2-40B4-BE49-F238E27FC236}">
              <a16:creationId xmlns:a16="http://schemas.microsoft.com/office/drawing/2014/main" id="{5EDF1972-EF43-436B-A61D-F8F1132A5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" y="23431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131</xdr:row>
      <xdr:rowOff>0</xdr:rowOff>
    </xdr:from>
    <xdr:ext cx="123825" cy="123825"/>
    <xdr:pic>
      <xdr:nvPicPr>
        <xdr:cNvPr id="390" name="BExS343F8GCKP6HTF9Y97L133DX8" descr="ZRF0KB1IYQSNV63CTXT25G67G" hidden="1">
          <a:extLst>
            <a:ext uri="{FF2B5EF4-FFF2-40B4-BE49-F238E27FC236}">
              <a16:creationId xmlns:a16="http://schemas.microsoft.com/office/drawing/2014/main" id="{D987F72D-E378-4A9F-91EE-233624352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495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130</xdr:row>
      <xdr:rowOff>0</xdr:rowOff>
    </xdr:from>
    <xdr:ext cx="123825" cy="123825"/>
    <xdr:pic>
      <xdr:nvPicPr>
        <xdr:cNvPr id="391" name="BExZMRC09W87CY4B73NPZMNH21AH" descr="78CUMI0OVLYJRSDRQ3V2YX812" hidden="1">
          <a:extLst>
            <a:ext uri="{FF2B5EF4-FFF2-40B4-BE49-F238E27FC236}">
              <a16:creationId xmlns:a16="http://schemas.microsoft.com/office/drawing/2014/main" id="{C627A85C-3D2B-4B7B-AE9F-A05CC7C91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4765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129</xdr:row>
      <xdr:rowOff>9525</xdr:rowOff>
    </xdr:from>
    <xdr:ext cx="123825" cy="123825"/>
    <xdr:pic>
      <xdr:nvPicPr>
        <xdr:cNvPr id="392" name="BExZXVFJ4DY4I24AARDT4AMP6EN1" descr="TXSMH2MTH86CYKA26740RQPUC" hidden="1">
          <a:extLst>
            <a:ext uri="{FF2B5EF4-FFF2-40B4-BE49-F238E27FC236}">
              <a16:creationId xmlns:a16="http://schemas.microsoft.com/office/drawing/2014/main" id="{A641861C-F9CA-4EE1-8D09-CC0EF9E31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4584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128</xdr:row>
      <xdr:rowOff>0</xdr:rowOff>
    </xdr:from>
    <xdr:ext cx="123825" cy="123825"/>
    <xdr:pic>
      <xdr:nvPicPr>
        <xdr:cNvPr id="393" name="BExOCUIOFQWUGTBU5ESTW3EYEP5C" descr="9BNF49V0R6VVYPHEVMJ3ABDQZ" hidden="1">
          <a:extLst>
            <a:ext uri="{FF2B5EF4-FFF2-40B4-BE49-F238E27FC236}">
              <a16:creationId xmlns:a16="http://schemas.microsoft.com/office/drawing/2014/main" id="{C49B0DED-4649-4AB2-921F-8F3D05462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4384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127</xdr:row>
      <xdr:rowOff>0</xdr:rowOff>
    </xdr:from>
    <xdr:ext cx="123825" cy="123825"/>
    <xdr:pic>
      <xdr:nvPicPr>
        <xdr:cNvPr id="394" name="BExU65O9OE4B4MQ2A3OYH13M8BZJ" descr="3INNIMMPDBB0JF37L81M6ID21" hidden="1">
          <a:extLst>
            <a:ext uri="{FF2B5EF4-FFF2-40B4-BE49-F238E27FC236}">
              <a16:creationId xmlns:a16="http://schemas.microsoft.com/office/drawing/2014/main" id="{3ACAA28D-0329-4DBA-9A54-31BDD546C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4193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126</xdr:row>
      <xdr:rowOff>0</xdr:rowOff>
    </xdr:from>
    <xdr:ext cx="123825" cy="123825"/>
    <xdr:pic>
      <xdr:nvPicPr>
        <xdr:cNvPr id="395" name="BExOPRCR0UW7TKXSV5WDTL348FGL" descr="S9JM17GP1802LHN4GT14BJYIC" hidden="1">
          <a:extLst>
            <a:ext uri="{FF2B5EF4-FFF2-40B4-BE49-F238E27FC236}">
              <a16:creationId xmlns:a16="http://schemas.microsoft.com/office/drawing/2014/main" id="{30FDDE55-3041-4373-9CE8-5A113CD60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4003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125</xdr:row>
      <xdr:rowOff>0</xdr:rowOff>
    </xdr:from>
    <xdr:ext cx="123825" cy="123825"/>
    <xdr:pic>
      <xdr:nvPicPr>
        <xdr:cNvPr id="396" name="BEx5OESAY2W8SEGI3TSB65EHJ04B" descr="9CN2Y88X8WYV1HWZG1QILY9BK" hidden="1">
          <a:extLst>
            <a:ext uri="{FF2B5EF4-FFF2-40B4-BE49-F238E27FC236}">
              <a16:creationId xmlns:a16="http://schemas.microsoft.com/office/drawing/2014/main" id="{4BFFEF73-16DB-43E5-BC24-AE642F05D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3812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124</xdr:row>
      <xdr:rowOff>0</xdr:rowOff>
    </xdr:from>
    <xdr:ext cx="123825" cy="123825"/>
    <xdr:pic>
      <xdr:nvPicPr>
        <xdr:cNvPr id="397" name="BExGMWEQ2BYRY9BAO5T1X850MJN1" descr="AZ9ST0XDIOP50HSUFO5V31BR0" hidden="1">
          <a:extLst>
            <a:ext uri="{FF2B5EF4-FFF2-40B4-BE49-F238E27FC236}">
              <a16:creationId xmlns:a16="http://schemas.microsoft.com/office/drawing/2014/main" id="{841D7CB3-FF70-43B1-95A0-2487A3945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2362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676275</xdr:colOff>
      <xdr:row>5</xdr:row>
      <xdr:rowOff>28575</xdr:rowOff>
    </xdr:from>
    <xdr:to>
      <xdr:col>20</xdr:col>
      <xdr:colOff>314325</xdr:colOff>
      <xdr:row>41</xdr:row>
      <xdr:rowOff>66675</xdr:rowOff>
    </xdr:to>
    <xdr:pic>
      <xdr:nvPicPr>
        <xdr:cNvPr id="7336" name="Picture 1">
          <a:extLst>
            <a:ext uri="{FF2B5EF4-FFF2-40B4-BE49-F238E27FC236}">
              <a16:creationId xmlns:a16="http://schemas.microsoft.com/office/drawing/2014/main" id="{BC4D2BD5-19D1-4D9D-8B83-4C80BB770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838200"/>
          <a:ext cx="8239125" cy="408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9090</xdr:colOff>
      <xdr:row>10</xdr:row>
      <xdr:rowOff>104774</xdr:rowOff>
    </xdr:from>
    <xdr:to>
      <xdr:col>15</xdr:col>
      <xdr:colOff>361515</xdr:colOff>
      <xdr:row>14</xdr:row>
      <xdr:rowOff>9524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521EA243-67E1-4D9A-A35E-7219066B9814}"/>
            </a:ext>
          </a:extLst>
        </xdr:cNvPr>
        <xdr:cNvSpPr/>
      </xdr:nvSpPr>
      <xdr:spPr>
        <a:xfrm>
          <a:off x="7524315" y="1724024"/>
          <a:ext cx="2790825" cy="5524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2</xdr:row>
      <xdr:rowOff>171450</xdr:rowOff>
    </xdr:from>
    <xdr:to>
      <xdr:col>10</xdr:col>
      <xdr:colOff>152400</xdr:colOff>
      <xdr:row>32</xdr:row>
      <xdr:rowOff>171450</xdr:rowOff>
    </xdr:to>
    <xdr:pic>
      <xdr:nvPicPr>
        <xdr:cNvPr id="3393" name="Picture 1">
          <a:extLst>
            <a:ext uri="{FF2B5EF4-FFF2-40B4-BE49-F238E27FC236}">
              <a16:creationId xmlns:a16="http://schemas.microsoft.com/office/drawing/2014/main" id="{8CD59A3C-74D1-4153-A3DB-3BD2DC57D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552450"/>
          <a:ext cx="5648325" cy="573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266700</xdr:colOff>
      <xdr:row>1</xdr:row>
      <xdr:rowOff>171450</xdr:rowOff>
    </xdr:from>
    <xdr:to>
      <xdr:col>21</xdr:col>
      <xdr:colOff>209550</xdr:colOff>
      <xdr:row>15</xdr:row>
      <xdr:rowOff>76200</xdr:rowOff>
    </xdr:to>
    <xdr:pic>
      <xdr:nvPicPr>
        <xdr:cNvPr id="3394" name="Picture 2">
          <a:extLst>
            <a:ext uri="{FF2B5EF4-FFF2-40B4-BE49-F238E27FC236}">
              <a16:creationId xmlns:a16="http://schemas.microsoft.com/office/drawing/2014/main" id="{F4DED5D8-E397-4257-AB99-95BC26E3F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361950"/>
          <a:ext cx="603885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390525</xdr:colOff>
      <xdr:row>17</xdr:row>
      <xdr:rowOff>19050</xdr:rowOff>
    </xdr:from>
    <xdr:to>
      <xdr:col>22</xdr:col>
      <xdr:colOff>419100</xdr:colOff>
      <xdr:row>38</xdr:row>
      <xdr:rowOff>47625</xdr:rowOff>
    </xdr:to>
    <xdr:pic>
      <xdr:nvPicPr>
        <xdr:cNvPr id="3395" name="Picture 3">
          <a:extLst>
            <a:ext uri="{FF2B5EF4-FFF2-40B4-BE49-F238E27FC236}">
              <a16:creationId xmlns:a16="http://schemas.microsoft.com/office/drawing/2014/main" id="{7E5FDF09-08D1-4FFC-BAC4-393585E83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3276600"/>
          <a:ext cx="6734175" cy="402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590550</xdr:colOff>
      <xdr:row>41</xdr:row>
      <xdr:rowOff>47625</xdr:rowOff>
    </xdr:from>
    <xdr:to>
      <xdr:col>21</xdr:col>
      <xdr:colOff>561975</xdr:colOff>
      <xdr:row>47</xdr:row>
      <xdr:rowOff>85725</xdr:rowOff>
    </xdr:to>
    <xdr:pic>
      <xdr:nvPicPr>
        <xdr:cNvPr id="3396" name="Picture 5">
          <a:extLst>
            <a:ext uri="{FF2B5EF4-FFF2-40B4-BE49-F238E27FC236}">
              <a16:creationId xmlns:a16="http://schemas.microsoft.com/office/drawing/2014/main" id="{614C611F-44D3-463E-A60D-8B6FC68E4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7877175"/>
          <a:ext cx="60674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571500</xdr:colOff>
      <xdr:row>4</xdr:row>
      <xdr:rowOff>28575</xdr:rowOff>
    </xdr:from>
    <xdr:to>
      <xdr:col>21</xdr:col>
      <xdr:colOff>381000</xdr:colOff>
      <xdr:row>41</xdr:row>
      <xdr:rowOff>85725</xdr:rowOff>
    </xdr:to>
    <xdr:pic>
      <xdr:nvPicPr>
        <xdr:cNvPr id="8358" name="Picture 1">
          <a:extLst>
            <a:ext uri="{FF2B5EF4-FFF2-40B4-BE49-F238E27FC236}">
              <a16:creationId xmlns:a16="http://schemas.microsoft.com/office/drawing/2014/main" id="{705562F8-7CD1-484B-BF22-1EA7E4F0D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790575"/>
          <a:ext cx="8953500" cy="443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95250</xdr:colOff>
      <xdr:row>9</xdr:row>
      <xdr:rowOff>123825</xdr:rowOff>
    </xdr:from>
    <xdr:to>
      <xdr:col>16</xdr:col>
      <xdr:colOff>447675</xdr:colOff>
      <xdr:row>12</xdr:row>
      <xdr:rowOff>104775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EF21218C-30A0-4AFD-812A-0D3FB947EC7A}"/>
            </a:ext>
          </a:extLst>
        </xdr:cNvPr>
        <xdr:cNvSpPr/>
      </xdr:nvSpPr>
      <xdr:spPr>
        <a:xfrm>
          <a:off x="8134350" y="1647825"/>
          <a:ext cx="2790825" cy="5524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1114425</xdr:colOff>
      <xdr:row>3</xdr:row>
      <xdr:rowOff>123825</xdr:rowOff>
    </xdr:from>
    <xdr:to>
      <xdr:col>21</xdr:col>
      <xdr:colOff>123825</xdr:colOff>
      <xdr:row>41</xdr:row>
      <xdr:rowOff>142875</xdr:rowOff>
    </xdr:to>
    <xdr:pic>
      <xdr:nvPicPr>
        <xdr:cNvPr id="9386" name="Picture 1">
          <a:extLst>
            <a:ext uri="{FF2B5EF4-FFF2-40B4-BE49-F238E27FC236}">
              <a16:creationId xmlns:a16="http://schemas.microsoft.com/office/drawing/2014/main" id="{9D452372-A012-482C-970E-DC16100F7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5" y="695325"/>
          <a:ext cx="8877300" cy="440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70603</xdr:colOff>
      <xdr:row>9</xdr:row>
      <xdr:rowOff>0</xdr:rowOff>
    </xdr:from>
    <xdr:to>
      <xdr:col>15</xdr:col>
      <xdr:colOff>423028</xdr:colOff>
      <xdr:row>11</xdr:row>
      <xdr:rowOff>171450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DEBE9A72-0C3F-44F9-BDA8-1C94D756263F}"/>
            </a:ext>
          </a:extLst>
        </xdr:cNvPr>
        <xdr:cNvSpPr/>
      </xdr:nvSpPr>
      <xdr:spPr>
        <a:xfrm>
          <a:off x="8852653" y="1524000"/>
          <a:ext cx="2790825" cy="5524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1</xdr:row>
      <xdr:rowOff>142875</xdr:rowOff>
    </xdr:from>
    <xdr:to>
      <xdr:col>15</xdr:col>
      <xdr:colOff>257175</xdr:colOff>
      <xdr:row>15</xdr:row>
      <xdr:rowOff>85725</xdr:rowOff>
    </xdr:to>
    <xdr:pic>
      <xdr:nvPicPr>
        <xdr:cNvPr id="11505" name="Picture 1">
          <a:extLst>
            <a:ext uri="{FF2B5EF4-FFF2-40B4-BE49-F238E27FC236}">
              <a16:creationId xmlns:a16="http://schemas.microsoft.com/office/drawing/2014/main" id="{A0D547E0-3F14-4E56-8B88-AD7442822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33375"/>
          <a:ext cx="9105900" cy="260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19</xdr:row>
      <xdr:rowOff>104775</xdr:rowOff>
    </xdr:from>
    <xdr:to>
      <xdr:col>8</xdr:col>
      <xdr:colOff>590550</xdr:colOff>
      <xdr:row>40</xdr:row>
      <xdr:rowOff>76200</xdr:rowOff>
    </xdr:to>
    <xdr:pic>
      <xdr:nvPicPr>
        <xdr:cNvPr id="11506" name="Picture 2">
          <a:extLst>
            <a:ext uri="{FF2B5EF4-FFF2-40B4-BE49-F238E27FC236}">
              <a16:creationId xmlns:a16="http://schemas.microsoft.com/office/drawing/2014/main" id="{52F854BA-7141-4543-BE0C-F0278ED18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724275"/>
          <a:ext cx="4886325" cy="397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17</xdr:col>
      <xdr:colOff>28575</xdr:colOff>
      <xdr:row>83</xdr:row>
      <xdr:rowOff>76200</xdr:rowOff>
    </xdr:to>
    <xdr:pic>
      <xdr:nvPicPr>
        <xdr:cNvPr id="11507" name="Picture 3">
          <a:extLst>
            <a:ext uri="{FF2B5EF4-FFF2-40B4-BE49-F238E27FC236}">
              <a16:creationId xmlns:a16="http://schemas.microsoft.com/office/drawing/2014/main" id="{F2C42DFD-5AE0-4126-B21D-EFCBF3C90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82000"/>
          <a:ext cx="9782175" cy="750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3</xdr:row>
      <xdr:rowOff>28575</xdr:rowOff>
    </xdr:from>
    <xdr:to>
      <xdr:col>16</xdr:col>
      <xdr:colOff>285750</xdr:colOff>
      <xdr:row>30</xdr:row>
      <xdr:rowOff>57150</xdr:rowOff>
    </xdr:to>
    <xdr:pic>
      <xdr:nvPicPr>
        <xdr:cNvPr id="12449" name="Picture 1">
          <a:extLst>
            <a:ext uri="{FF2B5EF4-FFF2-40B4-BE49-F238E27FC236}">
              <a16:creationId xmlns:a16="http://schemas.microsoft.com/office/drawing/2014/main" id="{22DE6D96-5EC1-4E11-AF66-68F396AE5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600075"/>
          <a:ext cx="9725025" cy="517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31</xdr:row>
      <xdr:rowOff>133350</xdr:rowOff>
    </xdr:from>
    <xdr:to>
      <xdr:col>16</xdr:col>
      <xdr:colOff>533400</xdr:colOff>
      <xdr:row>71</xdr:row>
      <xdr:rowOff>19050</xdr:rowOff>
    </xdr:to>
    <xdr:pic>
      <xdr:nvPicPr>
        <xdr:cNvPr id="12450" name="Picture 2">
          <a:extLst>
            <a:ext uri="{FF2B5EF4-FFF2-40B4-BE49-F238E27FC236}">
              <a16:creationId xmlns:a16="http://schemas.microsoft.com/office/drawing/2014/main" id="{4C5A1F97-8EF7-40A9-B56A-52045E264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6038850"/>
          <a:ext cx="9782175" cy="750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76200</xdr:rowOff>
    </xdr:from>
    <xdr:to>
      <xdr:col>17</xdr:col>
      <xdr:colOff>104775</xdr:colOff>
      <xdr:row>24</xdr:row>
      <xdr:rowOff>19050</xdr:rowOff>
    </xdr:to>
    <xdr:pic>
      <xdr:nvPicPr>
        <xdr:cNvPr id="76873" name="Picture 1">
          <a:extLst>
            <a:ext uri="{FF2B5EF4-FFF2-40B4-BE49-F238E27FC236}">
              <a16:creationId xmlns:a16="http://schemas.microsoft.com/office/drawing/2014/main" id="{4B0D7001-C3E2-45A2-9EA3-5B251C378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10420350" cy="451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25</xdr:row>
      <xdr:rowOff>152400</xdr:rowOff>
    </xdr:from>
    <xdr:to>
      <xdr:col>12</xdr:col>
      <xdr:colOff>523875</xdr:colOff>
      <xdr:row>40</xdr:row>
      <xdr:rowOff>123825</xdr:rowOff>
    </xdr:to>
    <xdr:pic>
      <xdr:nvPicPr>
        <xdr:cNvPr id="76874" name="Picture 2">
          <a:extLst>
            <a:ext uri="{FF2B5EF4-FFF2-40B4-BE49-F238E27FC236}">
              <a16:creationId xmlns:a16="http://schemas.microsoft.com/office/drawing/2014/main" id="{2D5A8EB9-DD8B-46D0-B2C9-8D789B42C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4914900"/>
          <a:ext cx="7353300" cy="2828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68</xdr:col>
      <xdr:colOff>9525</xdr:colOff>
      <xdr:row>1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F601A1-E6A9-411C-8996-600E99461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0"/>
          <a:ext cx="40976550" cy="3143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oneCellAnchor>
    <xdr:from>
      <xdr:col>6</xdr:col>
      <xdr:colOff>19050</xdr:colOff>
      <xdr:row>14</xdr:row>
      <xdr:rowOff>9525</xdr:rowOff>
    </xdr:from>
    <xdr:ext cx="47625" cy="47625"/>
    <xdr:pic macro="[2]!DesignIconClicked">
      <xdr:nvPicPr>
        <xdr:cNvPr id="3" name="BExMO7VFCN4EL59982UR4AJ25JNJ" descr="XX6TINEJADZGKR0CTM7ZRT0RA" hidden="1">
          <a:extLst>
            <a:ext uri="{FF2B5EF4-FFF2-40B4-BE49-F238E27FC236}">
              <a16:creationId xmlns:a16="http://schemas.microsoft.com/office/drawing/2014/main" id="{28BFBE53-BA43-44D6-A8DC-A0F0B1021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43200" y="25812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14</xdr:row>
      <xdr:rowOff>85725</xdr:rowOff>
    </xdr:from>
    <xdr:ext cx="47625" cy="47625"/>
    <xdr:pic macro="[2]!DesignIconClicked">
      <xdr:nvPicPr>
        <xdr:cNvPr id="4" name="BExU3EX5JJCXCII4YKUJBFBGIJR2" descr="OF5ZI9PI5WH36VPANJ2DYLNMI" hidden="1">
          <a:extLst>
            <a:ext uri="{FF2B5EF4-FFF2-40B4-BE49-F238E27FC236}">
              <a16:creationId xmlns:a16="http://schemas.microsoft.com/office/drawing/2014/main" id="{E03DD315-B440-4E40-B6C1-CCB6C6D84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43200" y="26574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19050</xdr:colOff>
      <xdr:row>14</xdr:row>
      <xdr:rowOff>9525</xdr:rowOff>
    </xdr:from>
    <xdr:ext cx="47625" cy="47625"/>
    <xdr:pic macro="[2]!DesignIconClicked">
      <xdr:nvPicPr>
        <xdr:cNvPr id="5" name="BEx1KD7H6UB1VYCJ7O61P562EIUY" descr="IQGV9140X0K0UPBL8OGU3I44J" hidden="1">
          <a:extLst>
            <a:ext uri="{FF2B5EF4-FFF2-40B4-BE49-F238E27FC236}">
              <a16:creationId xmlns:a16="http://schemas.microsoft.com/office/drawing/2014/main" id="{15ED4601-4920-4204-A91C-CACD2757C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52975" y="25812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19050</xdr:colOff>
      <xdr:row>14</xdr:row>
      <xdr:rowOff>85725</xdr:rowOff>
    </xdr:from>
    <xdr:ext cx="47625" cy="47625"/>
    <xdr:pic macro="[2]!DesignIconClicked">
      <xdr:nvPicPr>
        <xdr:cNvPr id="6" name="BEx5BJQWS6YWHH4ZMSUAMD641V6Y" descr="ZTMFMXCIQSECDX38ALEFHUB00" hidden="1">
          <a:extLst>
            <a:ext uri="{FF2B5EF4-FFF2-40B4-BE49-F238E27FC236}">
              <a16:creationId xmlns:a16="http://schemas.microsoft.com/office/drawing/2014/main" id="{D139A929-2DBA-44D0-90DE-E4E24B9BB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52975" y="26574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19050</xdr:colOff>
      <xdr:row>14</xdr:row>
      <xdr:rowOff>9525</xdr:rowOff>
    </xdr:from>
    <xdr:ext cx="47625" cy="47625"/>
    <xdr:pic macro="[2]!DesignIconClicked">
      <xdr:nvPicPr>
        <xdr:cNvPr id="7" name="BExVTO5Q8G2M7BPL4B2584LQS0R0" descr="OB6Q8NA4LZFE4GM9Y3V56BPMQ" hidden="1">
          <a:extLst>
            <a:ext uri="{FF2B5EF4-FFF2-40B4-BE49-F238E27FC236}">
              <a16:creationId xmlns:a16="http://schemas.microsoft.com/office/drawing/2014/main" id="{ACA24DF6-ECC5-458C-AD79-38AC2E448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95925" y="25812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8</xdr:col>
      <xdr:colOff>19050</xdr:colOff>
      <xdr:row>14</xdr:row>
      <xdr:rowOff>85725</xdr:rowOff>
    </xdr:from>
    <xdr:ext cx="47625" cy="47625"/>
    <xdr:pic macro="[2]!DesignIconClicked">
      <xdr:nvPicPr>
        <xdr:cNvPr id="8" name="BExIFSCLN1G86X78PFLTSMRP0US5" descr="9JK4SPV4DG7VTCZIILWHXQU5J" hidden="1">
          <a:extLst>
            <a:ext uri="{FF2B5EF4-FFF2-40B4-BE49-F238E27FC236}">
              <a16:creationId xmlns:a16="http://schemas.microsoft.com/office/drawing/2014/main" id="{9CCF8754-0FD9-4090-B777-C070C1BB1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95925" y="26574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14</xdr:row>
      <xdr:rowOff>9525</xdr:rowOff>
    </xdr:from>
    <xdr:ext cx="47625" cy="47625"/>
    <xdr:pic macro="[2]!DesignIconClicked">
      <xdr:nvPicPr>
        <xdr:cNvPr id="9" name="BEx1I152WN2D3A85O2XN0DGXCWHN" descr="KHBZFMANRA4UMJR1AB4M5NJNT" hidden="1">
          <a:extLst>
            <a:ext uri="{FF2B5EF4-FFF2-40B4-BE49-F238E27FC236}">
              <a16:creationId xmlns:a16="http://schemas.microsoft.com/office/drawing/2014/main" id="{DCDFB28A-184C-4ACD-8108-36A2A966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43200" y="25812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14</xdr:row>
      <xdr:rowOff>85725</xdr:rowOff>
    </xdr:from>
    <xdr:ext cx="47625" cy="47625"/>
    <xdr:pic macro="[2]!DesignIconClicked">
      <xdr:nvPicPr>
        <xdr:cNvPr id="10" name="BExW9676P0SKCVKK25QCGHPA3PAD" descr="9A4PWZ20RMSRF0PNECCDM75CA" hidden="1">
          <a:extLst>
            <a:ext uri="{FF2B5EF4-FFF2-40B4-BE49-F238E27FC236}">
              <a16:creationId xmlns:a16="http://schemas.microsoft.com/office/drawing/2014/main" id="{85EDEDC4-815A-430E-BF45-C959B3077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43200" y="26574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28575</xdr:colOff>
      <xdr:row>16</xdr:row>
      <xdr:rowOff>0</xdr:rowOff>
    </xdr:from>
    <xdr:ext cx="123825" cy="123825"/>
    <xdr:pic macro="[2]!DesignIconClicked">
      <xdr:nvPicPr>
        <xdr:cNvPr id="11" name="BExW253QPOZK9KW8BJC3LBXGCG2N" descr="Y5HX37BEUWSN1NEFJKZJXI3SX" hidden="1">
          <a:extLst>
            <a:ext uri="{FF2B5EF4-FFF2-40B4-BE49-F238E27FC236}">
              <a16:creationId xmlns:a16="http://schemas.microsoft.com/office/drawing/2014/main" id="{08EEA9E3-08F2-474C-B9CA-441A56EAC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52725" y="3000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19050</xdr:colOff>
      <xdr:row>14</xdr:row>
      <xdr:rowOff>9525</xdr:rowOff>
    </xdr:from>
    <xdr:ext cx="47625" cy="47625"/>
    <xdr:pic macro="[2]!DesignIconClicked">
      <xdr:nvPicPr>
        <xdr:cNvPr id="12" name="BExS5CPQ8P8JOQPK7ANNKHLSGOKU" hidden="1">
          <a:extLst>
            <a:ext uri="{FF2B5EF4-FFF2-40B4-BE49-F238E27FC236}">
              <a16:creationId xmlns:a16="http://schemas.microsoft.com/office/drawing/2014/main" id="{E7B21722-B47D-4138-8F9F-5EFB017E2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43200" y="25812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14</xdr:row>
      <xdr:rowOff>85725</xdr:rowOff>
    </xdr:from>
    <xdr:ext cx="47625" cy="47625"/>
    <xdr:pic macro="[2]!DesignIconClicked">
      <xdr:nvPicPr>
        <xdr:cNvPr id="13" name="BExMM0AVUAIRNJLXB1FW8R0YB4ZZ" hidden="1">
          <a:extLst>
            <a:ext uri="{FF2B5EF4-FFF2-40B4-BE49-F238E27FC236}">
              <a16:creationId xmlns:a16="http://schemas.microsoft.com/office/drawing/2014/main" id="{F5E42B19-EF13-4424-BA80-92BF9A1B8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43200" y="26574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19050</xdr:colOff>
      <xdr:row>14</xdr:row>
      <xdr:rowOff>9525</xdr:rowOff>
    </xdr:from>
    <xdr:ext cx="47625" cy="47625"/>
    <xdr:pic macro="[2]!DesignIconClicked">
      <xdr:nvPicPr>
        <xdr:cNvPr id="14" name="BExXZ7Y09CBS0XA7IPB3IRJ8RJM4" hidden="1">
          <a:extLst>
            <a:ext uri="{FF2B5EF4-FFF2-40B4-BE49-F238E27FC236}">
              <a16:creationId xmlns:a16="http://schemas.microsoft.com/office/drawing/2014/main" id="{30F01BB1-7C8F-45BE-B8B1-F7CF284A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43200" y="25812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14</xdr:row>
      <xdr:rowOff>85725</xdr:rowOff>
    </xdr:from>
    <xdr:ext cx="47625" cy="47625"/>
    <xdr:pic macro="[2]!DesignIconClicked">
      <xdr:nvPicPr>
        <xdr:cNvPr id="15" name="BExQ7SXS9VUG7P6CACU2J7R2SGIZ" hidden="1">
          <a:extLst>
            <a:ext uri="{FF2B5EF4-FFF2-40B4-BE49-F238E27FC236}">
              <a16:creationId xmlns:a16="http://schemas.microsoft.com/office/drawing/2014/main" id="{78B254BE-D419-4989-B706-56CF5C2EB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43200" y="26574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19050</xdr:colOff>
      <xdr:row>14</xdr:row>
      <xdr:rowOff>9525</xdr:rowOff>
    </xdr:from>
    <xdr:ext cx="47625" cy="47625"/>
    <xdr:pic macro="[2]!DesignIconClicked">
      <xdr:nvPicPr>
        <xdr:cNvPr id="16" name="BEx5AQZ4ETQ9LMY5EBWVH20Z7VXQ" hidden="1">
          <a:extLst>
            <a:ext uri="{FF2B5EF4-FFF2-40B4-BE49-F238E27FC236}">
              <a16:creationId xmlns:a16="http://schemas.microsoft.com/office/drawing/2014/main" id="{03899A88-0DD6-4281-A66C-49BB4B460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52975" y="25812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19050</xdr:colOff>
      <xdr:row>14</xdr:row>
      <xdr:rowOff>85725</xdr:rowOff>
    </xdr:from>
    <xdr:ext cx="47625" cy="47625"/>
    <xdr:pic macro="[2]!DesignIconClicked">
      <xdr:nvPicPr>
        <xdr:cNvPr id="17" name="BExUBK0YZ5VYFY8TTITJGJU9S06A" hidden="1">
          <a:extLst>
            <a:ext uri="{FF2B5EF4-FFF2-40B4-BE49-F238E27FC236}">
              <a16:creationId xmlns:a16="http://schemas.microsoft.com/office/drawing/2014/main" id="{82053EF8-32C6-4AF8-82F9-C5F96A132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52975" y="26574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8</xdr:col>
      <xdr:colOff>28575</xdr:colOff>
      <xdr:row>14</xdr:row>
      <xdr:rowOff>9525</xdr:rowOff>
    </xdr:from>
    <xdr:ext cx="47625" cy="47625"/>
    <xdr:pic macro="[2]!DesignIconClicked">
      <xdr:nvPicPr>
        <xdr:cNvPr id="18" name="BExUEZCSSJ7RN4J18I2NUIQR2FZS" hidden="1">
          <a:extLst>
            <a:ext uri="{FF2B5EF4-FFF2-40B4-BE49-F238E27FC236}">
              <a16:creationId xmlns:a16="http://schemas.microsoft.com/office/drawing/2014/main" id="{3BC02628-EEC4-4A2C-80CD-798DD4F47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05450" y="25812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8</xdr:col>
      <xdr:colOff>28575</xdr:colOff>
      <xdr:row>14</xdr:row>
      <xdr:rowOff>85725</xdr:rowOff>
    </xdr:from>
    <xdr:ext cx="47625" cy="47625"/>
    <xdr:pic macro="[2]!DesignIconClicked">
      <xdr:nvPicPr>
        <xdr:cNvPr id="19" name="BExS3JDQWF7U3F5JTEVOE16ASIYK" hidden="1">
          <a:extLst>
            <a:ext uri="{FF2B5EF4-FFF2-40B4-BE49-F238E27FC236}">
              <a16:creationId xmlns:a16="http://schemas.microsoft.com/office/drawing/2014/main" id="{E84A62B5-C01D-4401-86CD-CB346AA11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05450" y="26574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6</xdr:col>
      <xdr:colOff>0</xdr:colOff>
      <xdr:row>0</xdr:row>
      <xdr:rowOff>0</xdr:rowOff>
    </xdr:from>
    <xdr:to>
      <xdr:col>13</xdr:col>
      <xdr:colOff>9525</xdr:colOff>
      <xdr:row>1</xdr:row>
      <xdr:rowOff>60960</xdr:rowOff>
    </xdr:to>
    <xdr:sp macro="" textlink="">
      <xdr:nvSpPr>
        <xdr:cNvPr id="20" name="TextQueryTitle">
          <a:extLst>
            <a:ext uri="{FF2B5EF4-FFF2-40B4-BE49-F238E27FC236}">
              <a16:creationId xmlns:a16="http://schemas.microsoft.com/office/drawing/2014/main" id="{11493C47-3EDD-4D06-A4DB-449C62ABA946}"/>
            </a:ext>
          </a:extLst>
        </xdr:cNvPr>
        <xdr:cNvSpPr txBox="1">
          <a:spLocks noChangeArrowheads="1"/>
        </xdr:cNvSpPr>
      </xdr:nvSpPr>
      <xdr:spPr bwMode="auto">
        <a:xfrm>
          <a:off x="2724150" y="0"/>
          <a:ext cx="6934200" cy="365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r>
            <a:rPr lang="en-US" sz="1400" b="1">
              <a:latin typeface="Arial" pitchFamily="34" charset="0"/>
              <a:cs typeface="Arial" pitchFamily="34" charset="0"/>
            </a:rPr>
            <a:t>O&amp;M Monthly Forecast Report</a:t>
          </a:r>
        </a:p>
      </xdr:txBody>
    </xdr:sp>
    <xdr:clientData/>
  </xdr:twoCellAnchor>
  <xdr:oneCellAnchor>
    <xdr:from>
      <xdr:col>6</xdr:col>
      <xdr:colOff>47625</xdr:colOff>
      <xdr:row>17</xdr:row>
      <xdr:rowOff>0</xdr:rowOff>
    </xdr:from>
    <xdr:ext cx="123825" cy="123825"/>
    <xdr:pic macro="[2]!DesignIconClicked">
      <xdr:nvPicPr>
        <xdr:cNvPr id="21" name="BEx973S463FCQVJ7QDFBUIU0WJ3F" descr="ZQTVYL8DCSADVT0QMRXFLU0TR" hidden="1">
          <a:extLst>
            <a:ext uri="{FF2B5EF4-FFF2-40B4-BE49-F238E27FC236}">
              <a16:creationId xmlns:a16="http://schemas.microsoft.com/office/drawing/2014/main" id="{DFC4B962-DC6B-4198-A95E-F60DED1B5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3143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85725</xdr:colOff>
      <xdr:row>25</xdr:row>
      <xdr:rowOff>0</xdr:rowOff>
    </xdr:from>
    <xdr:ext cx="123825" cy="123825"/>
    <xdr:pic macro="[2]!DesignIconClicked">
      <xdr:nvPicPr>
        <xdr:cNvPr id="22" name="BExRZO0PLWWMCLGRH7EH6UXYWGAJ" descr="9D4GQ34QB727H10MA3SSAR2R9" hidden="1">
          <a:extLst>
            <a:ext uri="{FF2B5EF4-FFF2-40B4-BE49-F238E27FC236}">
              <a16:creationId xmlns:a16="http://schemas.microsoft.com/office/drawing/2014/main" id="{B5CD7D7B-84F4-4A92-BFAF-815A8239B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09875" y="4286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26</xdr:row>
      <xdr:rowOff>0</xdr:rowOff>
    </xdr:from>
    <xdr:ext cx="123825" cy="123825"/>
    <xdr:pic macro="[2]!DesignIconClicked">
      <xdr:nvPicPr>
        <xdr:cNvPr id="23" name="BExBDP6HNAAJUM39SE5G2C8BKNRQ" descr="1TM64TL2QIMYV7WYSV2VLGXY4" hidden="1">
          <a:extLst>
            <a:ext uri="{FF2B5EF4-FFF2-40B4-BE49-F238E27FC236}">
              <a16:creationId xmlns:a16="http://schemas.microsoft.com/office/drawing/2014/main" id="{E6B75A9B-A98A-4C6B-9FBF-DBE9B7799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4429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27</xdr:row>
      <xdr:rowOff>0</xdr:rowOff>
    </xdr:from>
    <xdr:ext cx="123825" cy="123825"/>
    <xdr:pic macro="[2]!DesignIconClicked">
      <xdr:nvPicPr>
        <xdr:cNvPr id="24" name="BExQEGJP61DL2NZY6LMBHBZ0J5YT" descr="D6ZNRZJ7EX4GZT9RO8LE0C905" hidden="1">
          <a:extLst>
            <a:ext uri="{FF2B5EF4-FFF2-40B4-BE49-F238E27FC236}">
              <a16:creationId xmlns:a16="http://schemas.microsoft.com/office/drawing/2014/main" id="{44BA37A5-944C-45BC-83D7-79228414B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4572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28</xdr:row>
      <xdr:rowOff>0</xdr:rowOff>
    </xdr:from>
    <xdr:ext cx="123825" cy="123825"/>
    <xdr:pic macro="[2]!DesignIconClicked">
      <xdr:nvPicPr>
        <xdr:cNvPr id="25" name="BExTY1BCS6HZIF6HI5491FGHDVAE" descr="MJ6976KI2UH1IE8M227DUYXMJ" hidden="1">
          <a:extLst>
            <a:ext uri="{FF2B5EF4-FFF2-40B4-BE49-F238E27FC236}">
              <a16:creationId xmlns:a16="http://schemas.microsoft.com/office/drawing/2014/main" id="{87D58160-9271-49A3-9AFD-6F894712B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4714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16</xdr:row>
      <xdr:rowOff>0</xdr:rowOff>
    </xdr:from>
    <xdr:ext cx="123825" cy="123825"/>
    <xdr:pic macro="[2]!DesignIconClicked">
      <xdr:nvPicPr>
        <xdr:cNvPr id="26" name="BEx5FXJGJOT93D0J2IRJ3985IUMI" hidden="1">
          <a:extLst>
            <a:ext uri="{FF2B5EF4-FFF2-40B4-BE49-F238E27FC236}">
              <a16:creationId xmlns:a16="http://schemas.microsoft.com/office/drawing/2014/main" id="{88D1E65E-F7CC-4EAF-80B4-85B792406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3000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9525</xdr:colOff>
      <xdr:row>15</xdr:row>
      <xdr:rowOff>0</xdr:rowOff>
    </xdr:from>
    <xdr:ext cx="123825" cy="123825"/>
    <xdr:pic macro="[2]!DesignIconClicked">
      <xdr:nvPicPr>
        <xdr:cNvPr id="27" name="BEx3RTMHAR35NUAAK49TV6NU7EPA" descr="QFXLG4ZCXTRQSJYFCKJ58G9N8" hidden="1">
          <a:extLst>
            <a:ext uri="{FF2B5EF4-FFF2-40B4-BE49-F238E27FC236}">
              <a16:creationId xmlns:a16="http://schemas.microsoft.com/office/drawing/2014/main" id="{3ABE0C52-B618-4702-A271-BE6EADB3D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33675" y="2857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85725</xdr:colOff>
      <xdr:row>18</xdr:row>
      <xdr:rowOff>0</xdr:rowOff>
    </xdr:from>
    <xdr:ext cx="123825" cy="123825"/>
    <xdr:pic macro="[2]!DesignIconClicked">
      <xdr:nvPicPr>
        <xdr:cNvPr id="28" name="BExS8T38WLC2R738ZC7BDJQAKJAJ" descr="MRI962L5PB0E0YWXCIBN82VJH" hidden="1">
          <a:extLst>
            <a:ext uri="{FF2B5EF4-FFF2-40B4-BE49-F238E27FC236}">
              <a16:creationId xmlns:a16="http://schemas.microsoft.com/office/drawing/2014/main" id="{4978D6AF-3225-4FA5-8573-39C0126EC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09875" y="3286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16</xdr:row>
      <xdr:rowOff>0</xdr:rowOff>
    </xdr:from>
    <xdr:ext cx="123825" cy="123825"/>
    <xdr:pic macro="[2]!DesignIconClicked">
      <xdr:nvPicPr>
        <xdr:cNvPr id="29" name="BEx5F64BJ6DCM4EJH81D5ZFNPZ0V" descr="7DJ9FILZD2YPS6X1JBP9E76TU" hidden="1">
          <a:extLst>
            <a:ext uri="{FF2B5EF4-FFF2-40B4-BE49-F238E27FC236}">
              <a16:creationId xmlns:a16="http://schemas.microsoft.com/office/drawing/2014/main" id="{F2147C65-BFDD-467F-8345-B8E031E82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3000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16</xdr:row>
      <xdr:rowOff>0</xdr:rowOff>
    </xdr:from>
    <xdr:ext cx="123825" cy="123825"/>
    <xdr:pic macro="[2]!DesignIconClicked">
      <xdr:nvPicPr>
        <xdr:cNvPr id="30" name="BExQEXXHA3EEXR44LT6RKCDWM6ZT" hidden="1">
          <a:extLst>
            <a:ext uri="{FF2B5EF4-FFF2-40B4-BE49-F238E27FC236}">
              <a16:creationId xmlns:a16="http://schemas.microsoft.com/office/drawing/2014/main" id="{7B3D1E2F-B925-4059-9B0D-0863B0E73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3000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85725</xdr:colOff>
      <xdr:row>20</xdr:row>
      <xdr:rowOff>0</xdr:rowOff>
    </xdr:from>
    <xdr:ext cx="123825" cy="123825"/>
    <xdr:pic macro="[2]!DesignIconClicked">
      <xdr:nvPicPr>
        <xdr:cNvPr id="31" name="BEx1X6AMHV6ZK3UJB2BXIJTJHYJU" descr="OALR4L95ELQLZ1Y1LETHM1CS9" hidden="1">
          <a:extLst>
            <a:ext uri="{FF2B5EF4-FFF2-40B4-BE49-F238E27FC236}">
              <a16:creationId xmlns:a16="http://schemas.microsoft.com/office/drawing/2014/main" id="{B46157D0-4971-42F0-8B2D-C0E4E9CC3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3571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9525</xdr:colOff>
      <xdr:row>15</xdr:row>
      <xdr:rowOff>0</xdr:rowOff>
    </xdr:from>
    <xdr:ext cx="123825" cy="123825"/>
    <xdr:pic macro="[2]!DesignIconClicked">
      <xdr:nvPicPr>
        <xdr:cNvPr id="32" name="BExSDIVCE09QKG3CT52PHCS6ZJ09" descr="9F076L7EQCF2COMMGCQG6BQGU" hidden="1">
          <a:extLst>
            <a:ext uri="{FF2B5EF4-FFF2-40B4-BE49-F238E27FC236}">
              <a16:creationId xmlns:a16="http://schemas.microsoft.com/office/drawing/2014/main" id="{68E647DF-86B5-4C99-94C4-176C0114F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33675" y="2857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25</xdr:row>
      <xdr:rowOff>0</xdr:rowOff>
    </xdr:from>
    <xdr:ext cx="123825" cy="123825"/>
    <xdr:pic macro="[2]!DesignIconClicked">
      <xdr:nvPicPr>
        <xdr:cNvPr id="33" name="BEx1QZGQZBAWJ8591VXEIPUOVS7X" descr="MEW27CPIFG44B7E7HEQUUF5QF" hidden="1">
          <a:extLst>
            <a:ext uri="{FF2B5EF4-FFF2-40B4-BE49-F238E27FC236}">
              <a16:creationId xmlns:a16="http://schemas.microsoft.com/office/drawing/2014/main" id="{BBA0F137-A2EF-466F-B1A4-71CB9AA0F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4286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24</xdr:row>
      <xdr:rowOff>0</xdr:rowOff>
    </xdr:from>
    <xdr:ext cx="123825" cy="123825"/>
    <xdr:pic macro="[2]!DesignIconClicked">
      <xdr:nvPicPr>
        <xdr:cNvPr id="34" name="BExMF7LICJLPXSHM63A6EQ79YQKG" descr="U084VZL15IMB1OFRRAY6GVKAE" hidden="1">
          <a:extLst>
            <a:ext uri="{FF2B5EF4-FFF2-40B4-BE49-F238E27FC236}">
              <a16:creationId xmlns:a16="http://schemas.microsoft.com/office/drawing/2014/main" id="{D730DDEB-D9A2-47FA-A650-F82ECA32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4143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23</xdr:row>
      <xdr:rowOff>0</xdr:rowOff>
    </xdr:from>
    <xdr:ext cx="123825" cy="123825"/>
    <xdr:pic macro="[2]!DesignIconClicked">
      <xdr:nvPicPr>
        <xdr:cNvPr id="35" name="BExS343F8GCKP6HTF9Y97L133DX8" descr="ZRF0KB1IYQSNV63CTXT25G67G" hidden="1">
          <a:extLst>
            <a:ext uri="{FF2B5EF4-FFF2-40B4-BE49-F238E27FC236}">
              <a16:creationId xmlns:a16="http://schemas.microsoft.com/office/drawing/2014/main" id="{06803216-F3FC-48A6-B8FF-94F28D08F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4000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22</xdr:row>
      <xdr:rowOff>0</xdr:rowOff>
    </xdr:from>
    <xdr:ext cx="123825" cy="123825"/>
    <xdr:pic macro="[2]!DesignIconClicked">
      <xdr:nvPicPr>
        <xdr:cNvPr id="36" name="BExZMRC09W87CY4B73NPZMNH21AH" descr="78CUMI0OVLYJRSDRQ3V2YX812" hidden="1">
          <a:extLst>
            <a:ext uri="{FF2B5EF4-FFF2-40B4-BE49-F238E27FC236}">
              <a16:creationId xmlns:a16="http://schemas.microsoft.com/office/drawing/2014/main" id="{086CFC05-9CC2-4D88-B335-D0D558ECC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3857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21</xdr:row>
      <xdr:rowOff>9525</xdr:rowOff>
    </xdr:from>
    <xdr:ext cx="123825" cy="123825"/>
    <xdr:pic macro="[2]!DesignIconClicked">
      <xdr:nvPicPr>
        <xdr:cNvPr id="37" name="BExZXVFJ4DY4I24AARDT4AMP6EN1" descr="TXSMH2MTH86CYKA26740RQPUC" hidden="1">
          <a:extLst>
            <a:ext uri="{FF2B5EF4-FFF2-40B4-BE49-F238E27FC236}">
              <a16:creationId xmlns:a16="http://schemas.microsoft.com/office/drawing/2014/main" id="{6567EF12-1A05-4484-A5C9-3EAC1A9BD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37242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20</xdr:row>
      <xdr:rowOff>0</xdr:rowOff>
    </xdr:from>
    <xdr:ext cx="123825" cy="123825"/>
    <xdr:pic macro="[2]!DesignIconClicked">
      <xdr:nvPicPr>
        <xdr:cNvPr id="38" name="BExOCUIOFQWUGTBU5ESTW3EYEP5C" descr="9BNF49V0R6VVYPHEVMJ3ABDQZ" hidden="1">
          <a:extLst>
            <a:ext uri="{FF2B5EF4-FFF2-40B4-BE49-F238E27FC236}">
              <a16:creationId xmlns:a16="http://schemas.microsoft.com/office/drawing/2014/main" id="{697E719A-792F-4887-8E7D-F898ECDDA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3571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19</xdr:row>
      <xdr:rowOff>0</xdr:rowOff>
    </xdr:from>
    <xdr:ext cx="123825" cy="123825"/>
    <xdr:pic macro="[2]!DesignIconClicked">
      <xdr:nvPicPr>
        <xdr:cNvPr id="39" name="BExU65O9OE4B4MQ2A3OYH13M8BZJ" descr="3INNIMMPDBB0JF37L81M6ID21" hidden="1">
          <a:extLst>
            <a:ext uri="{FF2B5EF4-FFF2-40B4-BE49-F238E27FC236}">
              <a16:creationId xmlns:a16="http://schemas.microsoft.com/office/drawing/2014/main" id="{716A13EA-32E7-4829-9232-96848F142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342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18</xdr:row>
      <xdr:rowOff>0</xdr:rowOff>
    </xdr:from>
    <xdr:ext cx="123825" cy="123825"/>
    <xdr:pic macro="[2]!DesignIconClicked">
      <xdr:nvPicPr>
        <xdr:cNvPr id="40" name="BExOPRCR0UW7TKXSV5WDTL348FGL" descr="S9JM17GP1802LHN4GT14BJYIC" hidden="1">
          <a:extLst>
            <a:ext uri="{FF2B5EF4-FFF2-40B4-BE49-F238E27FC236}">
              <a16:creationId xmlns:a16="http://schemas.microsoft.com/office/drawing/2014/main" id="{B06B5570-650D-4999-B722-23FDFB25D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3286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17</xdr:row>
      <xdr:rowOff>0</xdr:rowOff>
    </xdr:from>
    <xdr:ext cx="123825" cy="123825"/>
    <xdr:pic macro="[2]!DesignIconClicked">
      <xdr:nvPicPr>
        <xdr:cNvPr id="41" name="BEx5OESAY2W8SEGI3TSB65EHJ04B" descr="9CN2Y88X8WYV1HWZG1QILY9BK" hidden="1">
          <a:extLst>
            <a:ext uri="{FF2B5EF4-FFF2-40B4-BE49-F238E27FC236}">
              <a16:creationId xmlns:a16="http://schemas.microsoft.com/office/drawing/2014/main" id="{E1B520E4-C9E3-415F-8630-A15F71F85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3143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16</xdr:row>
      <xdr:rowOff>0</xdr:rowOff>
    </xdr:from>
    <xdr:ext cx="123825" cy="123825"/>
    <xdr:pic macro="[2]!DesignIconClicked">
      <xdr:nvPicPr>
        <xdr:cNvPr id="42" name="BExGMWEQ2BYRY9BAO5T1X850MJN1" descr="AZ9ST0XDIOP50HSUFO5V31BR0" hidden="1">
          <a:extLst>
            <a:ext uri="{FF2B5EF4-FFF2-40B4-BE49-F238E27FC236}">
              <a16:creationId xmlns:a16="http://schemas.microsoft.com/office/drawing/2014/main" id="{283EDB96-49DE-4118-BF0C-078C79228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3000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57150</xdr:rowOff>
    </xdr:from>
    <xdr:to>
      <xdr:col>10</xdr:col>
      <xdr:colOff>523875</xdr:colOff>
      <xdr:row>35</xdr:row>
      <xdr:rowOff>171450</xdr:rowOff>
    </xdr:to>
    <xdr:pic>
      <xdr:nvPicPr>
        <xdr:cNvPr id="14417" name="Picture 1">
          <a:extLst>
            <a:ext uri="{FF2B5EF4-FFF2-40B4-BE49-F238E27FC236}">
              <a16:creationId xmlns:a16="http://schemas.microsoft.com/office/drawing/2014/main" id="{2F8DF5C1-5FF5-472B-8A84-BCAB37C9D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7150"/>
          <a:ext cx="6391275" cy="678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28575</xdr:rowOff>
    </xdr:from>
    <xdr:to>
      <xdr:col>13</xdr:col>
      <xdr:colOff>352425</xdr:colOff>
      <xdr:row>27</xdr:row>
      <xdr:rowOff>0</xdr:rowOff>
    </xdr:to>
    <xdr:pic>
      <xdr:nvPicPr>
        <xdr:cNvPr id="13393" name="Picture 1">
          <a:extLst>
            <a:ext uri="{FF2B5EF4-FFF2-40B4-BE49-F238E27FC236}">
              <a16:creationId xmlns:a16="http://schemas.microsoft.com/office/drawing/2014/main" id="{547BB2A4-0F44-49A7-B1B6-B91ABD81C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19075"/>
          <a:ext cx="8115300" cy="492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161925</xdr:colOff>
      <xdr:row>42</xdr:row>
      <xdr:rowOff>19050</xdr:rowOff>
    </xdr:from>
    <xdr:to>
      <xdr:col>27</xdr:col>
      <xdr:colOff>47625</xdr:colOff>
      <xdr:row>84</xdr:row>
      <xdr:rowOff>133350</xdr:rowOff>
    </xdr:to>
    <xdr:pic>
      <xdr:nvPicPr>
        <xdr:cNvPr id="1715" name="Picture 1">
          <a:extLst>
            <a:ext uri="{FF2B5EF4-FFF2-40B4-BE49-F238E27FC236}">
              <a16:creationId xmlns:a16="http://schemas.microsoft.com/office/drawing/2014/main" id="{5452B8A0-5780-47EE-9AE1-7E0F84878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2650" y="6991350"/>
          <a:ext cx="8515350" cy="7210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447676</xdr:colOff>
      <xdr:row>44</xdr:row>
      <xdr:rowOff>47625</xdr:rowOff>
    </xdr:from>
    <xdr:to>
      <xdr:col>17</xdr:col>
      <xdr:colOff>1</xdr:colOff>
      <xdr:row>58</xdr:row>
      <xdr:rowOff>133350</xdr:rowOff>
    </xdr:to>
    <xdr:sp macro="" textlink="">
      <xdr:nvSpPr>
        <xdr:cNvPr id="3" name="Left Brace 2">
          <a:extLst>
            <a:ext uri="{FF2B5EF4-FFF2-40B4-BE49-F238E27FC236}">
              <a16:creationId xmlns:a16="http://schemas.microsoft.com/office/drawing/2014/main" id="{974F1247-0D3F-44C6-84B4-783088B01E74}"/>
            </a:ext>
          </a:extLst>
        </xdr:cNvPr>
        <xdr:cNvSpPr/>
      </xdr:nvSpPr>
      <xdr:spPr>
        <a:xfrm>
          <a:off x="13935076" y="6848475"/>
          <a:ext cx="209550" cy="2514600"/>
        </a:xfrm>
        <a:prstGeom prst="leftBrac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4</xdr:col>
      <xdr:colOff>209550</xdr:colOff>
      <xdr:row>57</xdr:row>
      <xdr:rowOff>152400</xdr:rowOff>
    </xdr:from>
    <xdr:to>
      <xdr:col>13</xdr:col>
      <xdr:colOff>85725</xdr:colOff>
      <xdr:row>88</xdr:row>
      <xdr:rowOff>57150</xdr:rowOff>
    </xdr:to>
    <xdr:pic>
      <xdr:nvPicPr>
        <xdr:cNvPr id="1717" name="Picture 3">
          <a:extLst>
            <a:ext uri="{FF2B5EF4-FFF2-40B4-BE49-F238E27FC236}">
              <a16:creationId xmlns:a16="http://schemas.microsoft.com/office/drawing/2014/main" id="{B1E610B2-9128-427A-AF80-D896E1F58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9544050"/>
          <a:ext cx="6791325" cy="522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57150</xdr:colOff>
      <xdr:row>46</xdr:row>
      <xdr:rowOff>114300</xdr:rowOff>
    </xdr:from>
    <xdr:to>
      <xdr:col>16</xdr:col>
      <xdr:colOff>457200</xdr:colOff>
      <xdr:row>51</xdr:row>
      <xdr:rowOff>142875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6ECDA4B5-8FFD-4181-B0C6-7F48145C8469}"/>
            </a:ext>
          </a:extLst>
        </xdr:cNvPr>
        <xdr:cNvCxnSpPr/>
      </xdr:nvCxnSpPr>
      <xdr:spPr>
        <a:xfrm flipH="1" flipV="1">
          <a:off x="12144375" y="7239000"/>
          <a:ext cx="1800225" cy="8382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581305</xdr:colOff>
      <xdr:row>54</xdr:row>
      <xdr:rowOff>133070</xdr:rowOff>
    </xdr:from>
    <xdr:to>
      <xdr:col>9</xdr:col>
      <xdr:colOff>356908</xdr:colOff>
      <xdr:row>69</xdr:row>
      <xdr:rowOff>10085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28A48DFD-7DA4-48CC-A637-CFDE8F871850}"/>
            </a:ext>
          </a:extLst>
        </xdr:cNvPr>
        <xdr:cNvCxnSpPr/>
      </xdr:nvCxnSpPr>
      <xdr:spPr>
        <a:xfrm flipH="1" flipV="1">
          <a:off x="7774081" y="9006728"/>
          <a:ext cx="2577073" cy="260144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316006</xdr:colOff>
      <xdr:row>60</xdr:row>
      <xdr:rowOff>98050</xdr:rowOff>
    </xdr:from>
    <xdr:to>
      <xdr:col>10</xdr:col>
      <xdr:colOff>203107</xdr:colOff>
      <xdr:row>69</xdr:row>
      <xdr:rowOff>7003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AFC5AAF-45C1-4BE3-96CA-4AF53A6DBC52}"/>
            </a:ext>
          </a:extLst>
        </xdr:cNvPr>
        <xdr:cNvSpPr/>
      </xdr:nvSpPr>
      <xdr:spPr>
        <a:xfrm>
          <a:off x="10310252" y="10407462"/>
          <a:ext cx="545447" cy="119762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3</xdr:col>
      <xdr:colOff>228600</xdr:colOff>
      <xdr:row>92</xdr:row>
      <xdr:rowOff>142875</xdr:rowOff>
    </xdr:from>
    <xdr:to>
      <xdr:col>13</xdr:col>
      <xdr:colOff>104775</xdr:colOff>
      <xdr:row>119</xdr:row>
      <xdr:rowOff>9525</xdr:rowOff>
    </xdr:to>
    <xdr:pic>
      <xdr:nvPicPr>
        <xdr:cNvPr id="1721" name="Picture 11">
          <a:extLst>
            <a:ext uri="{FF2B5EF4-FFF2-40B4-BE49-F238E27FC236}">
              <a16:creationId xmlns:a16="http://schemas.microsoft.com/office/drawing/2014/main" id="{EE5553D8-868F-44FD-BFA2-7724A4C5A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5344775"/>
          <a:ext cx="7781925" cy="423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273143</xdr:colOff>
      <xdr:row>69</xdr:row>
      <xdr:rowOff>63034</xdr:rowOff>
    </xdr:from>
    <xdr:to>
      <xdr:col>9</xdr:col>
      <xdr:colOff>350184</xdr:colOff>
      <xdr:row>70</xdr:row>
      <xdr:rowOff>133071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63ACA51A-304B-44F5-BE60-1C1F5BB52BA2}"/>
            </a:ext>
          </a:extLst>
        </xdr:cNvPr>
        <xdr:cNvSpPr/>
      </xdr:nvSpPr>
      <xdr:spPr>
        <a:xfrm>
          <a:off x="9525000" y="11661122"/>
          <a:ext cx="819430" cy="231122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10</xdr:col>
      <xdr:colOff>635000</xdr:colOff>
      <xdr:row>52</xdr:row>
      <xdr:rowOff>87313</xdr:rowOff>
    </xdr:from>
    <xdr:to>
      <xdr:col>12</xdr:col>
      <xdr:colOff>458900</xdr:colOff>
      <xdr:row>56</xdr:row>
      <xdr:rowOff>107950</xdr:rowOff>
    </xdr:to>
    <xdr:pic>
      <xdr:nvPicPr>
        <xdr:cNvPr id="1723" name="Picture 3">
          <a:extLst>
            <a:ext uri="{FF2B5EF4-FFF2-40B4-BE49-F238E27FC236}">
              <a16:creationId xmlns:a16="http://schemas.microsoft.com/office/drawing/2014/main" id="{EC63349B-BF85-436E-B2E4-9E7BDE21A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7938" y="8516938"/>
          <a:ext cx="1141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396875</xdr:colOff>
      <xdr:row>80</xdr:row>
      <xdr:rowOff>63500</xdr:rowOff>
    </xdr:from>
    <xdr:to>
      <xdr:col>7</xdr:col>
      <xdr:colOff>412750</xdr:colOff>
      <xdr:row>83</xdr:row>
      <xdr:rowOff>127000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EAAEA3C-41AA-4FE6-8FB5-C5A10E8B0644}"/>
            </a:ext>
          </a:extLst>
        </xdr:cNvPr>
        <xdr:cNvSpPr/>
      </xdr:nvSpPr>
      <xdr:spPr>
        <a:xfrm>
          <a:off x="8389938" y="13081000"/>
          <a:ext cx="674687" cy="5397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122403</xdr:colOff>
      <xdr:row>123</xdr:row>
      <xdr:rowOff>111124</xdr:rowOff>
    </xdr:from>
    <xdr:to>
      <xdr:col>12</xdr:col>
      <xdr:colOff>420618</xdr:colOff>
      <xdr:row>158</xdr:row>
      <xdr:rowOff>37207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3B3CE8-6455-42C7-83A8-692263938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21341" y="20113624"/>
          <a:ext cx="8219840" cy="5482333"/>
        </a:xfrm>
        <a:prstGeom prst="rect">
          <a:avLst/>
        </a:prstGeom>
      </xdr:spPr>
    </xdr:pic>
    <xdr:clientData/>
  </xdr:twoCellAnchor>
  <xdr:twoCellAnchor editAs="oneCell">
    <xdr:from>
      <xdr:col>2</xdr:col>
      <xdr:colOff>244231</xdr:colOff>
      <xdr:row>159</xdr:row>
      <xdr:rowOff>95250</xdr:rowOff>
    </xdr:from>
    <xdr:to>
      <xdr:col>9</xdr:col>
      <xdr:colOff>459554</xdr:colOff>
      <xdr:row>209</xdr:row>
      <xdr:rowOff>130699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2A40163-4D25-4DD4-8F38-412D805D7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43169" y="25654000"/>
          <a:ext cx="6160510" cy="79729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1</xdr:row>
      <xdr:rowOff>9525</xdr:rowOff>
    </xdr:from>
    <xdr:ext cx="47625" cy="47625"/>
    <xdr:pic macro="[2]!DesignIconClicked">
      <xdr:nvPicPr>
        <xdr:cNvPr id="2" name="BExMO7VFCN4EL59982UR4AJ25JNJ" descr="XX6TINEJADZGKR0CTM7ZRT0RA" hidden="1">
          <a:extLst>
            <a:ext uri="{FF2B5EF4-FFF2-40B4-BE49-F238E27FC236}">
              <a16:creationId xmlns:a16="http://schemas.microsoft.com/office/drawing/2014/main" id="{0C8BE106-0963-43D9-BB42-324BDAF5A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</xdr:row>
      <xdr:rowOff>85725</xdr:rowOff>
    </xdr:from>
    <xdr:ext cx="47625" cy="47625"/>
    <xdr:pic macro="[2]!DesignIconClicked">
      <xdr:nvPicPr>
        <xdr:cNvPr id="3" name="BExU3EX5JJCXCII4YKUJBFBGIJR2" descr="OF5ZI9PI5WH36VPANJ2DYLNMI" hidden="1">
          <a:extLst>
            <a:ext uri="{FF2B5EF4-FFF2-40B4-BE49-F238E27FC236}">
              <a16:creationId xmlns:a16="http://schemas.microsoft.com/office/drawing/2014/main" id="{F095D077-98E9-4499-A63C-87C7CF9BC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432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</xdr:row>
      <xdr:rowOff>9525</xdr:rowOff>
    </xdr:from>
    <xdr:ext cx="47625" cy="47625"/>
    <xdr:pic macro="[2]!DesignIconClicked">
      <xdr:nvPicPr>
        <xdr:cNvPr id="4" name="BEx1KD7H6UB1VYCJ7O61P562EIUY" descr="IQGV9140X0K0UPBL8OGU3I44J" hidden="1">
          <a:extLst>
            <a:ext uri="{FF2B5EF4-FFF2-40B4-BE49-F238E27FC236}">
              <a16:creationId xmlns:a16="http://schemas.microsoft.com/office/drawing/2014/main" id="{B0E2FDC8-97B9-4A51-B811-EFE632DDF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24375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</xdr:row>
      <xdr:rowOff>85725</xdr:rowOff>
    </xdr:from>
    <xdr:ext cx="47625" cy="47625"/>
    <xdr:pic macro="[2]!DesignIconClicked">
      <xdr:nvPicPr>
        <xdr:cNvPr id="5" name="BEx5BJQWS6YWHH4ZMSUAMD641V6Y" descr="ZTMFMXCIQSECDX38ALEFHUB00" hidden="1">
          <a:extLst>
            <a:ext uri="{FF2B5EF4-FFF2-40B4-BE49-F238E27FC236}">
              <a16:creationId xmlns:a16="http://schemas.microsoft.com/office/drawing/2014/main" id="{81063423-2FC6-48ED-BFD6-3999778FC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24375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19050</xdr:colOff>
      <xdr:row>1</xdr:row>
      <xdr:rowOff>9525</xdr:rowOff>
    </xdr:from>
    <xdr:ext cx="47625" cy="47625"/>
    <xdr:pic macro="[2]!DesignIconClicked">
      <xdr:nvPicPr>
        <xdr:cNvPr id="6" name="BExVTO5Q8G2M7BPL4B2584LQS0R0" descr="OB6Q8NA4LZFE4GM9Y3V56BPMQ" hidden="1">
          <a:extLst>
            <a:ext uri="{FF2B5EF4-FFF2-40B4-BE49-F238E27FC236}">
              <a16:creationId xmlns:a16="http://schemas.microsoft.com/office/drawing/2014/main" id="{D5CDE73F-367B-4074-BEEA-6329FC21A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67325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19050</xdr:colOff>
      <xdr:row>1</xdr:row>
      <xdr:rowOff>85725</xdr:rowOff>
    </xdr:from>
    <xdr:ext cx="47625" cy="47625"/>
    <xdr:pic macro="[2]!DesignIconClicked">
      <xdr:nvPicPr>
        <xdr:cNvPr id="7" name="BExIFSCLN1G86X78PFLTSMRP0US5" descr="9JK4SPV4DG7VTCZIILWHXQU5J" hidden="1">
          <a:extLst>
            <a:ext uri="{FF2B5EF4-FFF2-40B4-BE49-F238E27FC236}">
              <a16:creationId xmlns:a16="http://schemas.microsoft.com/office/drawing/2014/main" id="{B01FF46D-6B6B-4CD3-A84C-1053FE726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67325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</xdr:row>
      <xdr:rowOff>9525</xdr:rowOff>
    </xdr:from>
    <xdr:ext cx="47625" cy="47625"/>
    <xdr:pic macro="[2]!DesignIconClicked">
      <xdr:nvPicPr>
        <xdr:cNvPr id="8" name="BEx1I152WN2D3A85O2XN0DGXCWHN" descr="KHBZFMANRA4UMJR1AB4M5NJNT" hidden="1">
          <a:extLst>
            <a:ext uri="{FF2B5EF4-FFF2-40B4-BE49-F238E27FC236}">
              <a16:creationId xmlns:a16="http://schemas.microsoft.com/office/drawing/2014/main" id="{1A6A45A4-AEB1-4049-B2D3-467E21F67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</xdr:row>
      <xdr:rowOff>85725</xdr:rowOff>
    </xdr:from>
    <xdr:ext cx="47625" cy="47625"/>
    <xdr:pic macro="[2]!DesignIconClicked">
      <xdr:nvPicPr>
        <xdr:cNvPr id="9" name="BExW9676P0SKCVKK25QCGHPA3PAD" descr="9A4PWZ20RMSRF0PNECCDM75CA" hidden="1">
          <a:extLst>
            <a:ext uri="{FF2B5EF4-FFF2-40B4-BE49-F238E27FC236}">
              <a16:creationId xmlns:a16="http://schemas.microsoft.com/office/drawing/2014/main" id="{8C6798FD-BBBD-455B-BD5F-97573E07F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432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28575</xdr:colOff>
      <xdr:row>3</xdr:row>
      <xdr:rowOff>0</xdr:rowOff>
    </xdr:from>
    <xdr:ext cx="123825" cy="123825"/>
    <xdr:pic macro="[2]!DesignIconClicked">
      <xdr:nvPicPr>
        <xdr:cNvPr id="10" name="BExW253QPOZK9KW8BJC3LBXGCG2N" descr="Y5HX37BEUWSN1NEFJKZJXI3SX" hidden="1">
          <a:extLst>
            <a:ext uri="{FF2B5EF4-FFF2-40B4-BE49-F238E27FC236}">
              <a16:creationId xmlns:a16="http://schemas.microsoft.com/office/drawing/2014/main" id="{E5ED979F-85D8-4B23-95FA-A98E3ED35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5272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</xdr:row>
      <xdr:rowOff>9525</xdr:rowOff>
    </xdr:from>
    <xdr:ext cx="47625" cy="47625"/>
    <xdr:pic macro="[2]!DesignIconClicked">
      <xdr:nvPicPr>
        <xdr:cNvPr id="11" name="BExS5CPQ8P8JOQPK7ANNKHLSGOKU" hidden="1">
          <a:extLst>
            <a:ext uri="{FF2B5EF4-FFF2-40B4-BE49-F238E27FC236}">
              <a16:creationId xmlns:a16="http://schemas.microsoft.com/office/drawing/2014/main" id="{21232E60-1C6F-4D87-B394-A7A254FA6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</xdr:row>
      <xdr:rowOff>85725</xdr:rowOff>
    </xdr:from>
    <xdr:ext cx="47625" cy="47625"/>
    <xdr:pic macro="[2]!DesignIconClicked">
      <xdr:nvPicPr>
        <xdr:cNvPr id="12" name="BExMM0AVUAIRNJLXB1FW8R0YB4ZZ" hidden="1">
          <a:extLst>
            <a:ext uri="{FF2B5EF4-FFF2-40B4-BE49-F238E27FC236}">
              <a16:creationId xmlns:a16="http://schemas.microsoft.com/office/drawing/2014/main" id="{C1DC72E0-A61D-41A8-9F3D-422B0ADAF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432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19050</xdr:colOff>
      <xdr:row>1</xdr:row>
      <xdr:rowOff>9525</xdr:rowOff>
    </xdr:from>
    <xdr:ext cx="47625" cy="47625"/>
    <xdr:pic macro="[2]!DesignIconClicked">
      <xdr:nvPicPr>
        <xdr:cNvPr id="13" name="BExXZ7Y09CBS0XA7IPB3IRJ8RJM4" hidden="1">
          <a:extLst>
            <a:ext uri="{FF2B5EF4-FFF2-40B4-BE49-F238E27FC236}">
              <a16:creationId xmlns:a16="http://schemas.microsoft.com/office/drawing/2014/main" id="{E2115852-0F1F-449A-AA36-6DFCB6C03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19050</xdr:colOff>
      <xdr:row>1</xdr:row>
      <xdr:rowOff>85725</xdr:rowOff>
    </xdr:from>
    <xdr:ext cx="47625" cy="47625"/>
    <xdr:pic macro="[2]!DesignIconClicked">
      <xdr:nvPicPr>
        <xdr:cNvPr id="14" name="BExQ7SXS9VUG7P6CACU2J7R2SGIZ" hidden="1">
          <a:extLst>
            <a:ext uri="{FF2B5EF4-FFF2-40B4-BE49-F238E27FC236}">
              <a16:creationId xmlns:a16="http://schemas.microsoft.com/office/drawing/2014/main" id="{87CB36AE-FEB6-421B-836E-B42A40EDA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432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</xdr:row>
      <xdr:rowOff>9525</xdr:rowOff>
    </xdr:from>
    <xdr:ext cx="47625" cy="47625"/>
    <xdr:pic macro="[2]!DesignIconClicked">
      <xdr:nvPicPr>
        <xdr:cNvPr id="15" name="BEx5AQZ4ETQ9LMY5EBWVH20Z7VXQ" hidden="1">
          <a:extLst>
            <a:ext uri="{FF2B5EF4-FFF2-40B4-BE49-F238E27FC236}">
              <a16:creationId xmlns:a16="http://schemas.microsoft.com/office/drawing/2014/main" id="{A86B775D-1B68-45BD-992E-01277AFA0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24375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1</xdr:col>
      <xdr:colOff>19050</xdr:colOff>
      <xdr:row>1</xdr:row>
      <xdr:rowOff>85725</xdr:rowOff>
    </xdr:from>
    <xdr:ext cx="47625" cy="47625"/>
    <xdr:pic macro="[2]!DesignIconClicked">
      <xdr:nvPicPr>
        <xdr:cNvPr id="16" name="BExUBK0YZ5VYFY8TTITJGJU9S06A" hidden="1">
          <a:extLst>
            <a:ext uri="{FF2B5EF4-FFF2-40B4-BE49-F238E27FC236}">
              <a16:creationId xmlns:a16="http://schemas.microsoft.com/office/drawing/2014/main" id="{8FC0846D-6C04-424A-8DB7-47F1C3236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24375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</xdr:row>
      <xdr:rowOff>9525</xdr:rowOff>
    </xdr:from>
    <xdr:ext cx="47625" cy="47625"/>
    <xdr:pic macro="[2]!DesignIconClicked">
      <xdr:nvPicPr>
        <xdr:cNvPr id="17" name="BExUEZCSSJ7RN4J18I2NUIQR2FZS" hidden="1">
          <a:extLst>
            <a:ext uri="{FF2B5EF4-FFF2-40B4-BE49-F238E27FC236}">
              <a16:creationId xmlns:a16="http://schemas.microsoft.com/office/drawing/2014/main" id="{8FFEF6DA-6E00-4479-ADB0-37762BE2A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7685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28575</xdr:colOff>
      <xdr:row>1</xdr:row>
      <xdr:rowOff>85725</xdr:rowOff>
    </xdr:from>
    <xdr:ext cx="47625" cy="47625"/>
    <xdr:pic macro="[2]!DesignIconClicked">
      <xdr:nvPicPr>
        <xdr:cNvPr id="18" name="BExS3JDQWF7U3F5JTEVOE16ASIYK" hidden="1">
          <a:extLst>
            <a:ext uri="{FF2B5EF4-FFF2-40B4-BE49-F238E27FC236}">
              <a16:creationId xmlns:a16="http://schemas.microsoft.com/office/drawing/2014/main" id="{034EF971-D501-4698-B614-9C5A7B323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7685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0</xdr:col>
      <xdr:colOff>47625</xdr:colOff>
      <xdr:row>4</xdr:row>
      <xdr:rowOff>0</xdr:rowOff>
    </xdr:from>
    <xdr:ext cx="123825" cy="123825"/>
    <xdr:pic macro="[2]!DesignIconClicked">
      <xdr:nvPicPr>
        <xdr:cNvPr id="19" name="BEx973S463FCQVJ7QDFBUIU0WJ3F" descr="ZQTVYL8DCSADVT0QMRXFLU0TR" hidden="1">
          <a:extLst>
            <a:ext uri="{FF2B5EF4-FFF2-40B4-BE49-F238E27FC236}">
              <a16:creationId xmlns:a16="http://schemas.microsoft.com/office/drawing/2014/main" id="{5604E56A-1636-4A6E-807F-62DB0C8BC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71775" y="2124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</xdr:row>
      <xdr:rowOff>0</xdr:rowOff>
    </xdr:from>
    <xdr:ext cx="123825" cy="123825"/>
    <xdr:pic macro="[2]!DesignIconClicked">
      <xdr:nvPicPr>
        <xdr:cNvPr id="20" name="BEx5FXJGJOT93D0J2IRJ3985IUMI" hidden="1">
          <a:extLst>
            <a:ext uri="{FF2B5EF4-FFF2-40B4-BE49-F238E27FC236}">
              <a16:creationId xmlns:a16="http://schemas.microsoft.com/office/drawing/2014/main" id="{51A2D234-5CF4-4D7F-9D8F-CA83EECFE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2</xdr:row>
      <xdr:rowOff>0</xdr:rowOff>
    </xdr:from>
    <xdr:ext cx="123825" cy="123825"/>
    <xdr:pic macro="[2]!DesignIconClicked">
      <xdr:nvPicPr>
        <xdr:cNvPr id="21" name="BEx3RTMHAR35NUAAK49TV6NU7EPA" descr="QFXLG4ZCXTRQSJYFCKJ58G9N8" hidden="1">
          <a:extLst>
            <a:ext uri="{FF2B5EF4-FFF2-40B4-BE49-F238E27FC236}">
              <a16:creationId xmlns:a16="http://schemas.microsoft.com/office/drawing/2014/main" id="{77CC2906-D345-4C17-95A5-9DE40B65B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33675" y="1838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5</xdr:row>
      <xdr:rowOff>0</xdr:rowOff>
    </xdr:from>
    <xdr:ext cx="123825" cy="123825"/>
    <xdr:pic macro="[2]!DesignIconClicked">
      <xdr:nvPicPr>
        <xdr:cNvPr id="22" name="BExS8T38WLC2R738ZC7BDJQAKJAJ" descr="MRI962L5PB0E0YWXCIBN82VJH" hidden="1">
          <a:extLst>
            <a:ext uri="{FF2B5EF4-FFF2-40B4-BE49-F238E27FC236}">
              <a16:creationId xmlns:a16="http://schemas.microsoft.com/office/drawing/2014/main" id="{9BE3794D-2CED-44B8-90E0-CBF302FD4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2266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</xdr:row>
      <xdr:rowOff>0</xdr:rowOff>
    </xdr:from>
    <xdr:ext cx="123825" cy="123825"/>
    <xdr:pic macro="[2]!DesignIconClicked">
      <xdr:nvPicPr>
        <xdr:cNvPr id="23" name="BEx5F64BJ6DCM4EJH81D5ZFNPZ0V" descr="7DJ9FILZD2YPS6X1JBP9E76TU" hidden="1">
          <a:extLst>
            <a:ext uri="{FF2B5EF4-FFF2-40B4-BE49-F238E27FC236}">
              <a16:creationId xmlns:a16="http://schemas.microsoft.com/office/drawing/2014/main" id="{5AD00FFD-D818-4B1C-9FBC-839FB3B97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</xdr:row>
      <xdr:rowOff>0</xdr:rowOff>
    </xdr:from>
    <xdr:ext cx="123825" cy="123825"/>
    <xdr:pic macro="[2]!DesignIconClicked">
      <xdr:nvPicPr>
        <xdr:cNvPr id="24" name="BExQEXXHA3EEXR44LT6RKCDWM6ZT" hidden="1">
          <a:extLst>
            <a:ext uri="{FF2B5EF4-FFF2-40B4-BE49-F238E27FC236}">
              <a16:creationId xmlns:a16="http://schemas.microsoft.com/office/drawing/2014/main" id="{83A91A32-E0BD-4353-9BC2-320246EE3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7</xdr:row>
      <xdr:rowOff>0</xdr:rowOff>
    </xdr:from>
    <xdr:ext cx="123825" cy="123825"/>
    <xdr:pic macro="[2]!DesignIconClicked">
      <xdr:nvPicPr>
        <xdr:cNvPr id="25" name="BEx1X6AMHV6ZK3UJB2BXIJTJHYJU" descr="OALR4L95ELQLZ1Y1LETHM1CS9" hidden="1">
          <a:extLst>
            <a:ext uri="{FF2B5EF4-FFF2-40B4-BE49-F238E27FC236}">
              <a16:creationId xmlns:a16="http://schemas.microsoft.com/office/drawing/2014/main" id="{C733546C-783A-421F-90C5-C5617F304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09875" y="2552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2</xdr:row>
      <xdr:rowOff>0</xdr:rowOff>
    </xdr:from>
    <xdr:ext cx="123825" cy="123825"/>
    <xdr:pic macro="[2]!DesignIconClicked">
      <xdr:nvPicPr>
        <xdr:cNvPr id="26" name="BExSDIVCE09QKG3CT52PHCS6ZJ09" descr="9F076L7EQCF2COMMGCQG6BQGU" hidden="1">
          <a:extLst>
            <a:ext uri="{FF2B5EF4-FFF2-40B4-BE49-F238E27FC236}">
              <a16:creationId xmlns:a16="http://schemas.microsoft.com/office/drawing/2014/main" id="{567D9E84-21DD-491F-A82D-26ED7B6DB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33675" y="1838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10</xdr:row>
      <xdr:rowOff>0</xdr:rowOff>
    </xdr:from>
    <xdr:ext cx="123825" cy="123825"/>
    <xdr:pic macro="[2]!DesignIconClicked">
      <xdr:nvPicPr>
        <xdr:cNvPr id="27" name="BExS343F8GCKP6HTF9Y97L133DX8" descr="ZRF0KB1IYQSNV63CTXT25G67G" hidden="1">
          <a:extLst>
            <a:ext uri="{FF2B5EF4-FFF2-40B4-BE49-F238E27FC236}">
              <a16:creationId xmlns:a16="http://schemas.microsoft.com/office/drawing/2014/main" id="{BECBF39E-E1E6-435E-9689-FA918452F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2981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9</xdr:row>
      <xdr:rowOff>0</xdr:rowOff>
    </xdr:from>
    <xdr:ext cx="123825" cy="123825"/>
    <xdr:pic macro="[2]!DesignIconClicked">
      <xdr:nvPicPr>
        <xdr:cNvPr id="28" name="BExZMRC09W87CY4B73NPZMNH21AH" descr="78CUMI0OVLYJRSDRQ3V2YX812" hidden="1">
          <a:extLst>
            <a:ext uri="{FF2B5EF4-FFF2-40B4-BE49-F238E27FC236}">
              <a16:creationId xmlns:a16="http://schemas.microsoft.com/office/drawing/2014/main" id="{7EDFEC2B-8E0C-497B-AC58-5D29E7E90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28384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8</xdr:row>
      <xdr:rowOff>9525</xdr:rowOff>
    </xdr:from>
    <xdr:ext cx="123825" cy="123825"/>
    <xdr:pic macro="[2]!DesignIconClicked">
      <xdr:nvPicPr>
        <xdr:cNvPr id="29" name="BExZXVFJ4DY4I24AARDT4AMP6EN1" descr="TXSMH2MTH86CYKA26740RQPUC" hidden="1">
          <a:extLst>
            <a:ext uri="{FF2B5EF4-FFF2-40B4-BE49-F238E27FC236}">
              <a16:creationId xmlns:a16="http://schemas.microsoft.com/office/drawing/2014/main" id="{3C81FB19-7540-42C1-B41D-3622271C0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27051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7</xdr:row>
      <xdr:rowOff>0</xdr:rowOff>
    </xdr:from>
    <xdr:ext cx="123825" cy="123825"/>
    <xdr:pic macro="[2]!DesignIconClicked">
      <xdr:nvPicPr>
        <xdr:cNvPr id="30" name="BExOCUIOFQWUGTBU5ESTW3EYEP5C" descr="9BNF49V0R6VVYPHEVMJ3ABDQZ" hidden="1">
          <a:extLst>
            <a:ext uri="{FF2B5EF4-FFF2-40B4-BE49-F238E27FC236}">
              <a16:creationId xmlns:a16="http://schemas.microsoft.com/office/drawing/2014/main" id="{3C7F8164-9BAE-4957-8874-780D37408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2552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</xdr:row>
      <xdr:rowOff>0</xdr:rowOff>
    </xdr:from>
    <xdr:ext cx="123825" cy="123825"/>
    <xdr:pic macro="[2]!DesignIconClicked">
      <xdr:nvPicPr>
        <xdr:cNvPr id="31" name="BExU65O9OE4B4MQ2A3OYH13M8BZJ" descr="3INNIMMPDBB0JF37L81M6ID21" hidden="1">
          <a:extLst>
            <a:ext uri="{FF2B5EF4-FFF2-40B4-BE49-F238E27FC236}">
              <a16:creationId xmlns:a16="http://schemas.microsoft.com/office/drawing/2014/main" id="{5D79509F-A100-484F-B4EE-33F44E525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24098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</xdr:row>
      <xdr:rowOff>0</xdr:rowOff>
    </xdr:from>
    <xdr:ext cx="123825" cy="123825"/>
    <xdr:pic macro="[2]!DesignIconClicked">
      <xdr:nvPicPr>
        <xdr:cNvPr id="32" name="BExOPRCR0UW7TKXSV5WDTL348FGL" descr="S9JM17GP1802LHN4GT14BJYIC" hidden="1">
          <a:extLst>
            <a:ext uri="{FF2B5EF4-FFF2-40B4-BE49-F238E27FC236}">
              <a16:creationId xmlns:a16="http://schemas.microsoft.com/office/drawing/2014/main" id="{4219D99F-D800-4104-BAB5-3BC2F94EB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2266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</xdr:row>
      <xdr:rowOff>0</xdr:rowOff>
    </xdr:from>
    <xdr:ext cx="123825" cy="123825"/>
    <xdr:pic macro="[2]!DesignIconClicked">
      <xdr:nvPicPr>
        <xdr:cNvPr id="33" name="BEx5OESAY2W8SEGI3TSB65EHJ04B" descr="9CN2Y88X8WYV1HWZG1QILY9BK" hidden="1">
          <a:extLst>
            <a:ext uri="{FF2B5EF4-FFF2-40B4-BE49-F238E27FC236}">
              <a16:creationId xmlns:a16="http://schemas.microsoft.com/office/drawing/2014/main" id="{7AED0092-DDAF-4C59-8360-775D89B53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2124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</xdr:row>
      <xdr:rowOff>0</xdr:rowOff>
    </xdr:from>
    <xdr:ext cx="123825" cy="123825"/>
    <xdr:pic macro="[2]!DesignIconClicked">
      <xdr:nvPicPr>
        <xdr:cNvPr id="34" name="BExGMWEQ2BYRY9BAO5T1X850MJN1" descr="AZ9ST0XDIOP50HSUFO5V31BR0" hidden="1">
          <a:extLst>
            <a:ext uri="{FF2B5EF4-FFF2-40B4-BE49-F238E27FC236}">
              <a16:creationId xmlns:a16="http://schemas.microsoft.com/office/drawing/2014/main" id="{A9AB3903-AD2B-4E49-BE46-503AFC69C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17</xdr:row>
      <xdr:rowOff>152400</xdr:rowOff>
    </xdr:from>
    <xdr:to>
      <xdr:col>13</xdr:col>
      <xdr:colOff>238125</xdr:colOff>
      <xdr:row>27</xdr:row>
      <xdr:rowOff>38100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E42A8018-F705-4D5D-A195-3F5EB1801ABA}"/>
            </a:ext>
          </a:extLst>
        </xdr:cNvPr>
        <xdr:cNvCxnSpPr/>
      </xdr:nvCxnSpPr>
      <xdr:spPr>
        <a:xfrm flipV="1">
          <a:off x="3429000" y="3390900"/>
          <a:ext cx="4733925" cy="1790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47625</xdr:colOff>
      <xdr:row>2</xdr:row>
      <xdr:rowOff>57150</xdr:rowOff>
    </xdr:from>
    <xdr:to>
      <xdr:col>17</xdr:col>
      <xdr:colOff>608311</xdr:colOff>
      <xdr:row>34</xdr:row>
      <xdr:rowOff>123052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5367D4-1238-4941-8B99-8D1965012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438150"/>
          <a:ext cx="10314286" cy="6180952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13</xdr:row>
      <xdr:rowOff>66675</xdr:rowOff>
    </xdr:from>
    <xdr:to>
      <xdr:col>14</xdr:col>
      <xdr:colOff>352425</xdr:colOff>
      <xdr:row>14</xdr:row>
      <xdr:rowOff>171450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8A536F0C-4D4D-4634-889A-BC3FD84105CE}"/>
            </a:ext>
          </a:extLst>
        </xdr:cNvPr>
        <xdr:cNvSpPr/>
      </xdr:nvSpPr>
      <xdr:spPr>
        <a:xfrm>
          <a:off x="7410450" y="2543175"/>
          <a:ext cx="1476375" cy="29527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590550</xdr:colOff>
      <xdr:row>15</xdr:row>
      <xdr:rowOff>28575</xdr:rowOff>
    </xdr:from>
    <xdr:to>
      <xdr:col>12</xdr:col>
      <xdr:colOff>209550</xdr:colOff>
      <xdr:row>17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9A630A75-649E-428A-BEA5-13E1E4E6511F}"/>
            </a:ext>
          </a:extLst>
        </xdr:cNvPr>
        <xdr:cNvSpPr/>
      </xdr:nvSpPr>
      <xdr:spPr>
        <a:xfrm>
          <a:off x="6686550" y="2886075"/>
          <a:ext cx="838200" cy="35242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438149</xdr:colOff>
      <xdr:row>38</xdr:row>
      <xdr:rowOff>141476</xdr:rowOff>
    </xdr:from>
    <xdr:to>
      <xdr:col>17</xdr:col>
      <xdr:colOff>61992</xdr:colOff>
      <xdr:row>57</xdr:row>
      <xdr:rowOff>114300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90DB51F-BBC2-4A98-B2F7-991B91C99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749" y="7475726"/>
          <a:ext cx="9377443" cy="44305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19050</xdr:colOff>
      <xdr:row>2</xdr:row>
      <xdr:rowOff>9525</xdr:rowOff>
    </xdr:from>
    <xdr:ext cx="47625" cy="47625"/>
    <xdr:pic macro="[2]!DesignIconClicked">
      <xdr:nvPicPr>
        <xdr:cNvPr id="2" name="BExMO7VFCN4EL59982UR4AJ25JNJ" descr="XX6TINEJADZGKR0CTM7ZRT0RA" hidden="1">
          <a:extLst>
            <a:ext uri="{FF2B5EF4-FFF2-40B4-BE49-F238E27FC236}">
              <a16:creationId xmlns:a16="http://schemas.microsoft.com/office/drawing/2014/main" id="{AD9F8FC4-DAAF-45FB-A497-6A1B3CC3D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1704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2</xdr:row>
      <xdr:rowOff>85725</xdr:rowOff>
    </xdr:from>
    <xdr:ext cx="47625" cy="47625"/>
    <xdr:pic macro="[2]!DesignIconClicked">
      <xdr:nvPicPr>
        <xdr:cNvPr id="3" name="BExU3EX5JJCXCII4YKUJBFBGIJR2" descr="OF5ZI9PI5WH36VPANJ2DYLNMI" hidden="1">
          <a:extLst>
            <a:ext uri="{FF2B5EF4-FFF2-40B4-BE49-F238E27FC236}">
              <a16:creationId xmlns:a16="http://schemas.microsoft.com/office/drawing/2014/main" id="{370A22B5-FEE8-4F5F-9B55-C7D73693B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43200" y="17811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19050</xdr:colOff>
      <xdr:row>2</xdr:row>
      <xdr:rowOff>9525</xdr:rowOff>
    </xdr:from>
    <xdr:ext cx="47625" cy="47625"/>
    <xdr:pic macro="[2]!DesignIconClicked">
      <xdr:nvPicPr>
        <xdr:cNvPr id="4" name="BEx1KD7H6UB1VYCJ7O61P562EIUY" descr="IQGV9140X0K0UPBL8OGU3I44J" hidden="1">
          <a:extLst>
            <a:ext uri="{FF2B5EF4-FFF2-40B4-BE49-F238E27FC236}">
              <a16:creationId xmlns:a16="http://schemas.microsoft.com/office/drawing/2014/main" id="{DB53DCF8-3C3F-481C-BFDA-8CC711410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52975" y="1704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19050</xdr:colOff>
      <xdr:row>2</xdr:row>
      <xdr:rowOff>85725</xdr:rowOff>
    </xdr:from>
    <xdr:ext cx="47625" cy="47625"/>
    <xdr:pic macro="[2]!DesignIconClicked">
      <xdr:nvPicPr>
        <xdr:cNvPr id="5" name="BEx5BJQWS6YWHH4ZMSUAMD641V6Y" descr="ZTMFMXCIQSECDX38ALEFHUB00" hidden="1">
          <a:extLst>
            <a:ext uri="{FF2B5EF4-FFF2-40B4-BE49-F238E27FC236}">
              <a16:creationId xmlns:a16="http://schemas.microsoft.com/office/drawing/2014/main" id="{71C8C877-7863-488A-AD80-5F0EAF609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52975" y="17811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19050</xdr:colOff>
      <xdr:row>2</xdr:row>
      <xdr:rowOff>9525</xdr:rowOff>
    </xdr:from>
    <xdr:ext cx="47625" cy="47625"/>
    <xdr:pic macro="[2]!DesignIconClicked">
      <xdr:nvPicPr>
        <xdr:cNvPr id="6" name="BExVTO5Q8G2M7BPL4B2584LQS0R0" descr="OB6Q8NA4LZFE4GM9Y3V56BPMQ" hidden="1">
          <a:extLst>
            <a:ext uri="{FF2B5EF4-FFF2-40B4-BE49-F238E27FC236}">
              <a16:creationId xmlns:a16="http://schemas.microsoft.com/office/drawing/2014/main" id="{6E3CE2A0-FC9D-4581-AF54-89B302F9D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25" y="1704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8</xdr:col>
      <xdr:colOff>19050</xdr:colOff>
      <xdr:row>2</xdr:row>
      <xdr:rowOff>85725</xdr:rowOff>
    </xdr:from>
    <xdr:ext cx="47625" cy="47625"/>
    <xdr:pic macro="[2]!DesignIconClicked">
      <xdr:nvPicPr>
        <xdr:cNvPr id="7" name="BExIFSCLN1G86X78PFLTSMRP0US5" descr="9JK4SPV4DG7VTCZIILWHXQU5J" hidden="1">
          <a:extLst>
            <a:ext uri="{FF2B5EF4-FFF2-40B4-BE49-F238E27FC236}">
              <a16:creationId xmlns:a16="http://schemas.microsoft.com/office/drawing/2014/main" id="{2EC7487F-8942-460B-9EEB-888BC1E4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95925" y="17811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2</xdr:row>
      <xdr:rowOff>9525</xdr:rowOff>
    </xdr:from>
    <xdr:ext cx="47625" cy="47625"/>
    <xdr:pic macro="[2]!DesignIconClicked">
      <xdr:nvPicPr>
        <xdr:cNvPr id="8" name="BEx1I152WN2D3A85O2XN0DGXCWHN" descr="KHBZFMANRA4UMJR1AB4M5NJNT" hidden="1">
          <a:extLst>
            <a:ext uri="{FF2B5EF4-FFF2-40B4-BE49-F238E27FC236}">
              <a16:creationId xmlns:a16="http://schemas.microsoft.com/office/drawing/2014/main" id="{6C6AE2D0-7932-4355-870C-7290A5873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1704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2</xdr:row>
      <xdr:rowOff>85725</xdr:rowOff>
    </xdr:from>
    <xdr:ext cx="47625" cy="47625"/>
    <xdr:pic macro="[2]!DesignIconClicked">
      <xdr:nvPicPr>
        <xdr:cNvPr id="9" name="BExW9676P0SKCVKK25QCGHPA3PAD" descr="9A4PWZ20RMSRF0PNECCDM75CA" hidden="1">
          <a:extLst>
            <a:ext uri="{FF2B5EF4-FFF2-40B4-BE49-F238E27FC236}">
              <a16:creationId xmlns:a16="http://schemas.microsoft.com/office/drawing/2014/main" id="{354EAE27-E91B-4DB3-8B2B-01FD2082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43200" y="17811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28575</xdr:colOff>
      <xdr:row>4</xdr:row>
      <xdr:rowOff>0</xdr:rowOff>
    </xdr:from>
    <xdr:ext cx="123825" cy="123825"/>
    <xdr:pic macro="[2]!DesignIconClicked">
      <xdr:nvPicPr>
        <xdr:cNvPr id="10" name="BExW253QPOZK9KW8BJC3LBXGCG2N" descr="Y5HX37BEUWSN1NEFJKZJXI3SX" hidden="1">
          <a:extLst>
            <a:ext uri="{FF2B5EF4-FFF2-40B4-BE49-F238E27FC236}">
              <a16:creationId xmlns:a16="http://schemas.microsoft.com/office/drawing/2014/main" id="{2B53F067-6C7E-491B-BE5D-A39F467BC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52725" y="2124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19050</xdr:colOff>
      <xdr:row>2</xdr:row>
      <xdr:rowOff>9525</xdr:rowOff>
    </xdr:from>
    <xdr:ext cx="47625" cy="47625"/>
    <xdr:pic macro="[2]!DesignIconClicked">
      <xdr:nvPicPr>
        <xdr:cNvPr id="11" name="BExS5CPQ8P8JOQPK7ANNKHLSGOKU" hidden="1">
          <a:extLst>
            <a:ext uri="{FF2B5EF4-FFF2-40B4-BE49-F238E27FC236}">
              <a16:creationId xmlns:a16="http://schemas.microsoft.com/office/drawing/2014/main" id="{BD0CA731-4AE9-4793-9E0C-5433EADB6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1704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2</xdr:row>
      <xdr:rowOff>85725</xdr:rowOff>
    </xdr:from>
    <xdr:ext cx="47625" cy="47625"/>
    <xdr:pic macro="[2]!DesignIconClicked">
      <xdr:nvPicPr>
        <xdr:cNvPr id="12" name="BExMM0AVUAIRNJLXB1FW8R0YB4ZZ" hidden="1">
          <a:extLst>
            <a:ext uri="{FF2B5EF4-FFF2-40B4-BE49-F238E27FC236}">
              <a16:creationId xmlns:a16="http://schemas.microsoft.com/office/drawing/2014/main" id="{871E9C47-50C0-43AA-A733-856716BFF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43200" y="17811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19050</xdr:colOff>
      <xdr:row>2</xdr:row>
      <xdr:rowOff>9525</xdr:rowOff>
    </xdr:from>
    <xdr:ext cx="47625" cy="47625"/>
    <xdr:pic macro="[2]!DesignIconClicked">
      <xdr:nvPicPr>
        <xdr:cNvPr id="13" name="BExXZ7Y09CBS0XA7IPB3IRJ8RJM4" hidden="1">
          <a:extLst>
            <a:ext uri="{FF2B5EF4-FFF2-40B4-BE49-F238E27FC236}">
              <a16:creationId xmlns:a16="http://schemas.microsoft.com/office/drawing/2014/main" id="{C56AA5FC-28C5-45F8-98D9-645FA7D61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1704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2</xdr:row>
      <xdr:rowOff>85725</xdr:rowOff>
    </xdr:from>
    <xdr:ext cx="47625" cy="47625"/>
    <xdr:pic macro="[2]!DesignIconClicked">
      <xdr:nvPicPr>
        <xdr:cNvPr id="14" name="BExQ7SXS9VUG7P6CACU2J7R2SGIZ" hidden="1">
          <a:extLst>
            <a:ext uri="{FF2B5EF4-FFF2-40B4-BE49-F238E27FC236}">
              <a16:creationId xmlns:a16="http://schemas.microsoft.com/office/drawing/2014/main" id="{1573D7AD-43BD-43AE-A545-60F5A1568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43200" y="17811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19050</xdr:colOff>
      <xdr:row>2</xdr:row>
      <xdr:rowOff>9525</xdr:rowOff>
    </xdr:from>
    <xdr:ext cx="47625" cy="47625"/>
    <xdr:pic macro="[2]!DesignIconClicked">
      <xdr:nvPicPr>
        <xdr:cNvPr id="15" name="BEx5AQZ4ETQ9LMY5EBWVH20Z7VXQ" hidden="1">
          <a:extLst>
            <a:ext uri="{FF2B5EF4-FFF2-40B4-BE49-F238E27FC236}">
              <a16:creationId xmlns:a16="http://schemas.microsoft.com/office/drawing/2014/main" id="{9E91548D-7F5D-4B9E-908F-DB7D81CC4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52975" y="1704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19050</xdr:colOff>
      <xdr:row>2</xdr:row>
      <xdr:rowOff>85725</xdr:rowOff>
    </xdr:from>
    <xdr:ext cx="47625" cy="47625"/>
    <xdr:pic macro="[2]!DesignIconClicked">
      <xdr:nvPicPr>
        <xdr:cNvPr id="16" name="BExUBK0YZ5VYFY8TTITJGJU9S06A" hidden="1">
          <a:extLst>
            <a:ext uri="{FF2B5EF4-FFF2-40B4-BE49-F238E27FC236}">
              <a16:creationId xmlns:a16="http://schemas.microsoft.com/office/drawing/2014/main" id="{04107BF9-778F-4DFC-B8B9-104E45D1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52975" y="17811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8</xdr:col>
      <xdr:colOff>28575</xdr:colOff>
      <xdr:row>2</xdr:row>
      <xdr:rowOff>9525</xdr:rowOff>
    </xdr:from>
    <xdr:ext cx="47625" cy="47625"/>
    <xdr:pic macro="[2]!DesignIconClicked">
      <xdr:nvPicPr>
        <xdr:cNvPr id="17" name="BExUEZCSSJ7RN4J18I2NUIQR2FZS" hidden="1">
          <a:extLst>
            <a:ext uri="{FF2B5EF4-FFF2-40B4-BE49-F238E27FC236}">
              <a16:creationId xmlns:a16="http://schemas.microsoft.com/office/drawing/2014/main" id="{DCC00EDB-47D0-4D19-9FD9-936DE83E2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5450" y="17049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8</xdr:col>
      <xdr:colOff>28575</xdr:colOff>
      <xdr:row>2</xdr:row>
      <xdr:rowOff>85725</xdr:rowOff>
    </xdr:from>
    <xdr:ext cx="47625" cy="47625"/>
    <xdr:pic macro="[2]!DesignIconClicked">
      <xdr:nvPicPr>
        <xdr:cNvPr id="18" name="BExS3JDQWF7U3F5JTEVOE16ASIYK" hidden="1">
          <a:extLst>
            <a:ext uri="{FF2B5EF4-FFF2-40B4-BE49-F238E27FC236}">
              <a16:creationId xmlns:a16="http://schemas.microsoft.com/office/drawing/2014/main" id="{3E0678A0-A9E0-408F-BAAF-8E3F20A95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05450" y="178117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47625</xdr:colOff>
      <xdr:row>5</xdr:row>
      <xdr:rowOff>0</xdr:rowOff>
    </xdr:from>
    <xdr:ext cx="123825" cy="123825"/>
    <xdr:pic macro="[2]!DesignIconClicked">
      <xdr:nvPicPr>
        <xdr:cNvPr id="19" name="BEx973S463FCQVJ7QDFBUIU0WJ3F" descr="ZQTVYL8DCSADVT0QMRXFLU0TR" hidden="1">
          <a:extLst>
            <a:ext uri="{FF2B5EF4-FFF2-40B4-BE49-F238E27FC236}">
              <a16:creationId xmlns:a16="http://schemas.microsoft.com/office/drawing/2014/main" id="{B4B66450-6448-446B-B881-4CDCD25F3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71775" y="2266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85725</xdr:colOff>
      <xdr:row>13</xdr:row>
      <xdr:rowOff>0</xdr:rowOff>
    </xdr:from>
    <xdr:ext cx="123825" cy="123825"/>
    <xdr:pic macro="[2]!DesignIconClicked">
      <xdr:nvPicPr>
        <xdr:cNvPr id="20" name="BExRZO0PLWWMCLGRH7EH6UXYWGAJ" descr="9D4GQ34QB727H10MA3SSAR2R9" hidden="1">
          <a:extLst>
            <a:ext uri="{FF2B5EF4-FFF2-40B4-BE49-F238E27FC236}">
              <a16:creationId xmlns:a16="http://schemas.microsoft.com/office/drawing/2014/main" id="{5FC7174F-C285-437F-982C-0207DDD9B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3409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14</xdr:row>
      <xdr:rowOff>0</xdr:rowOff>
    </xdr:from>
    <xdr:ext cx="123825" cy="123825"/>
    <xdr:pic macro="[2]!DesignIconClicked">
      <xdr:nvPicPr>
        <xdr:cNvPr id="21" name="BExBDP6HNAAJUM39SE5G2C8BKNRQ" descr="1TM64TL2QIMYV7WYSV2VLGXY4" hidden="1">
          <a:extLst>
            <a:ext uri="{FF2B5EF4-FFF2-40B4-BE49-F238E27FC236}">
              <a16:creationId xmlns:a16="http://schemas.microsoft.com/office/drawing/2014/main" id="{A8ADA2F1-EEAE-4110-A922-E19609F31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35528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15</xdr:row>
      <xdr:rowOff>0</xdr:rowOff>
    </xdr:from>
    <xdr:ext cx="123825" cy="123825"/>
    <xdr:pic macro="[2]!DesignIconClicked">
      <xdr:nvPicPr>
        <xdr:cNvPr id="22" name="BExQEGJP61DL2NZY6LMBHBZ0J5YT" descr="D6ZNRZJ7EX4GZT9RO8LE0C905" hidden="1">
          <a:extLst>
            <a:ext uri="{FF2B5EF4-FFF2-40B4-BE49-F238E27FC236}">
              <a16:creationId xmlns:a16="http://schemas.microsoft.com/office/drawing/2014/main" id="{39C53DE4-04FF-4D68-8701-A535E8D95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3695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16</xdr:row>
      <xdr:rowOff>0</xdr:rowOff>
    </xdr:from>
    <xdr:ext cx="123825" cy="123825"/>
    <xdr:pic macro="[2]!DesignIconClicked">
      <xdr:nvPicPr>
        <xdr:cNvPr id="23" name="BExTY1BCS6HZIF6HI5491FGHDVAE" descr="MJ6976KI2UH1IE8M227DUYXMJ" hidden="1">
          <a:extLst>
            <a:ext uri="{FF2B5EF4-FFF2-40B4-BE49-F238E27FC236}">
              <a16:creationId xmlns:a16="http://schemas.microsoft.com/office/drawing/2014/main" id="{E63C89E9-7A33-42CD-95C0-BB545464E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38385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4</xdr:row>
      <xdr:rowOff>0</xdr:rowOff>
    </xdr:from>
    <xdr:ext cx="123825" cy="123825"/>
    <xdr:pic macro="[2]!DesignIconClicked">
      <xdr:nvPicPr>
        <xdr:cNvPr id="24" name="BEx5FXJGJOT93D0J2IRJ3985IUMI" hidden="1">
          <a:extLst>
            <a:ext uri="{FF2B5EF4-FFF2-40B4-BE49-F238E27FC236}">
              <a16:creationId xmlns:a16="http://schemas.microsoft.com/office/drawing/2014/main" id="{EFE7095F-E519-4FFB-92E4-B406633E4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2124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9525</xdr:colOff>
      <xdr:row>3</xdr:row>
      <xdr:rowOff>0</xdr:rowOff>
    </xdr:from>
    <xdr:ext cx="123825" cy="123825"/>
    <xdr:pic macro="[2]!DesignIconClicked">
      <xdr:nvPicPr>
        <xdr:cNvPr id="25" name="BEx3RTMHAR35NUAAK49TV6NU7EPA" descr="QFXLG4ZCXTRQSJYFCKJ58G9N8" hidden="1">
          <a:extLst>
            <a:ext uri="{FF2B5EF4-FFF2-40B4-BE49-F238E27FC236}">
              <a16:creationId xmlns:a16="http://schemas.microsoft.com/office/drawing/2014/main" id="{B262D752-B755-4D9B-9342-2093F0092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336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85725</xdr:colOff>
      <xdr:row>6</xdr:row>
      <xdr:rowOff>0</xdr:rowOff>
    </xdr:from>
    <xdr:ext cx="123825" cy="123825"/>
    <xdr:pic macro="[2]!DesignIconClicked">
      <xdr:nvPicPr>
        <xdr:cNvPr id="26" name="BExS8T38WLC2R738ZC7BDJQAKJAJ" descr="MRI962L5PB0E0YWXCIBN82VJH" hidden="1">
          <a:extLst>
            <a:ext uri="{FF2B5EF4-FFF2-40B4-BE49-F238E27FC236}">
              <a16:creationId xmlns:a16="http://schemas.microsoft.com/office/drawing/2014/main" id="{F0A8B442-8DD1-49F1-897F-4E90DDEFB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24098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4</xdr:row>
      <xdr:rowOff>0</xdr:rowOff>
    </xdr:from>
    <xdr:ext cx="123825" cy="123825"/>
    <xdr:pic macro="[2]!DesignIconClicked">
      <xdr:nvPicPr>
        <xdr:cNvPr id="27" name="BEx5F64BJ6DCM4EJH81D5ZFNPZ0V" descr="7DJ9FILZD2YPS6X1JBP9E76TU" hidden="1">
          <a:extLst>
            <a:ext uri="{FF2B5EF4-FFF2-40B4-BE49-F238E27FC236}">
              <a16:creationId xmlns:a16="http://schemas.microsoft.com/office/drawing/2014/main" id="{C07883B3-B7F2-4BC6-84AF-208403C01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2124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4</xdr:row>
      <xdr:rowOff>0</xdr:rowOff>
    </xdr:from>
    <xdr:ext cx="123825" cy="123825"/>
    <xdr:pic macro="[2]!DesignIconClicked">
      <xdr:nvPicPr>
        <xdr:cNvPr id="28" name="BExQEXXHA3EEXR44LT6RKCDWM6ZT" hidden="1">
          <a:extLst>
            <a:ext uri="{FF2B5EF4-FFF2-40B4-BE49-F238E27FC236}">
              <a16:creationId xmlns:a16="http://schemas.microsoft.com/office/drawing/2014/main" id="{98101EA6-E29B-4FF2-8512-DBDCAD1BB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2124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85725</xdr:colOff>
      <xdr:row>8</xdr:row>
      <xdr:rowOff>0</xdr:rowOff>
    </xdr:from>
    <xdr:ext cx="123825" cy="123825"/>
    <xdr:pic macro="[2]!DesignIconClicked">
      <xdr:nvPicPr>
        <xdr:cNvPr id="29" name="BEx1X6AMHV6ZK3UJB2BXIJTJHYJU" descr="OALR4L95ELQLZ1Y1LETHM1CS9" hidden="1">
          <a:extLst>
            <a:ext uri="{FF2B5EF4-FFF2-40B4-BE49-F238E27FC236}">
              <a16:creationId xmlns:a16="http://schemas.microsoft.com/office/drawing/2014/main" id="{79D29ABF-9544-420F-9725-0DEB2E6D3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09875" y="26955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9525</xdr:colOff>
      <xdr:row>3</xdr:row>
      <xdr:rowOff>0</xdr:rowOff>
    </xdr:from>
    <xdr:ext cx="123825" cy="123825"/>
    <xdr:pic macro="[2]!DesignIconClicked">
      <xdr:nvPicPr>
        <xdr:cNvPr id="30" name="BExSDIVCE09QKG3CT52PHCS6ZJ09" descr="9F076L7EQCF2COMMGCQG6BQGU" hidden="1">
          <a:extLst>
            <a:ext uri="{FF2B5EF4-FFF2-40B4-BE49-F238E27FC236}">
              <a16:creationId xmlns:a16="http://schemas.microsoft.com/office/drawing/2014/main" id="{0ADD0A08-BFDE-43CD-A48E-FFBF45390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336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13</xdr:row>
      <xdr:rowOff>0</xdr:rowOff>
    </xdr:from>
    <xdr:ext cx="123825" cy="123825"/>
    <xdr:pic macro="[2]!DesignIconClicked">
      <xdr:nvPicPr>
        <xdr:cNvPr id="31" name="BEx1QZGQZBAWJ8591VXEIPUOVS7X" descr="MEW27CPIFG44B7E7HEQUUF5QF" hidden="1">
          <a:extLst>
            <a:ext uri="{FF2B5EF4-FFF2-40B4-BE49-F238E27FC236}">
              <a16:creationId xmlns:a16="http://schemas.microsoft.com/office/drawing/2014/main" id="{D7892B26-E520-4F8E-9EAB-16E8E1F46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3409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12</xdr:row>
      <xdr:rowOff>0</xdr:rowOff>
    </xdr:from>
    <xdr:ext cx="123825" cy="123825"/>
    <xdr:pic macro="[2]!DesignIconClicked">
      <xdr:nvPicPr>
        <xdr:cNvPr id="32" name="BExMF7LICJLPXSHM63A6EQ79YQKG" descr="U084VZL15IMB1OFRRAY6GVKAE" hidden="1">
          <a:extLst>
            <a:ext uri="{FF2B5EF4-FFF2-40B4-BE49-F238E27FC236}">
              <a16:creationId xmlns:a16="http://schemas.microsoft.com/office/drawing/2014/main" id="{AB701FEF-48FE-43A5-9483-D95C4E332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326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11</xdr:row>
      <xdr:rowOff>0</xdr:rowOff>
    </xdr:from>
    <xdr:ext cx="123825" cy="123825"/>
    <xdr:pic macro="[2]!DesignIconClicked">
      <xdr:nvPicPr>
        <xdr:cNvPr id="33" name="BExS343F8GCKP6HTF9Y97L133DX8" descr="ZRF0KB1IYQSNV63CTXT25G67G" hidden="1">
          <a:extLst>
            <a:ext uri="{FF2B5EF4-FFF2-40B4-BE49-F238E27FC236}">
              <a16:creationId xmlns:a16="http://schemas.microsoft.com/office/drawing/2014/main" id="{4DF265E0-833D-4252-938A-EDF7ABE28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3124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10</xdr:row>
      <xdr:rowOff>0</xdr:rowOff>
    </xdr:from>
    <xdr:ext cx="123825" cy="123825"/>
    <xdr:pic macro="[2]!DesignIconClicked">
      <xdr:nvPicPr>
        <xdr:cNvPr id="34" name="BExZMRC09W87CY4B73NPZMNH21AH" descr="78CUMI0OVLYJRSDRQ3V2YX812" hidden="1">
          <a:extLst>
            <a:ext uri="{FF2B5EF4-FFF2-40B4-BE49-F238E27FC236}">
              <a16:creationId xmlns:a16="http://schemas.microsoft.com/office/drawing/2014/main" id="{92F963CE-E1E6-4B26-9DA5-EC353792D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2981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9</xdr:row>
      <xdr:rowOff>9525</xdr:rowOff>
    </xdr:from>
    <xdr:ext cx="123825" cy="123825"/>
    <xdr:pic macro="[2]!DesignIconClicked">
      <xdr:nvPicPr>
        <xdr:cNvPr id="35" name="BExZXVFJ4DY4I24AARDT4AMP6EN1" descr="TXSMH2MTH86CYKA26740RQPUC" hidden="1">
          <a:extLst>
            <a:ext uri="{FF2B5EF4-FFF2-40B4-BE49-F238E27FC236}">
              <a16:creationId xmlns:a16="http://schemas.microsoft.com/office/drawing/2014/main" id="{07E390B7-93A9-47BC-B8B3-AF4FD4DAF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28479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8</xdr:row>
      <xdr:rowOff>0</xdr:rowOff>
    </xdr:from>
    <xdr:ext cx="123825" cy="123825"/>
    <xdr:pic macro="[2]!DesignIconClicked">
      <xdr:nvPicPr>
        <xdr:cNvPr id="36" name="BExOCUIOFQWUGTBU5ESTW3EYEP5C" descr="9BNF49V0R6VVYPHEVMJ3ABDQZ" hidden="1">
          <a:extLst>
            <a:ext uri="{FF2B5EF4-FFF2-40B4-BE49-F238E27FC236}">
              <a16:creationId xmlns:a16="http://schemas.microsoft.com/office/drawing/2014/main" id="{9B38EECE-D58D-4571-A87A-87CAB1384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26955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7</xdr:row>
      <xdr:rowOff>0</xdr:rowOff>
    </xdr:from>
    <xdr:ext cx="123825" cy="123825"/>
    <xdr:pic macro="[2]!DesignIconClicked">
      <xdr:nvPicPr>
        <xdr:cNvPr id="37" name="BExU65O9OE4B4MQ2A3OYH13M8BZJ" descr="3INNIMMPDBB0JF37L81M6ID21" hidden="1">
          <a:extLst>
            <a:ext uri="{FF2B5EF4-FFF2-40B4-BE49-F238E27FC236}">
              <a16:creationId xmlns:a16="http://schemas.microsoft.com/office/drawing/2014/main" id="{90013D0C-B82E-4C92-939F-51E08BF4F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2552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6</xdr:row>
      <xdr:rowOff>0</xdr:rowOff>
    </xdr:from>
    <xdr:ext cx="123825" cy="123825"/>
    <xdr:pic macro="[2]!DesignIconClicked">
      <xdr:nvPicPr>
        <xdr:cNvPr id="38" name="BExOPRCR0UW7TKXSV5WDTL348FGL" descr="S9JM17GP1802LHN4GT14BJYIC" hidden="1">
          <a:extLst>
            <a:ext uri="{FF2B5EF4-FFF2-40B4-BE49-F238E27FC236}">
              <a16:creationId xmlns:a16="http://schemas.microsoft.com/office/drawing/2014/main" id="{CC03E741-6148-4533-A131-ABB6AF4A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24098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5</xdr:row>
      <xdr:rowOff>0</xdr:rowOff>
    </xdr:from>
    <xdr:ext cx="123825" cy="123825"/>
    <xdr:pic macro="[2]!DesignIconClicked">
      <xdr:nvPicPr>
        <xdr:cNvPr id="39" name="BEx5OESAY2W8SEGI3TSB65EHJ04B" descr="9CN2Y88X8WYV1HWZG1QILY9BK" hidden="1">
          <a:extLst>
            <a:ext uri="{FF2B5EF4-FFF2-40B4-BE49-F238E27FC236}">
              <a16:creationId xmlns:a16="http://schemas.microsoft.com/office/drawing/2014/main" id="{6BADAC19-69E1-4444-8A61-014240817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2266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4</xdr:row>
      <xdr:rowOff>0</xdr:rowOff>
    </xdr:from>
    <xdr:ext cx="123825" cy="123825"/>
    <xdr:pic macro="[2]!DesignIconClicked">
      <xdr:nvPicPr>
        <xdr:cNvPr id="40" name="BExGMWEQ2BYRY9BAO5T1X850MJN1" descr="AZ9ST0XDIOP50HSUFO5V31BR0" hidden="1">
          <a:extLst>
            <a:ext uri="{FF2B5EF4-FFF2-40B4-BE49-F238E27FC236}">
              <a16:creationId xmlns:a16="http://schemas.microsoft.com/office/drawing/2014/main" id="{044A7292-73CC-49CF-A0BD-640C10639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2124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2</xdr:row>
      <xdr:rowOff>133350</xdr:rowOff>
    </xdr:from>
    <xdr:to>
      <xdr:col>17</xdr:col>
      <xdr:colOff>438150</xdr:colOff>
      <xdr:row>33</xdr:row>
      <xdr:rowOff>180975</xdr:rowOff>
    </xdr:to>
    <xdr:pic>
      <xdr:nvPicPr>
        <xdr:cNvPr id="2449" name="Picture 1">
          <a:extLst>
            <a:ext uri="{FF2B5EF4-FFF2-40B4-BE49-F238E27FC236}">
              <a16:creationId xmlns:a16="http://schemas.microsoft.com/office/drawing/2014/main" id="{5CA1EA12-9C13-415A-BA1A-24690C1C7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4350"/>
          <a:ext cx="10306050" cy="595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9525</xdr:colOff>
      <xdr:row>13</xdr:row>
      <xdr:rowOff>85725</xdr:rowOff>
    </xdr:from>
    <xdr:to>
      <xdr:col>13</xdr:col>
      <xdr:colOff>228600</xdr:colOff>
      <xdr:row>15</xdr:row>
      <xdr:rowOff>171450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D281466-801E-4C24-BFB2-3DEBA1994F48}"/>
            </a:ext>
          </a:extLst>
        </xdr:cNvPr>
        <xdr:cNvSpPr/>
      </xdr:nvSpPr>
      <xdr:spPr>
        <a:xfrm>
          <a:off x="7324725" y="2562225"/>
          <a:ext cx="828675" cy="466725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533400</xdr:colOff>
      <xdr:row>5</xdr:row>
      <xdr:rowOff>114300</xdr:rowOff>
    </xdr:from>
    <xdr:to>
      <xdr:col>4</xdr:col>
      <xdr:colOff>295275</xdr:colOff>
      <xdr:row>9</xdr:row>
      <xdr:rowOff>152400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14D0DF95-98C2-4C7C-B9D2-16D7DF04AFEA}"/>
            </a:ext>
          </a:extLst>
        </xdr:cNvPr>
        <xdr:cNvSpPr/>
      </xdr:nvSpPr>
      <xdr:spPr>
        <a:xfrm>
          <a:off x="1752600" y="1066800"/>
          <a:ext cx="981075" cy="6096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123825</xdr:colOff>
      <xdr:row>5</xdr:row>
      <xdr:rowOff>19050</xdr:rowOff>
    </xdr:from>
    <xdr:to>
      <xdr:col>12</xdr:col>
      <xdr:colOff>76200</xdr:colOff>
      <xdr:row>18</xdr:row>
      <xdr:rowOff>28575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3549573-E8EA-4B42-AB94-99BD463E4374}"/>
            </a:ext>
          </a:extLst>
        </xdr:cNvPr>
        <xdr:cNvSpPr/>
      </xdr:nvSpPr>
      <xdr:spPr>
        <a:xfrm>
          <a:off x="6219825" y="971550"/>
          <a:ext cx="1171575" cy="22955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381000</xdr:colOff>
      <xdr:row>17</xdr:row>
      <xdr:rowOff>152400</xdr:rowOff>
    </xdr:from>
    <xdr:to>
      <xdr:col>13</xdr:col>
      <xdr:colOff>238125</xdr:colOff>
      <xdr:row>27</xdr:row>
      <xdr:rowOff>38100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687B8570-C6D9-444A-9F1E-9B7B1DCAFAFC}"/>
            </a:ext>
          </a:extLst>
        </xdr:cNvPr>
        <xdr:cNvCxnSpPr/>
      </xdr:nvCxnSpPr>
      <xdr:spPr>
        <a:xfrm flipV="1">
          <a:off x="3429000" y="3200400"/>
          <a:ext cx="4733925" cy="1790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12</xdr:row>
      <xdr:rowOff>28578</xdr:rowOff>
    </xdr:from>
    <xdr:to>
      <xdr:col>11</xdr:col>
      <xdr:colOff>914400</xdr:colOff>
      <xdr:row>20</xdr:row>
      <xdr:rowOff>72897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C7DBE367-F4AA-43D0-895F-53B2EDE493F3}"/>
            </a:ext>
          </a:extLst>
        </xdr:cNvPr>
        <xdr:cNvSpPr txBox="1">
          <a:spLocks noChangeArrowheads="1"/>
        </xdr:cNvSpPr>
      </xdr:nvSpPr>
      <xdr:spPr bwMode="auto">
        <a:xfrm>
          <a:off x="8467725" y="2847978"/>
          <a:ext cx="3590925" cy="1711194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800" b="0" i="0" strike="noStrike">
            <a:solidFill>
              <a:srgbClr val="000000"/>
            </a:solidFill>
            <a:latin typeface="BatangChe"/>
          </a:endParaRPr>
        </a:p>
        <a:p>
          <a:pPr algn="ctr" rtl="0">
            <a:defRPr sz="1000"/>
          </a:pPr>
          <a:r>
            <a:rPr lang="en-US" sz="1000" b="0" i="0" u="sng" strike="noStrike">
              <a:solidFill>
                <a:srgbClr val="FF0000"/>
              </a:solidFill>
              <a:latin typeface="Arial Narrow" panose="020B0606020202030204" pitchFamily="34" charset="0"/>
            </a:rPr>
            <a:t>Transmission</a:t>
          </a:r>
          <a:endParaRPr lang="en-US" sz="1000" b="0" i="0" strike="noStrike">
            <a:solidFill>
              <a:srgbClr val="FF0000"/>
            </a:solidFill>
            <a:latin typeface="Arial Narrow" panose="020B0606020202030204" pitchFamily="34" charset="0"/>
          </a:endParaRPr>
        </a:p>
        <a:p>
          <a:pPr algn="ctr" rtl="0">
            <a:defRPr sz="1000"/>
          </a:pPr>
          <a:r>
            <a:rPr lang="en-US" sz="1000" b="0" i="0" strike="noStrike">
              <a:solidFill>
                <a:srgbClr val="FF0000"/>
              </a:solidFill>
              <a:latin typeface="Arial Narrow" panose="020B0606020202030204" pitchFamily="34" charset="0"/>
            </a:rPr>
            <a:t>      </a:t>
          </a:r>
          <a:r>
            <a:rPr lang="en-US" sz="1000" b="0" i="0" strike="noStrike">
              <a:solidFill>
                <a:srgbClr val="FF0000"/>
              </a:solidFill>
              <a:latin typeface="Arial Narrow" panose="020B0606020202030204" pitchFamily="34" charset="0"/>
              <a:sym typeface="Wingdings 2"/>
            </a:rPr>
            <a:t>3000</a:t>
          </a:r>
          <a:r>
            <a:rPr lang="en-US" sz="1000" b="0" i="0" strike="noStrike">
              <a:solidFill>
                <a:srgbClr val="FF0000"/>
              </a:solidFill>
              <a:latin typeface="Arial Narrow" panose="020B0606020202030204" pitchFamily="34" charset="0"/>
            </a:rPr>
            <a:t> hours for part-time = </a:t>
          </a:r>
          <a:r>
            <a:rPr lang="en-US" sz="1000" b="0" i="0" u="sng" strike="noStrike">
              <a:solidFill>
                <a:srgbClr val="FF0000"/>
              </a:solidFill>
              <a:latin typeface="Arial Narrow" panose="020B0606020202030204" pitchFamily="34" charset="0"/>
            </a:rPr>
            <a:t>$30,000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ysClr val="windowText" lastClr="000000"/>
              </a:solidFill>
              <a:latin typeface="Arial Narrow" panose="020B0606020202030204" pitchFamily="34" charset="0"/>
            </a:rPr>
            <a:t>                                 </a:t>
          </a:r>
        </a:p>
        <a:p>
          <a:pPr algn="ctr" rtl="0">
            <a:defRPr sz="1000"/>
          </a:pPr>
          <a:r>
            <a:rPr lang="en-US" sz="1000" b="0" i="0" u="sng" strike="noStrike">
              <a:solidFill>
                <a:sysClr val="windowText" lastClr="000000"/>
              </a:solidFill>
              <a:latin typeface="Arial Narrow" panose="020B0606020202030204" pitchFamily="34" charset="0"/>
            </a:rPr>
            <a:t>Distribution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ysClr val="windowText" lastClr="000000"/>
              </a:solidFill>
              <a:latin typeface="Arial Narrow" panose="020B0606020202030204" pitchFamily="34" charset="0"/>
            </a:rPr>
            <a:t>    </a:t>
          </a:r>
          <a:r>
            <a:rPr lang="en-US" sz="1000" b="0" i="0" strike="noStrike">
              <a:solidFill>
                <a:sysClr val="windowText" lastClr="000000"/>
              </a:solidFill>
              <a:latin typeface="Arial Narrow" panose="020B0606020202030204" pitchFamily="34" charset="0"/>
              <a:sym typeface="Wingdings 2"/>
            </a:rPr>
            <a:t> </a:t>
          </a:r>
          <a:r>
            <a:rPr lang="en-US" sz="1000" b="0" i="0" strike="noStrike">
              <a:solidFill>
                <a:sysClr val="windowText" lastClr="000000"/>
              </a:solidFill>
              <a:latin typeface="Arial Narrow" panose="020B0606020202030204" pitchFamily="34" charset="0"/>
            </a:rPr>
            <a:t>CSR = 7000*10.00 = 70000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ysClr val="windowText" lastClr="000000"/>
              </a:solidFill>
              <a:latin typeface="Arial Narrow" panose="020B0606020202030204" pitchFamily="34" charset="0"/>
              <a:sym typeface="Wingdings 2"/>
            </a:rPr>
            <a:t> </a:t>
          </a:r>
          <a:r>
            <a:rPr lang="en-US" sz="1000" b="0" i="0" strike="noStrike">
              <a:solidFill>
                <a:sysClr val="windowText" lastClr="000000"/>
              </a:solidFill>
              <a:latin typeface="Arial Narrow" panose="020B0606020202030204" pitchFamily="34" charset="0"/>
            </a:rPr>
            <a:t>CR = 3000*10.00</a:t>
          </a:r>
          <a:r>
            <a:rPr lang="en-US" sz="1000" b="0" i="0" strike="noStrike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= 30000</a:t>
          </a:r>
          <a:endParaRPr lang="en-US" sz="1000" b="0" i="0" strike="noStrike">
            <a:solidFill>
              <a:sysClr val="windowText" lastClr="000000"/>
            </a:solidFill>
            <a:latin typeface="Arial Narrow" panose="020B0606020202030204" pitchFamily="34" charset="0"/>
          </a:endParaRPr>
        </a:p>
        <a:p>
          <a:pPr algn="ctr" rtl="0">
            <a:defRPr sz="1000"/>
          </a:pPr>
          <a:endParaRPr lang="en-US" sz="1000" b="0" i="0" strike="noStrike">
            <a:solidFill>
              <a:sysClr val="windowText" lastClr="000000"/>
            </a:solidFill>
            <a:latin typeface="Arial Narrow" panose="020B0606020202030204" pitchFamily="34" charset="0"/>
          </a:endParaRPr>
        </a:p>
        <a:p>
          <a:pPr algn="ctr" rtl="0">
            <a:defRPr sz="1000"/>
          </a:pPr>
          <a:r>
            <a:rPr lang="en-US" sz="1000" b="1" i="0" u="sng" strike="noStrike">
              <a:solidFill>
                <a:schemeClr val="tx2"/>
              </a:solidFill>
              <a:latin typeface="Arial Narrow" panose="020B0606020202030204" pitchFamily="34" charset="0"/>
            </a:rPr>
            <a:t>Accounting</a:t>
          </a:r>
        </a:p>
        <a:p>
          <a:pPr algn="ctr" rtl="0">
            <a:defRPr sz="1000"/>
          </a:pPr>
          <a:r>
            <a:rPr lang="en-US" sz="1000" b="1" i="0" u="none" strike="noStrike">
              <a:solidFill>
                <a:schemeClr val="tx2"/>
              </a:solidFill>
              <a:latin typeface="Arial Narrow" panose="020B0606020202030204" pitchFamily="34" charset="0"/>
              <a:sym typeface="Wingdings 2"/>
            </a:rPr>
            <a:t>1 intern 10,000</a:t>
          </a:r>
          <a:endParaRPr lang="en-US" sz="1000" b="1" i="0" strike="noStrike">
            <a:solidFill>
              <a:schemeClr val="tx2"/>
            </a:solidFill>
            <a:latin typeface="Arial Narrow" panose="020B0606020202030204" pitchFamily="34" charset="0"/>
          </a:endParaRPr>
        </a:p>
        <a:p>
          <a:pPr algn="ctr" rtl="0">
            <a:defRPr sz="1000"/>
          </a:pPr>
          <a:endParaRPr lang="en-US" sz="1000" b="0" i="0" strike="noStrike">
            <a:solidFill>
              <a:sysClr val="windowText" lastClr="000000"/>
            </a:solidFill>
            <a:latin typeface="Calibri" pitchFamily="34" charset="0"/>
          </a:endParaRPr>
        </a:p>
        <a:p>
          <a:pPr algn="ctr" rtl="0">
            <a:defRPr sz="1000"/>
          </a:pPr>
          <a:endParaRPr lang="en-US" sz="1000" b="0" i="0" strike="noStrike">
            <a:solidFill>
              <a:sysClr val="windowText" lastClr="000000"/>
            </a:solidFill>
            <a:latin typeface="Calibri" pitchFamily="34" charset="0"/>
          </a:endParaRPr>
        </a:p>
        <a:p>
          <a:pPr algn="ctr" rtl="0">
            <a:defRPr sz="1000"/>
          </a:pPr>
          <a:endParaRPr lang="en-US" sz="800" b="0" i="0" strike="noStrike">
            <a:solidFill>
              <a:srgbClr val="000000"/>
            </a:solidFill>
            <a:latin typeface="Franklin Gothic Book" pitchFamily="34" charset="0"/>
          </a:endParaRPr>
        </a:p>
        <a:p>
          <a:pPr algn="ctr" rtl="0">
            <a:defRPr sz="1000"/>
          </a:pPr>
          <a:endParaRPr lang="en-US" sz="800" b="0" i="0" strike="noStrike">
            <a:solidFill>
              <a:srgbClr val="000000"/>
            </a:solidFill>
            <a:latin typeface="Franklin Gothic Book"/>
          </a:endParaRPr>
        </a:p>
        <a:p>
          <a:pPr algn="ctr" rtl="0">
            <a:defRPr sz="1000"/>
          </a:pPr>
          <a:endParaRPr lang="en-US" sz="800" b="0" i="0" strike="noStrike">
            <a:solidFill>
              <a:srgbClr val="000000"/>
            </a:solidFill>
            <a:latin typeface="Franklin Gothic Book"/>
          </a:endParaRPr>
        </a:p>
        <a:p>
          <a:pPr algn="ctr" rtl="0">
            <a:defRPr sz="1000"/>
          </a:pPr>
          <a:endParaRPr lang="en-US" sz="800" b="0" i="0" strike="noStrike">
            <a:solidFill>
              <a:srgbClr val="000000"/>
            </a:solidFill>
            <a:latin typeface="Franklin Gothic Book"/>
          </a:endParaRPr>
        </a:p>
        <a:p>
          <a:pPr algn="ctr" rtl="0">
            <a:defRPr sz="1000"/>
          </a:pPr>
          <a:endParaRPr lang="en-US" sz="800" b="0" i="0" strike="noStrike">
            <a:solidFill>
              <a:srgbClr val="000000"/>
            </a:solidFill>
            <a:latin typeface="Franklin Gothic Book"/>
          </a:endParaRPr>
        </a:p>
        <a:p>
          <a:pPr algn="ctr" rtl="0">
            <a:defRPr sz="1000"/>
          </a:pPr>
          <a:endParaRPr lang="en-US" sz="800" b="0" i="0" strike="noStrike">
            <a:solidFill>
              <a:srgbClr val="000000"/>
            </a:solidFill>
            <a:latin typeface="Franklin Gothic Book"/>
          </a:endParaRPr>
        </a:p>
      </xdr:txBody>
    </xdr:sp>
    <xdr:clientData/>
  </xdr:twoCellAnchor>
  <xdr:twoCellAnchor>
    <xdr:from>
      <xdr:col>7</xdr:col>
      <xdr:colOff>611739</xdr:colOff>
      <xdr:row>12</xdr:row>
      <xdr:rowOff>105358</xdr:rowOff>
    </xdr:from>
    <xdr:to>
      <xdr:col>7</xdr:col>
      <xdr:colOff>1473266</xdr:colOff>
      <xdr:row>19</xdr:row>
      <xdr:rowOff>161341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522EBDF6-5AF8-49BD-BA9F-0038BA0070CC}"/>
            </a:ext>
          </a:extLst>
        </xdr:cNvPr>
        <xdr:cNvSpPr txBox="1">
          <a:spLocks noChangeArrowheads="1"/>
        </xdr:cNvSpPr>
      </xdr:nvSpPr>
      <xdr:spPr bwMode="auto">
        <a:xfrm>
          <a:off x="7860264" y="2924758"/>
          <a:ext cx="337652" cy="1484733"/>
        </a:xfrm>
        <a:prstGeom prst="rect">
          <a:avLst/>
        </a:prstGeom>
        <a:solidFill>
          <a:srgbClr val="99FFCC">
            <a:alpha val="80000"/>
          </a:srgb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Estimated Overtime reflects overtime that was PAID during the calendar year - also does NOT include part-time employees overtime.</a:t>
          </a:r>
        </a:p>
      </xdr:txBody>
    </xdr:sp>
    <xdr:clientData/>
  </xdr:twoCellAnchor>
  <xdr:twoCellAnchor>
    <xdr:from>
      <xdr:col>8</xdr:col>
      <xdr:colOff>665349</xdr:colOff>
      <xdr:row>22</xdr:row>
      <xdr:rowOff>49026</xdr:rowOff>
    </xdr:from>
    <xdr:to>
      <xdr:col>11</xdr:col>
      <xdr:colOff>865026</xdr:colOff>
      <xdr:row>29</xdr:row>
      <xdr:rowOff>58316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0C192E0-E7DD-438E-8E39-74938B171BF1}"/>
            </a:ext>
          </a:extLst>
        </xdr:cNvPr>
        <xdr:cNvSpPr txBox="1"/>
      </xdr:nvSpPr>
      <xdr:spPr>
        <a:xfrm>
          <a:off x="8866374" y="5011551"/>
          <a:ext cx="3142902" cy="1609490"/>
        </a:xfrm>
        <a:prstGeom prst="rect">
          <a:avLst/>
        </a:prstGeom>
        <a:solidFill>
          <a:srgbClr val="99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OVERTIME</a:t>
          </a:r>
        </a:p>
        <a:p>
          <a:r>
            <a:rPr lang="en-US" sz="1100"/>
            <a:t>900.01	173799.98</a:t>
          </a:r>
        </a:p>
        <a:p>
          <a:r>
            <a:rPr lang="en-US" sz="1100"/>
            <a:t>903.01	</a:t>
          </a:r>
        </a:p>
        <a:p>
          <a:r>
            <a:rPr lang="en-US" sz="1100"/>
            <a:t>920.01	10157.93</a:t>
          </a:r>
        </a:p>
        <a:p>
          <a:r>
            <a:rPr lang="en-US" sz="1100"/>
            <a:t>Construction	84548.80</a:t>
          </a:r>
        </a:p>
        <a:p>
          <a:endParaRPr lang="en-US" sz="1100"/>
        </a:p>
        <a:p>
          <a:r>
            <a:rPr lang="en-US" sz="1100"/>
            <a:t>Additional Call Out OT</a:t>
          </a:r>
        </a:p>
        <a:p>
          <a:r>
            <a:rPr lang="en-US" sz="1100" baseline="0"/>
            <a:t>900.01(GC)	10700</a:t>
          </a:r>
        </a:p>
        <a:p>
          <a:r>
            <a:rPr lang="en-US" sz="1100" baseline="0"/>
            <a:t>900.01 (Dist)	72800</a:t>
          </a:r>
        </a:p>
        <a:p>
          <a:endParaRPr lang="en-US" sz="1100" baseline="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68</xdr:col>
      <xdr:colOff>9525</xdr:colOff>
      <xdr:row>1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767BE1-4EE9-4EED-8118-30D5B03A4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0"/>
          <a:ext cx="40224075" cy="3143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oneCellAnchor>
    <xdr:from>
      <xdr:col>6</xdr:col>
      <xdr:colOff>19050</xdr:colOff>
      <xdr:row>14</xdr:row>
      <xdr:rowOff>9525</xdr:rowOff>
    </xdr:from>
    <xdr:ext cx="47625" cy="47625"/>
    <xdr:pic macro="[2]!DesignIconClicked">
      <xdr:nvPicPr>
        <xdr:cNvPr id="3" name="BExMO7VFCN4EL59982UR4AJ25JNJ" descr="XX6TINEJADZGKR0CTM7ZRT0RA" hidden="1">
          <a:extLst>
            <a:ext uri="{FF2B5EF4-FFF2-40B4-BE49-F238E27FC236}">
              <a16:creationId xmlns:a16="http://schemas.microsoft.com/office/drawing/2014/main" id="{D8365FBB-4209-4B9C-9391-24BC51CC8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432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14</xdr:row>
      <xdr:rowOff>85725</xdr:rowOff>
    </xdr:from>
    <xdr:ext cx="47625" cy="47625"/>
    <xdr:pic macro="[2]!DesignIconClicked">
      <xdr:nvPicPr>
        <xdr:cNvPr id="4" name="BExU3EX5JJCXCII4YKUJBFBGIJR2" descr="OF5ZI9PI5WH36VPANJ2DYLNMI" hidden="1">
          <a:extLst>
            <a:ext uri="{FF2B5EF4-FFF2-40B4-BE49-F238E27FC236}">
              <a16:creationId xmlns:a16="http://schemas.microsoft.com/office/drawing/2014/main" id="{AF042339-3957-4046-852C-4133B1266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432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19050</xdr:colOff>
      <xdr:row>14</xdr:row>
      <xdr:rowOff>9525</xdr:rowOff>
    </xdr:from>
    <xdr:ext cx="47625" cy="47625"/>
    <xdr:pic macro="[2]!DesignIconClicked">
      <xdr:nvPicPr>
        <xdr:cNvPr id="5" name="BEx1KD7H6UB1VYCJ7O61P562EIUY" descr="IQGV9140X0K0UPBL8OGU3I44J" hidden="1">
          <a:extLst>
            <a:ext uri="{FF2B5EF4-FFF2-40B4-BE49-F238E27FC236}">
              <a16:creationId xmlns:a16="http://schemas.microsoft.com/office/drawing/2014/main" id="{CA769AA0-AB49-4533-AFD0-1581DE22B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52975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19050</xdr:colOff>
      <xdr:row>14</xdr:row>
      <xdr:rowOff>85725</xdr:rowOff>
    </xdr:from>
    <xdr:ext cx="47625" cy="47625"/>
    <xdr:pic macro="[2]!DesignIconClicked">
      <xdr:nvPicPr>
        <xdr:cNvPr id="6" name="BEx5BJQWS6YWHH4ZMSUAMD641V6Y" descr="ZTMFMXCIQSECDX38ALEFHUB00" hidden="1">
          <a:extLst>
            <a:ext uri="{FF2B5EF4-FFF2-40B4-BE49-F238E27FC236}">
              <a16:creationId xmlns:a16="http://schemas.microsoft.com/office/drawing/2014/main" id="{1FA4533E-CBEF-4866-9829-E7546C537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52975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19050</xdr:colOff>
      <xdr:row>14</xdr:row>
      <xdr:rowOff>9525</xdr:rowOff>
    </xdr:from>
    <xdr:ext cx="47625" cy="47625"/>
    <xdr:pic macro="[2]!DesignIconClicked">
      <xdr:nvPicPr>
        <xdr:cNvPr id="7" name="BExVTO5Q8G2M7BPL4B2584LQS0R0" descr="OB6Q8NA4LZFE4GM9Y3V56BPMQ" hidden="1">
          <a:extLst>
            <a:ext uri="{FF2B5EF4-FFF2-40B4-BE49-F238E27FC236}">
              <a16:creationId xmlns:a16="http://schemas.microsoft.com/office/drawing/2014/main" id="{915D41D9-05A6-4D45-901C-8B4755D98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95925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8</xdr:col>
      <xdr:colOff>19050</xdr:colOff>
      <xdr:row>14</xdr:row>
      <xdr:rowOff>85725</xdr:rowOff>
    </xdr:from>
    <xdr:ext cx="47625" cy="47625"/>
    <xdr:pic macro="[2]!DesignIconClicked">
      <xdr:nvPicPr>
        <xdr:cNvPr id="8" name="BExIFSCLN1G86X78PFLTSMRP0US5" descr="9JK4SPV4DG7VTCZIILWHXQU5J" hidden="1">
          <a:extLst>
            <a:ext uri="{FF2B5EF4-FFF2-40B4-BE49-F238E27FC236}">
              <a16:creationId xmlns:a16="http://schemas.microsoft.com/office/drawing/2014/main" id="{47F32F72-B23F-4DFC-A588-2D560E34C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95925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14</xdr:row>
      <xdr:rowOff>9525</xdr:rowOff>
    </xdr:from>
    <xdr:ext cx="47625" cy="47625"/>
    <xdr:pic macro="[2]!DesignIconClicked">
      <xdr:nvPicPr>
        <xdr:cNvPr id="9" name="BEx1I152WN2D3A85O2XN0DGXCWHN" descr="KHBZFMANRA4UMJR1AB4M5NJNT" hidden="1">
          <a:extLst>
            <a:ext uri="{FF2B5EF4-FFF2-40B4-BE49-F238E27FC236}">
              <a16:creationId xmlns:a16="http://schemas.microsoft.com/office/drawing/2014/main" id="{6132381B-6083-48B7-822D-6EC28E7F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432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14</xdr:row>
      <xdr:rowOff>85725</xdr:rowOff>
    </xdr:from>
    <xdr:ext cx="47625" cy="47625"/>
    <xdr:pic macro="[2]!DesignIconClicked">
      <xdr:nvPicPr>
        <xdr:cNvPr id="10" name="BExW9676P0SKCVKK25QCGHPA3PAD" descr="9A4PWZ20RMSRF0PNECCDM75CA" hidden="1">
          <a:extLst>
            <a:ext uri="{FF2B5EF4-FFF2-40B4-BE49-F238E27FC236}">
              <a16:creationId xmlns:a16="http://schemas.microsoft.com/office/drawing/2014/main" id="{9500B5D5-7D55-47AC-8C72-0D25B1A13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432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28575</xdr:colOff>
      <xdr:row>16</xdr:row>
      <xdr:rowOff>0</xdr:rowOff>
    </xdr:from>
    <xdr:ext cx="123825" cy="123825"/>
    <xdr:pic macro="[2]!DesignIconClicked">
      <xdr:nvPicPr>
        <xdr:cNvPr id="11" name="BExW253QPOZK9KW8BJC3LBXGCG2N" descr="Y5HX37BEUWSN1NEFJKZJXI3SX" hidden="1">
          <a:extLst>
            <a:ext uri="{FF2B5EF4-FFF2-40B4-BE49-F238E27FC236}">
              <a16:creationId xmlns:a16="http://schemas.microsoft.com/office/drawing/2014/main" id="{B579DD4B-039B-4B0D-AA20-DFA3CF186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5272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19050</xdr:colOff>
      <xdr:row>14</xdr:row>
      <xdr:rowOff>9525</xdr:rowOff>
    </xdr:from>
    <xdr:ext cx="47625" cy="47625"/>
    <xdr:pic macro="[2]!DesignIconClicked">
      <xdr:nvPicPr>
        <xdr:cNvPr id="12" name="BExS5CPQ8P8JOQPK7ANNKHLSGOKU" hidden="1">
          <a:extLst>
            <a:ext uri="{FF2B5EF4-FFF2-40B4-BE49-F238E27FC236}">
              <a16:creationId xmlns:a16="http://schemas.microsoft.com/office/drawing/2014/main" id="{BB324690-4FA4-4801-8D21-AA27D7848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432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14</xdr:row>
      <xdr:rowOff>85725</xdr:rowOff>
    </xdr:from>
    <xdr:ext cx="47625" cy="47625"/>
    <xdr:pic macro="[2]!DesignIconClicked">
      <xdr:nvPicPr>
        <xdr:cNvPr id="13" name="BExMM0AVUAIRNJLXB1FW8R0YB4ZZ" hidden="1">
          <a:extLst>
            <a:ext uri="{FF2B5EF4-FFF2-40B4-BE49-F238E27FC236}">
              <a16:creationId xmlns:a16="http://schemas.microsoft.com/office/drawing/2014/main" id="{3C34AD59-E417-4F0F-A508-09C9842C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432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19050</xdr:colOff>
      <xdr:row>14</xdr:row>
      <xdr:rowOff>9525</xdr:rowOff>
    </xdr:from>
    <xdr:ext cx="47625" cy="47625"/>
    <xdr:pic macro="[2]!DesignIconClicked">
      <xdr:nvPicPr>
        <xdr:cNvPr id="14" name="BExXZ7Y09CBS0XA7IPB3IRJ8RJM4" hidden="1">
          <a:extLst>
            <a:ext uri="{FF2B5EF4-FFF2-40B4-BE49-F238E27FC236}">
              <a16:creationId xmlns:a16="http://schemas.microsoft.com/office/drawing/2014/main" id="{3190A9ED-CD3B-4DD0-B6D6-53B31C6EC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432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14</xdr:row>
      <xdr:rowOff>85725</xdr:rowOff>
    </xdr:from>
    <xdr:ext cx="47625" cy="47625"/>
    <xdr:pic macro="[2]!DesignIconClicked">
      <xdr:nvPicPr>
        <xdr:cNvPr id="15" name="BExQ7SXS9VUG7P6CACU2J7R2SGIZ" hidden="1">
          <a:extLst>
            <a:ext uri="{FF2B5EF4-FFF2-40B4-BE49-F238E27FC236}">
              <a16:creationId xmlns:a16="http://schemas.microsoft.com/office/drawing/2014/main" id="{D0173351-98AE-450A-BD0C-ACCA534AE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432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19050</xdr:colOff>
      <xdr:row>14</xdr:row>
      <xdr:rowOff>9525</xdr:rowOff>
    </xdr:from>
    <xdr:ext cx="47625" cy="47625"/>
    <xdr:pic macro="[2]!DesignIconClicked">
      <xdr:nvPicPr>
        <xdr:cNvPr id="16" name="BEx5AQZ4ETQ9LMY5EBWVH20Z7VXQ" hidden="1">
          <a:extLst>
            <a:ext uri="{FF2B5EF4-FFF2-40B4-BE49-F238E27FC236}">
              <a16:creationId xmlns:a16="http://schemas.microsoft.com/office/drawing/2014/main" id="{D807C512-D63B-437C-8E77-2B97B0AE3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52975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19050</xdr:colOff>
      <xdr:row>14</xdr:row>
      <xdr:rowOff>85725</xdr:rowOff>
    </xdr:from>
    <xdr:ext cx="47625" cy="47625"/>
    <xdr:pic macro="[2]!DesignIconClicked">
      <xdr:nvPicPr>
        <xdr:cNvPr id="17" name="BExUBK0YZ5VYFY8TTITJGJU9S06A" hidden="1">
          <a:extLst>
            <a:ext uri="{FF2B5EF4-FFF2-40B4-BE49-F238E27FC236}">
              <a16:creationId xmlns:a16="http://schemas.microsoft.com/office/drawing/2014/main" id="{E8A9C275-2F5F-4C2C-970F-C8AFF2C27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52975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8</xdr:col>
      <xdr:colOff>28575</xdr:colOff>
      <xdr:row>14</xdr:row>
      <xdr:rowOff>9525</xdr:rowOff>
    </xdr:from>
    <xdr:ext cx="47625" cy="47625"/>
    <xdr:pic macro="[2]!DesignIconClicked">
      <xdr:nvPicPr>
        <xdr:cNvPr id="18" name="BExUEZCSSJ7RN4J18I2NUIQR2FZS" hidden="1">
          <a:extLst>
            <a:ext uri="{FF2B5EF4-FFF2-40B4-BE49-F238E27FC236}">
              <a16:creationId xmlns:a16="http://schemas.microsoft.com/office/drawing/2014/main" id="{D05888CC-666E-4494-BA22-F31BE1786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0545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8</xdr:col>
      <xdr:colOff>28575</xdr:colOff>
      <xdr:row>14</xdr:row>
      <xdr:rowOff>85725</xdr:rowOff>
    </xdr:from>
    <xdr:ext cx="47625" cy="47625"/>
    <xdr:pic macro="[2]!DesignIconClicked">
      <xdr:nvPicPr>
        <xdr:cNvPr id="19" name="BExS3JDQWF7U3F5JTEVOE16ASIYK" hidden="1">
          <a:extLst>
            <a:ext uri="{FF2B5EF4-FFF2-40B4-BE49-F238E27FC236}">
              <a16:creationId xmlns:a16="http://schemas.microsoft.com/office/drawing/2014/main" id="{D5002633-3C96-4E1E-BBAC-EE608B7D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0545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6</xdr:col>
      <xdr:colOff>0</xdr:colOff>
      <xdr:row>0</xdr:row>
      <xdr:rowOff>0</xdr:rowOff>
    </xdr:from>
    <xdr:to>
      <xdr:col>13</xdr:col>
      <xdr:colOff>9525</xdr:colOff>
      <xdr:row>1</xdr:row>
      <xdr:rowOff>60960</xdr:rowOff>
    </xdr:to>
    <xdr:sp macro="" textlink="">
      <xdr:nvSpPr>
        <xdr:cNvPr id="20" name="TextQueryTitle">
          <a:extLst>
            <a:ext uri="{FF2B5EF4-FFF2-40B4-BE49-F238E27FC236}">
              <a16:creationId xmlns:a16="http://schemas.microsoft.com/office/drawing/2014/main" id="{36378561-0787-4B10-B164-E890278C98AB}"/>
            </a:ext>
          </a:extLst>
        </xdr:cNvPr>
        <xdr:cNvSpPr txBox="1">
          <a:spLocks noChangeArrowheads="1"/>
        </xdr:cNvSpPr>
      </xdr:nvSpPr>
      <xdr:spPr bwMode="auto">
        <a:xfrm>
          <a:off x="2724150" y="0"/>
          <a:ext cx="6400800" cy="365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r>
            <a:rPr lang="en-US" sz="1400" b="1">
              <a:latin typeface="Arial" pitchFamily="34" charset="0"/>
              <a:cs typeface="Arial" pitchFamily="34" charset="0"/>
            </a:rPr>
            <a:t>O&amp;M Monthly Forecast Report</a:t>
          </a:r>
        </a:p>
      </xdr:txBody>
    </xdr:sp>
    <xdr:clientData/>
  </xdr:twoCellAnchor>
  <xdr:oneCellAnchor>
    <xdr:from>
      <xdr:col>6</xdr:col>
      <xdr:colOff>47625</xdr:colOff>
      <xdr:row>17</xdr:row>
      <xdr:rowOff>0</xdr:rowOff>
    </xdr:from>
    <xdr:ext cx="123825" cy="123825"/>
    <xdr:pic macro="[2]!DesignIconClicked">
      <xdr:nvPicPr>
        <xdr:cNvPr id="21" name="BEx973S463FCQVJ7QDFBUIU0WJ3F" descr="ZQTVYL8DCSADVT0QMRXFLU0TR" hidden="1">
          <a:extLst>
            <a:ext uri="{FF2B5EF4-FFF2-40B4-BE49-F238E27FC236}">
              <a16:creationId xmlns:a16="http://schemas.microsoft.com/office/drawing/2014/main" id="{804BE529-CE44-4A1A-B885-BC0E23946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2124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85725</xdr:colOff>
      <xdr:row>25</xdr:row>
      <xdr:rowOff>0</xdr:rowOff>
    </xdr:from>
    <xdr:ext cx="123825" cy="123825"/>
    <xdr:pic macro="[2]!DesignIconClicked">
      <xdr:nvPicPr>
        <xdr:cNvPr id="22" name="BExRZO0PLWWMCLGRH7EH6UXYWGAJ" descr="9D4GQ34QB727H10MA3SSAR2R9" hidden="1">
          <a:extLst>
            <a:ext uri="{FF2B5EF4-FFF2-40B4-BE49-F238E27FC236}">
              <a16:creationId xmlns:a16="http://schemas.microsoft.com/office/drawing/2014/main" id="{2BC67C0B-8A48-406E-8172-535E50A1F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09875" y="326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26</xdr:row>
      <xdr:rowOff>0</xdr:rowOff>
    </xdr:from>
    <xdr:ext cx="123825" cy="123825"/>
    <xdr:pic macro="[2]!DesignIconClicked">
      <xdr:nvPicPr>
        <xdr:cNvPr id="23" name="BExBDP6HNAAJUM39SE5G2C8BKNRQ" descr="1TM64TL2QIMYV7WYSV2VLGXY4" hidden="1">
          <a:extLst>
            <a:ext uri="{FF2B5EF4-FFF2-40B4-BE49-F238E27FC236}">
              <a16:creationId xmlns:a16="http://schemas.microsoft.com/office/drawing/2014/main" id="{460B50F1-C3C0-4B8B-B0F6-7879DB8F4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3409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27</xdr:row>
      <xdr:rowOff>0</xdr:rowOff>
    </xdr:from>
    <xdr:ext cx="123825" cy="123825"/>
    <xdr:pic macro="[2]!DesignIconClicked">
      <xdr:nvPicPr>
        <xdr:cNvPr id="24" name="BExQEGJP61DL2NZY6LMBHBZ0J5YT" descr="D6ZNRZJ7EX4GZT9RO8LE0C905" hidden="1">
          <a:extLst>
            <a:ext uri="{FF2B5EF4-FFF2-40B4-BE49-F238E27FC236}">
              <a16:creationId xmlns:a16="http://schemas.microsoft.com/office/drawing/2014/main" id="{E305BD51-D2A8-493C-BD39-65FD695D6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35528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28</xdr:row>
      <xdr:rowOff>0</xdr:rowOff>
    </xdr:from>
    <xdr:ext cx="123825" cy="123825"/>
    <xdr:pic macro="[2]!DesignIconClicked">
      <xdr:nvPicPr>
        <xdr:cNvPr id="25" name="BExTY1BCS6HZIF6HI5491FGHDVAE" descr="MJ6976KI2UH1IE8M227DUYXMJ" hidden="1">
          <a:extLst>
            <a:ext uri="{FF2B5EF4-FFF2-40B4-BE49-F238E27FC236}">
              <a16:creationId xmlns:a16="http://schemas.microsoft.com/office/drawing/2014/main" id="{0342CB94-94C3-40EC-AE90-BC8DC776F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3695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16</xdr:row>
      <xdr:rowOff>0</xdr:rowOff>
    </xdr:from>
    <xdr:ext cx="123825" cy="123825"/>
    <xdr:pic macro="[2]!DesignIconClicked">
      <xdr:nvPicPr>
        <xdr:cNvPr id="26" name="BEx5FXJGJOT93D0J2IRJ3985IUMI" hidden="1">
          <a:extLst>
            <a:ext uri="{FF2B5EF4-FFF2-40B4-BE49-F238E27FC236}">
              <a16:creationId xmlns:a16="http://schemas.microsoft.com/office/drawing/2014/main" id="{A0155ACD-950E-48B6-988D-4B139DE78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9525</xdr:colOff>
      <xdr:row>15</xdr:row>
      <xdr:rowOff>0</xdr:rowOff>
    </xdr:from>
    <xdr:ext cx="123825" cy="123825"/>
    <xdr:pic macro="[2]!DesignIconClicked">
      <xdr:nvPicPr>
        <xdr:cNvPr id="27" name="BEx3RTMHAR35NUAAK49TV6NU7EPA" descr="QFXLG4ZCXTRQSJYFCKJ58G9N8" hidden="1">
          <a:extLst>
            <a:ext uri="{FF2B5EF4-FFF2-40B4-BE49-F238E27FC236}">
              <a16:creationId xmlns:a16="http://schemas.microsoft.com/office/drawing/2014/main" id="{E31821CB-097B-4C45-B20A-76684B85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33675" y="1838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85725</xdr:colOff>
      <xdr:row>18</xdr:row>
      <xdr:rowOff>0</xdr:rowOff>
    </xdr:from>
    <xdr:ext cx="123825" cy="123825"/>
    <xdr:pic macro="[2]!DesignIconClicked">
      <xdr:nvPicPr>
        <xdr:cNvPr id="28" name="BExS8T38WLC2R738ZC7BDJQAKJAJ" descr="MRI962L5PB0E0YWXCIBN82VJH" hidden="1">
          <a:extLst>
            <a:ext uri="{FF2B5EF4-FFF2-40B4-BE49-F238E27FC236}">
              <a16:creationId xmlns:a16="http://schemas.microsoft.com/office/drawing/2014/main" id="{E4EABDA8-9545-466F-A58D-46B844E29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09875" y="2266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16</xdr:row>
      <xdr:rowOff>0</xdr:rowOff>
    </xdr:from>
    <xdr:ext cx="123825" cy="123825"/>
    <xdr:pic macro="[2]!DesignIconClicked">
      <xdr:nvPicPr>
        <xdr:cNvPr id="29" name="BEx5F64BJ6DCM4EJH81D5ZFNPZ0V" descr="7DJ9FILZD2YPS6X1JBP9E76TU" hidden="1">
          <a:extLst>
            <a:ext uri="{FF2B5EF4-FFF2-40B4-BE49-F238E27FC236}">
              <a16:creationId xmlns:a16="http://schemas.microsoft.com/office/drawing/2014/main" id="{AFF19E96-70E5-49BA-9ADA-FCFF16C9E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16</xdr:row>
      <xdr:rowOff>0</xdr:rowOff>
    </xdr:from>
    <xdr:ext cx="123825" cy="123825"/>
    <xdr:pic macro="[2]!DesignIconClicked">
      <xdr:nvPicPr>
        <xdr:cNvPr id="30" name="BExQEXXHA3EEXR44LT6RKCDWM6ZT" hidden="1">
          <a:extLst>
            <a:ext uri="{FF2B5EF4-FFF2-40B4-BE49-F238E27FC236}">
              <a16:creationId xmlns:a16="http://schemas.microsoft.com/office/drawing/2014/main" id="{5CE71A58-8D88-49CA-A8B3-640C59A66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85725</xdr:colOff>
      <xdr:row>20</xdr:row>
      <xdr:rowOff>0</xdr:rowOff>
    </xdr:from>
    <xdr:ext cx="123825" cy="123825"/>
    <xdr:pic macro="[2]!DesignIconClicked">
      <xdr:nvPicPr>
        <xdr:cNvPr id="31" name="BEx1X6AMHV6ZK3UJB2BXIJTJHYJU" descr="OALR4L95ELQLZ1Y1LETHM1CS9" hidden="1">
          <a:extLst>
            <a:ext uri="{FF2B5EF4-FFF2-40B4-BE49-F238E27FC236}">
              <a16:creationId xmlns:a16="http://schemas.microsoft.com/office/drawing/2014/main" id="{90004FA2-0703-4AF7-AC75-10BBC3B1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2552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9525</xdr:colOff>
      <xdr:row>15</xdr:row>
      <xdr:rowOff>0</xdr:rowOff>
    </xdr:from>
    <xdr:ext cx="123825" cy="123825"/>
    <xdr:pic macro="[2]!DesignIconClicked">
      <xdr:nvPicPr>
        <xdr:cNvPr id="32" name="BExSDIVCE09QKG3CT52PHCS6ZJ09" descr="9F076L7EQCF2COMMGCQG6BQGU" hidden="1">
          <a:extLst>
            <a:ext uri="{FF2B5EF4-FFF2-40B4-BE49-F238E27FC236}">
              <a16:creationId xmlns:a16="http://schemas.microsoft.com/office/drawing/2014/main" id="{5280BB0B-9A44-46CA-A4DF-9BE831C7D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33675" y="1838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25</xdr:row>
      <xdr:rowOff>0</xdr:rowOff>
    </xdr:from>
    <xdr:ext cx="123825" cy="123825"/>
    <xdr:pic macro="[2]!DesignIconClicked">
      <xdr:nvPicPr>
        <xdr:cNvPr id="33" name="BEx1QZGQZBAWJ8591VXEIPUOVS7X" descr="MEW27CPIFG44B7E7HEQUUF5QF" hidden="1">
          <a:extLst>
            <a:ext uri="{FF2B5EF4-FFF2-40B4-BE49-F238E27FC236}">
              <a16:creationId xmlns:a16="http://schemas.microsoft.com/office/drawing/2014/main" id="{490C1575-7C56-4D05-8CF2-DE28508DC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326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24</xdr:row>
      <xdr:rowOff>0</xdr:rowOff>
    </xdr:from>
    <xdr:ext cx="123825" cy="123825"/>
    <xdr:pic macro="[2]!DesignIconClicked">
      <xdr:nvPicPr>
        <xdr:cNvPr id="34" name="BExMF7LICJLPXSHM63A6EQ79YQKG" descr="U084VZL15IMB1OFRRAY6GVKAE" hidden="1">
          <a:extLst>
            <a:ext uri="{FF2B5EF4-FFF2-40B4-BE49-F238E27FC236}">
              <a16:creationId xmlns:a16="http://schemas.microsoft.com/office/drawing/2014/main" id="{A21C0F06-553C-440D-987F-FFE904AED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3124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23</xdr:row>
      <xdr:rowOff>0</xdr:rowOff>
    </xdr:from>
    <xdr:ext cx="123825" cy="123825"/>
    <xdr:pic macro="[2]!DesignIconClicked">
      <xdr:nvPicPr>
        <xdr:cNvPr id="35" name="BExS343F8GCKP6HTF9Y97L133DX8" descr="ZRF0KB1IYQSNV63CTXT25G67G" hidden="1">
          <a:extLst>
            <a:ext uri="{FF2B5EF4-FFF2-40B4-BE49-F238E27FC236}">
              <a16:creationId xmlns:a16="http://schemas.microsoft.com/office/drawing/2014/main" id="{3B6010F1-E16D-4A07-83D5-F68290BBF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2981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22</xdr:row>
      <xdr:rowOff>0</xdr:rowOff>
    </xdr:from>
    <xdr:ext cx="123825" cy="123825"/>
    <xdr:pic macro="[2]!DesignIconClicked">
      <xdr:nvPicPr>
        <xdr:cNvPr id="36" name="BExZMRC09W87CY4B73NPZMNH21AH" descr="78CUMI0OVLYJRSDRQ3V2YX812" hidden="1">
          <a:extLst>
            <a:ext uri="{FF2B5EF4-FFF2-40B4-BE49-F238E27FC236}">
              <a16:creationId xmlns:a16="http://schemas.microsoft.com/office/drawing/2014/main" id="{885CF18D-DE35-4BC9-B71C-835EA7905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28384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21</xdr:row>
      <xdr:rowOff>9525</xdr:rowOff>
    </xdr:from>
    <xdr:ext cx="123825" cy="123825"/>
    <xdr:pic macro="[2]!DesignIconClicked">
      <xdr:nvPicPr>
        <xdr:cNvPr id="37" name="BExZXVFJ4DY4I24AARDT4AMP6EN1" descr="TXSMH2MTH86CYKA26740RQPUC" hidden="1">
          <a:extLst>
            <a:ext uri="{FF2B5EF4-FFF2-40B4-BE49-F238E27FC236}">
              <a16:creationId xmlns:a16="http://schemas.microsoft.com/office/drawing/2014/main" id="{EFDD7AC9-E607-4C87-8D4A-F45EDF879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27051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20</xdr:row>
      <xdr:rowOff>0</xdr:rowOff>
    </xdr:from>
    <xdr:ext cx="123825" cy="123825"/>
    <xdr:pic macro="[2]!DesignIconClicked">
      <xdr:nvPicPr>
        <xdr:cNvPr id="38" name="BExOCUIOFQWUGTBU5ESTW3EYEP5C" descr="9BNF49V0R6VVYPHEVMJ3ABDQZ" hidden="1">
          <a:extLst>
            <a:ext uri="{FF2B5EF4-FFF2-40B4-BE49-F238E27FC236}">
              <a16:creationId xmlns:a16="http://schemas.microsoft.com/office/drawing/2014/main" id="{24741264-EA19-437C-9185-1EDCBE9D4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2552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19</xdr:row>
      <xdr:rowOff>0</xdr:rowOff>
    </xdr:from>
    <xdr:ext cx="123825" cy="123825"/>
    <xdr:pic macro="[2]!DesignIconClicked">
      <xdr:nvPicPr>
        <xdr:cNvPr id="39" name="BExU65O9OE4B4MQ2A3OYH13M8BZJ" descr="3INNIMMPDBB0JF37L81M6ID21" hidden="1">
          <a:extLst>
            <a:ext uri="{FF2B5EF4-FFF2-40B4-BE49-F238E27FC236}">
              <a16:creationId xmlns:a16="http://schemas.microsoft.com/office/drawing/2014/main" id="{0098471B-F8F9-40D9-910F-A9CCCECAD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24098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18</xdr:row>
      <xdr:rowOff>0</xdr:rowOff>
    </xdr:from>
    <xdr:ext cx="123825" cy="123825"/>
    <xdr:pic macro="[2]!DesignIconClicked">
      <xdr:nvPicPr>
        <xdr:cNvPr id="40" name="BExOPRCR0UW7TKXSV5WDTL348FGL" descr="S9JM17GP1802LHN4GT14BJYIC" hidden="1">
          <a:extLst>
            <a:ext uri="{FF2B5EF4-FFF2-40B4-BE49-F238E27FC236}">
              <a16:creationId xmlns:a16="http://schemas.microsoft.com/office/drawing/2014/main" id="{E39D3931-F184-4685-92B6-640A24824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2266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17</xdr:row>
      <xdr:rowOff>0</xdr:rowOff>
    </xdr:from>
    <xdr:ext cx="123825" cy="123825"/>
    <xdr:pic macro="[2]!DesignIconClicked">
      <xdr:nvPicPr>
        <xdr:cNvPr id="41" name="BEx5OESAY2W8SEGI3TSB65EHJ04B" descr="9CN2Y88X8WYV1HWZG1QILY9BK" hidden="1">
          <a:extLst>
            <a:ext uri="{FF2B5EF4-FFF2-40B4-BE49-F238E27FC236}">
              <a16:creationId xmlns:a16="http://schemas.microsoft.com/office/drawing/2014/main" id="{309FB0C1-B993-474F-BAA7-9D4E4B78A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2124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16</xdr:row>
      <xdr:rowOff>0</xdr:rowOff>
    </xdr:from>
    <xdr:ext cx="123825" cy="123825"/>
    <xdr:pic macro="[2]!DesignIconClicked">
      <xdr:nvPicPr>
        <xdr:cNvPr id="42" name="BExGMWEQ2BYRY9BAO5T1X850MJN1" descr="AZ9ST0XDIOP50HSUFO5V31BR0" hidden="1">
          <a:extLst>
            <a:ext uri="{FF2B5EF4-FFF2-40B4-BE49-F238E27FC236}">
              <a16:creationId xmlns:a16="http://schemas.microsoft.com/office/drawing/2014/main" id="{F4D4CCF4-FB18-47EF-8AB0-49EB0147C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twoCellAnchor editAs="absolute">
    <xdr:from>
      <xdr:col>3</xdr:col>
      <xdr:colOff>76200</xdr:colOff>
      <xdr:row>2</xdr:row>
      <xdr:rowOff>28575</xdr:rowOff>
    </xdr:from>
    <xdr:to>
      <xdr:col>3</xdr:col>
      <xdr:colOff>771525</xdr:colOff>
      <xdr:row>2</xdr:row>
      <xdr:rowOff>180975</xdr:rowOff>
    </xdr:to>
    <xdr:pic macro="[3]!Sheet2.Info_click">
      <xdr:nvPicPr>
        <xdr:cNvPr id="43" name="Info" descr="Information">
          <a:extLst>
            <a:ext uri="{FF2B5EF4-FFF2-40B4-BE49-F238E27FC236}">
              <a16:creationId xmlns:a16="http://schemas.microsoft.com/office/drawing/2014/main" id="{DB3435F4-F2FF-4342-B110-C8A99387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19225" y="762000"/>
          <a:ext cx="695325" cy="152400"/>
        </a:xfrm>
        <a:prstGeom prst="rect">
          <a:avLst/>
        </a:prstGeom>
        <a:noFill/>
      </xdr:spPr>
    </xdr:pic>
    <xdr:clientData/>
  </xdr:twoCellAnchor>
  <xdr:twoCellAnchor editAs="absolute">
    <xdr:from>
      <xdr:col>3</xdr:col>
      <xdr:colOff>76200</xdr:colOff>
      <xdr:row>2</xdr:row>
      <xdr:rowOff>38100</xdr:rowOff>
    </xdr:from>
    <xdr:to>
      <xdr:col>3</xdr:col>
      <xdr:colOff>771525</xdr:colOff>
      <xdr:row>2</xdr:row>
      <xdr:rowOff>190500</xdr:rowOff>
    </xdr:to>
    <xdr:pic macro="[3]!Sheet2.InfoA_click">
      <xdr:nvPicPr>
        <xdr:cNvPr id="44" name="InfoA" descr="Information_pressed" hidden="1">
          <a:extLst>
            <a:ext uri="{FF2B5EF4-FFF2-40B4-BE49-F238E27FC236}">
              <a16:creationId xmlns:a16="http://schemas.microsoft.com/office/drawing/2014/main" id="{A163A3BC-03A3-449F-B1D2-3495E2052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19225" y="771525"/>
          <a:ext cx="695325" cy="152400"/>
        </a:xfrm>
        <a:prstGeom prst="rect">
          <a:avLst/>
        </a:prstGeom>
        <a:noFill/>
      </xdr:spPr>
    </xdr:pic>
    <xdr:clientData/>
  </xdr:twoCellAnchor>
  <xdr:twoCellAnchor editAs="absolute">
    <xdr:from>
      <xdr:col>2</xdr:col>
      <xdr:colOff>514350</xdr:colOff>
      <xdr:row>2</xdr:row>
      <xdr:rowOff>28575</xdr:rowOff>
    </xdr:from>
    <xdr:to>
      <xdr:col>2</xdr:col>
      <xdr:colOff>971550</xdr:colOff>
      <xdr:row>2</xdr:row>
      <xdr:rowOff>180975</xdr:rowOff>
    </xdr:to>
    <xdr:pic macro="[3]!Sheet2.filter_click">
      <xdr:nvPicPr>
        <xdr:cNvPr id="45" name="Filter" descr="Filter" hidden="1">
          <a:extLst>
            <a:ext uri="{FF2B5EF4-FFF2-40B4-BE49-F238E27FC236}">
              <a16:creationId xmlns:a16="http://schemas.microsoft.com/office/drawing/2014/main" id="{35683543-C83B-4367-88CE-504AC3070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71525" y="762000"/>
          <a:ext cx="457200" cy="152400"/>
        </a:xfrm>
        <a:prstGeom prst="rect">
          <a:avLst/>
        </a:prstGeom>
        <a:noFill/>
      </xdr:spPr>
    </xdr:pic>
    <xdr:clientData/>
  </xdr:twoCellAnchor>
  <xdr:twoCellAnchor editAs="absolute">
    <xdr:from>
      <xdr:col>2</xdr:col>
      <xdr:colOff>514350</xdr:colOff>
      <xdr:row>2</xdr:row>
      <xdr:rowOff>28575</xdr:rowOff>
    </xdr:from>
    <xdr:to>
      <xdr:col>2</xdr:col>
      <xdr:colOff>971550</xdr:colOff>
      <xdr:row>2</xdr:row>
      <xdr:rowOff>180975</xdr:rowOff>
    </xdr:to>
    <xdr:pic macro="[3]!Sheet2.filterA_click">
      <xdr:nvPicPr>
        <xdr:cNvPr id="46" name="FilterA" descr="Filter_pressed">
          <a:extLst>
            <a:ext uri="{FF2B5EF4-FFF2-40B4-BE49-F238E27FC236}">
              <a16:creationId xmlns:a16="http://schemas.microsoft.com/office/drawing/2014/main" id="{E6BD9E53-AAE9-4EBA-97D4-401524641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71525" y="762000"/>
          <a:ext cx="457200" cy="15240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161925</xdr:colOff>
      <xdr:row>2</xdr:row>
      <xdr:rowOff>38100</xdr:rowOff>
    </xdr:from>
    <xdr:to>
      <xdr:col>2</xdr:col>
      <xdr:colOff>323850</xdr:colOff>
      <xdr:row>2</xdr:row>
      <xdr:rowOff>190500</xdr:rowOff>
    </xdr:to>
    <xdr:pic macro="[3]!Sheet2.Graph_click">
      <xdr:nvPicPr>
        <xdr:cNvPr id="47" name="Chart" descr="Chart">
          <a:extLst>
            <a:ext uri="{FF2B5EF4-FFF2-40B4-BE49-F238E27FC236}">
              <a16:creationId xmlns:a16="http://schemas.microsoft.com/office/drawing/2014/main" id="{1350D444-722C-4095-A887-E83DE8D54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1925" y="771525"/>
          <a:ext cx="419100" cy="152400"/>
        </a:xfrm>
        <a:prstGeom prst="rect">
          <a:avLst/>
        </a:prstGeom>
        <a:noFill/>
      </xdr:spPr>
    </xdr:pic>
    <xdr:clientData/>
  </xdr:twoCellAnchor>
  <xdr:absoluteAnchor>
    <xdr:pos x="6677025" y="1104900"/>
    <xdr:ext cx="1206500" cy="0"/>
    <xdr:pic macro="[2]!DesignIconClicked">
      <xdr:nvPicPr>
        <xdr:cNvPr id="48" name="BExW7A0O6NJAPXTFEM67M5H6DDRC" descr="3OQVS5W3KNJG71LCSAW019NJP" hidden="1">
          <a:extLst>
            <a:ext uri="{FF2B5EF4-FFF2-40B4-BE49-F238E27FC236}">
              <a16:creationId xmlns:a16="http://schemas.microsoft.com/office/drawing/2014/main" id="{C63B5E5D-20D8-41D9-B6EC-44E4DC11BC1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677025" y="1104900"/>
          <a:ext cx="1206500" cy="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4733925" y="304800"/>
    <xdr:ext cx="1930400" cy="415925"/>
    <xdr:pic macro="[2]!DesignIconClicked">
      <xdr:nvPicPr>
        <xdr:cNvPr id="49" name="BExGLL7F0AMZS0L5LN46VO8A4OR4" descr="D35ND0JILANPKP1M7KOGQB3G6" hidden="1">
          <a:extLst>
            <a:ext uri="{FF2B5EF4-FFF2-40B4-BE49-F238E27FC236}">
              <a16:creationId xmlns:a16="http://schemas.microsoft.com/office/drawing/2014/main" id="{5162AC09-3ADC-486B-8808-223AEF4B498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733925" y="304800"/>
          <a:ext cx="1930400" cy="4159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2724150" y="1104900"/>
    <xdr:ext cx="2740025" cy="0"/>
    <xdr:pic macro="[2]!DesignIconClicked">
      <xdr:nvPicPr>
        <xdr:cNvPr id="50" name="BEx01K769RJVIIWSRZ0ARO7KDLX8" descr="XR64X3LHID9RXDX8WC99U85PF" hidden="1">
          <a:extLst>
            <a:ext uri="{FF2B5EF4-FFF2-40B4-BE49-F238E27FC236}">
              <a16:creationId xmlns:a16="http://schemas.microsoft.com/office/drawing/2014/main" id="{7B98401C-4982-4B47-9166-2B2F6B7A865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24150" y="1104900"/>
          <a:ext cx="2740025" cy="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2724150" y="1104900"/>
    <xdr:ext cx="2740025" cy="0"/>
    <xdr:pic macro="[2]!DesignIconClicked">
      <xdr:nvPicPr>
        <xdr:cNvPr id="51" name="BExO8RTDKDQMQJ7A8W8P2TOHUDH2" descr="VPP77LRAGJ44NV8EVDMZ8FCEN" hidden="1">
          <a:extLst>
            <a:ext uri="{FF2B5EF4-FFF2-40B4-BE49-F238E27FC236}">
              <a16:creationId xmlns:a16="http://schemas.microsoft.com/office/drawing/2014/main" id="{30E71B3E-A50F-4F88-89F1-57FAA7635C1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24150" y="1104900"/>
          <a:ext cx="2740025" cy="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2724150" y="1104900"/>
    <xdr:ext cx="2740025" cy="0"/>
    <xdr:pic macro="[2]!DesignIconClicked">
      <xdr:nvPicPr>
        <xdr:cNvPr id="52" name="BExSGRWGUS63FMXGQMK12OH01K95" descr="Q5Z07EYJE0MBNAL39Q2BTCRTU" hidden="1">
          <a:extLst>
            <a:ext uri="{FF2B5EF4-FFF2-40B4-BE49-F238E27FC236}">
              <a16:creationId xmlns:a16="http://schemas.microsoft.com/office/drawing/2014/main" id="{E7A4EFB9-D550-4244-9E22-1B91BED480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24150" y="1104900"/>
          <a:ext cx="2740025" cy="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2724150" y="1104900"/>
    <xdr:ext cx="2740025" cy="0"/>
    <xdr:pic macro="[2]!DesignIconClicked">
      <xdr:nvPicPr>
        <xdr:cNvPr id="53" name="BExUDLAY93K0UZJDTTURDFVU8JTQ" descr="B2RDJ4MCWXJF922PADE784PX6" hidden="1">
          <a:extLst>
            <a:ext uri="{FF2B5EF4-FFF2-40B4-BE49-F238E27FC236}">
              <a16:creationId xmlns:a16="http://schemas.microsoft.com/office/drawing/2014/main" id="{CAFA374B-79B2-4922-9031-F02C5B322C7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24150" y="1104900"/>
          <a:ext cx="2740025" cy="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2724150" y="1104900"/>
    <xdr:ext cx="2740025" cy="0"/>
    <xdr:pic macro="[2]!DesignIconClicked">
      <xdr:nvPicPr>
        <xdr:cNvPr id="54" name="BExU57NIVO7OMPU5I47IYD27S3KA" descr="B0ZJHZS0F6AKHRWHNPQ63PUCZ" hidden="1">
          <a:extLst>
            <a:ext uri="{FF2B5EF4-FFF2-40B4-BE49-F238E27FC236}">
              <a16:creationId xmlns:a16="http://schemas.microsoft.com/office/drawing/2014/main" id="{38A5FD6F-A0EB-4CF5-8747-E641DE9F7DE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24150" y="1104900"/>
          <a:ext cx="2740025" cy="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6677025" y="1104900"/>
    <xdr:ext cx="1206500" cy="0"/>
    <xdr:pic macro="[2]!DesignIconClicked">
      <xdr:nvPicPr>
        <xdr:cNvPr id="55" name="BExIIGEM0AMOSRAZQRDPJ1KNDX7H" descr="F4CUDT4I8CDM8GHW7JG5WP6CT" hidden="1">
          <a:extLst>
            <a:ext uri="{FF2B5EF4-FFF2-40B4-BE49-F238E27FC236}">
              <a16:creationId xmlns:a16="http://schemas.microsoft.com/office/drawing/2014/main" id="{4083DA83-080B-4BA8-8656-A4929CA12D6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677025" y="1104900"/>
          <a:ext cx="1206500" cy="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257175" y="1552575"/>
    <xdr:ext cx="1949450" cy="2987675"/>
    <xdr:pic macro="[2]!DesignIconClicked">
      <xdr:nvPicPr>
        <xdr:cNvPr id="56" name="BExEZGWZLFTQF24ZE4DBSRHNCL2Y" descr="5G1A96VKMW4JK5G4PM3KVB8UT" hidden="1">
          <a:extLst>
            <a:ext uri="{FF2B5EF4-FFF2-40B4-BE49-F238E27FC236}">
              <a16:creationId xmlns:a16="http://schemas.microsoft.com/office/drawing/2014/main" id="{063093E0-9E0B-447C-A58D-CC3DED6704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57175" y="1552575"/>
          <a:ext cx="1949450" cy="29876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2219325" y="0"/>
    <xdr:ext cx="492125" cy="292100"/>
    <xdr:pic macro="[2]!DesignIconClicked">
      <xdr:nvPicPr>
        <xdr:cNvPr id="57" name="BExZVN42A177LEC6IPYAGJI8LF86" descr="XY0N02Z21UGFBLNWUW4NLP0JV" hidden="1">
          <a:extLst>
            <a:ext uri="{FF2B5EF4-FFF2-40B4-BE49-F238E27FC236}">
              <a16:creationId xmlns:a16="http://schemas.microsoft.com/office/drawing/2014/main" id="{A288A3C9-6192-4FB0-9399-03216A9F13F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19325" y="0"/>
          <a:ext cx="492125" cy="29210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6677025" y="1104900"/>
    <xdr:ext cx="1206500" cy="0"/>
    <xdr:pic macro="[2]!DesignIconClicked">
      <xdr:nvPicPr>
        <xdr:cNvPr id="58" name="BEx9HI995VIDGWB3O6URON2VM6AX" descr="QBM79T8SR6ZR1JPU49VFEBSRL" hidden="1">
          <a:extLst>
            <a:ext uri="{FF2B5EF4-FFF2-40B4-BE49-F238E27FC236}">
              <a16:creationId xmlns:a16="http://schemas.microsoft.com/office/drawing/2014/main" id="{608C147A-5771-4F1A-B19B-F843AF96AFD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677025" y="1104900"/>
          <a:ext cx="1206500" cy="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7286625" y="304800"/>
    <xdr:ext cx="1206500" cy="415925"/>
    <xdr:pic macro="[2]!DesignIconClicked">
      <xdr:nvPicPr>
        <xdr:cNvPr id="59" name="BExKKKF0KR8NZVC9DTQM1WWB39Z0" descr="OBT7FD107OXHE7ODUYPXG58YJ" hidden="1">
          <a:extLst>
            <a:ext uri="{FF2B5EF4-FFF2-40B4-BE49-F238E27FC236}">
              <a16:creationId xmlns:a16="http://schemas.microsoft.com/office/drawing/2014/main" id="{4425D1B9-9751-4669-A1A6-AD1C5D357FA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86625" y="304800"/>
          <a:ext cx="1206500" cy="4159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6677025" y="1104900"/>
    <xdr:ext cx="1206500" cy="0"/>
    <xdr:pic macro="[2]!DesignIconClicked">
      <xdr:nvPicPr>
        <xdr:cNvPr id="60" name="BEx0041RRI19D5ZFTDBCL8WAVJTB" descr="H3BV6LT962ERI9HFHZFWSTS8B" hidden="1">
          <a:extLst>
            <a:ext uri="{FF2B5EF4-FFF2-40B4-BE49-F238E27FC236}">
              <a16:creationId xmlns:a16="http://schemas.microsoft.com/office/drawing/2014/main" id="{73AB954A-CBAD-46AA-97FD-8F6CE15A3B9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677025" y="1104900"/>
          <a:ext cx="1206500" cy="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6677025" y="1104900"/>
    <xdr:ext cx="1206500" cy="0"/>
    <xdr:pic macro="[2]!DesignIconClicked">
      <xdr:nvPicPr>
        <xdr:cNvPr id="61" name="BExTURJ5TAR0ZJAQ9GFN2NYJHBR4" descr="MP5QHF75QS9DUY49Y420JXM2E" hidden="1">
          <a:extLst>
            <a:ext uri="{FF2B5EF4-FFF2-40B4-BE49-F238E27FC236}">
              <a16:creationId xmlns:a16="http://schemas.microsoft.com/office/drawing/2014/main" id="{382CC1E5-03FE-4A03-AD4F-59B28061A78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677025" y="1104900"/>
          <a:ext cx="1206500" cy="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6677025" y="1104900"/>
    <xdr:ext cx="1206500" cy="0"/>
    <xdr:pic macro="[2]!DesignIconClicked">
      <xdr:nvPicPr>
        <xdr:cNvPr id="62" name="BExOAO5F6DQNL3T99SCQUI1V5YFP" descr="QD63FMH2M443ZK5KXEEK6PC7V" hidden="1">
          <a:extLst>
            <a:ext uri="{FF2B5EF4-FFF2-40B4-BE49-F238E27FC236}">
              <a16:creationId xmlns:a16="http://schemas.microsoft.com/office/drawing/2014/main" id="{8FE464EA-177F-4467-B914-89B79B90C9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677025" y="1104900"/>
          <a:ext cx="1206500" cy="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2724150" y="1104900"/>
    <xdr:ext cx="2740025" cy="0"/>
    <xdr:pic macro="[2]!DesignIconClicked">
      <xdr:nvPicPr>
        <xdr:cNvPr id="63" name="BExMPEQDEVM9ZOPSFIVZP3KR132B" descr="U1604WEUYS8LYRGCK4LICYKL9" hidden="1">
          <a:extLst>
            <a:ext uri="{FF2B5EF4-FFF2-40B4-BE49-F238E27FC236}">
              <a16:creationId xmlns:a16="http://schemas.microsoft.com/office/drawing/2014/main" id="{334F62D9-4831-4CF1-A439-58B94D3828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24150" y="1104900"/>
          <a:ext cx="2740025" cy="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2724150" y="1552575"/>
    <xdr:ext cx="11922125" cy="74710925"/>
    <xdr:pic macro="[2]!DesignIconClicked">
      <xdr:nvPicPr>
        <xdr:cNvPr id="64" name="BExXRND8208TWULE9S50U89VKPB7" descr="ETUGZV0SKTQDQB8JOYY0DCX79" hidden="1">
          <a:extLst>
            <a:ext uri="{FF2B5EF4-FFF2-40B4-BE49-F238E27FC236}">
              <a16:creationId xmlns:a16="http://schemas.microsoft.com/office/drawing/2014/main" id="{7943E960-EC7A-474B-B693-1BE84E0756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724150" y="1552575"/>
          <a:ext cx="11922125" cy="747109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rown/AppData/Local/Box/Box%20Edit/Documents/8xPPnDHOg0eRVGtxtzl_0A==/Labor%20Estimate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Common%20Files/SAP%20Shared/BW/BExAnalyzer.xla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g4010/AppData/Local/Microsoft/Windows/INetCache/Content.Outlook/SC2HH8XO/BW%20--%20IT%20Dept%20--%20Monthly%202021%20Plan%20--%20matched%20with%20Templ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roll Base and Adjustment "/>
      <sheetName val="Payroll 12 Mo History"/>
      <sheetName val="Payroll Taxes"/>
    </sheetNames>
    <sheetDataSet>
      <sheetData sheetId="0" refreshError="1"/>
      <sheetData sheetId="1" refreshError="1">
        <row r="20">
          <cell r="F20">
            <v>870760.21999999974</v>
          </cell>
          <cell r="G20">
            <v>821648.40999999992</v>
          </cell>
          <cell r="H20">
            <v>881013.19000000006</v>
          </cell>
          <cell r="I20">
            <v>905142.53</v>
          </cell>
          <cell r="J20">
            <v>935264.79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"/>
      <sheetName val="BExStyles"/>
      <sheetName val="BExAnalyzer"/>
    </sheetNames>
    <definedNames>
      <definedName name="DesignIconClicked"/>
    </definedNames>
    <sheetDataSet>
      <sheetData sheetId="0"/>
      <sheetData sheetId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Table"/>
      <sheetName val="COMBINED"/>
      <sheetName val="TEL"/>
      <sheetName val="SVCDESK"/>
      <sheetName val="APPS"/>
      <sheetName val="INFRA"/>
      <sheetName val="Cyber"/>
      <sheetName val="Graph"/>
      <sheetName val="BW -- IT Dept -- Monthly 2021 P"/>
    </sheetNames>
    <definedNames>
      <definedName name="Sheet2.filter_click"/>
      <definedName name="Sheet2.filterA_click"/>
      <definedName name="Sheet2.Graph_click"/>
      <definedName name="Sheet2.Info_click"/>
      <definedName name="Sheet2.InfoA_click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8"/>
  <sheetViews>
    <sheetView tabSelected="1" topLeftCell="A7" zoomScale="95" zoomScaleNormal="95" workbookViewId="0">
      <pane xSplit="2" ySplit="5" topLeftCell="G12" activePane="bottomRight" state="frozen"/>
      <selection activeCell="A7" sqref="A7"/>
      <selection pane="topRight" activeCell="C7" sqref="C7"/>
      <selection pane="bottomLeft" activeCell="A12" sqref="A12"/>
      <selection pane="bottomRight" activeCell="AD44" sqref="A2:AD44"/>
    </sheetView>
  </sheetViews>
  <sheetFormatPr defaultRowHeight="15" outlineLevelCol="1" x14ac:dyDescent="0.25"/>
  <cols>
    <col min="2" max="2" width="15.85546875" bestFit="1" customWidth="1"/>
    <col min="3" max="6" width="11.85546875" hidden="1" customWidth="1" outlineLevel="1"/>
    <col min="7" max="7" width="11.85546875" customWidth="1" collapsed="1"/>
    <col min="8" max="10" width="11.85546875" customWidth="1"/>
    <col min="11" max="11" width="11.7109375" hidden="1" customWidth="1" outlineLevel="1"/>
    <col min="12" max="14" width="11.42578125" hidden="1" customWidth="1" outlineLevel="1"/>
    <col min="15" max="15" width="12.5703125" hidden="1" customWidth="1" outlineLevel="1"/>
    <col min="16" max="16" width="11.42578125" hidden="1" customWidth="1" outlineLevel="1"/>
    <col min="17" max="20" width="11.5703125" hidden="1" customWidth="1" outlineLevel="1"/>
    <col min="21" max="21" width="11.5703125" customWidth="1" collapsed="1"/>
    <col min="22" max="23" width="11.5703125" customWidth="1"/>
    <col min="24" max="24" width="11.42578125" bestFit="1" customWidth="1"/>
    <col min="25" max="25" width="9.85546875" bestFit="1" customWidth="1"/>
    <col min="26" max="26" width="11.42578125" bestFit="1" customWidth="1"/>
    <col min="28" max="28" width="4.28515625" style="330" customWidth="1"/>
  </cols>
  <sheetData>
    <row r="1" spans="1:33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3" t="s">
        <v>13</v>
      </c>
    </row>
    <row r="2" spans="1:33" x14ac:dyDescent="0.25">
      <c r="A2" s="476" t="s">
        <v>10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  <c r="P2" s="477"/>
      <c r="Q2" s="477"/>
      <c r="R2" s="477"/>
      <c r="S2" s="477"/>
      <c r="T2" s="477"/>
      <c r="U2" s="477"/>
      <c r="V2" s="477"/>
      <c r="W2" s="477"/>
      <c r="X2" s="477"/>
      <c r="Y2" s="477"/>
      <c r="Z2" s="477"/>
      <c r="AA2" s="477"/>
      <c r="AB2" s="477"/>
      <c r="AC2" s="477"/>
      <c r="AD2" s="478"/>
    </row>
    <row r="3" spans="1:33" x14ac:dyDescent="0.25">
      <c r="A3" s="476" t="s">
        <v>11</v>
      </c>
      <c r="B3" s="477"/>
      <c r="C3" s="477"/>
      <c r="D3" s="477"/>
      <c r="E3" s="477"/>
      <c r="F3" s="477"/>
      <c r="G3" s="477"/>
      <c r="H3" s="477"/>
      <c r="I3" s="477"/>
      <c r="J3" s="477"/>
      <c r="K3" s="477"/>
      <c r="L3" s="477"/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478"/>
    </row>
    <row r="4" spans="1:33" x14ac:dyDescent="0.25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6"/>
    </row>
    <row r="5" spans="1:33" x14ac:dyDescent="0.25">
      <c r="A5" s="476" t="s">
        <v>12</v>
      </c>
      <c r="B5" s="477"/>
      <c r="C5" s="477"/>
      <c r="D5" s="477"/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  <c r="Q5" s="477"/>
      <c r="R5" s="477"/>
      <c r="S5" s="477"/>
      <c r="T5" s="477"/>
      <c r="U5" s="477"/>
      <c r="V5" s="477"/>
      <c r="W5" s="477"/>
      <c r="X5" s="477"/>
      <c r="Y5" s="477"/>
      <c r="Z5" s="477"/>
      <c r="AA5" s="477"/>
      <c r="AB5" s="477"/>
      <c r="AC5" s="477"/>
      <c r="AD5" s="478"/>
    </row>
    <row r="6" spans="1:33" x14ac:dyDescent="0.25">
      <c r="A6" s="476" t="s">
        <v>693</v>
      </c>
      <c r="B6" s="477"/>
      <c r="C6" s="477"/>
      <c r="D6" s="477"/>
      <c r="E6" s="477"/>
      <c r="F6" s="477"/>
      <c r="G6" s="477"/>
      <c r="H6" s="477"/>
      <c r="I6" s="477"/>
      <c r="J6" s="477"/>
      <c r="K6" s="477"/>
      <c r="L6" s="477"/>
      <c r="M6" s="477"/>
      <c r="N6" s="477"/>
      <c r="O6" s="477"/>
      <c r="P6" s="477"/>
      <c r="Q6" s="477"/>
      <c r="R6" s="477"/>
      <c r="S6" s="477"/>
      <c r="T6" s="477"/>
      <c r="U6" s="477"/>
      <c r="V6" s="477"/>
      <c r="W6" s="477"/>
      <c r="X6" s="477"/>
      <c r="Y6" s="477"/>
      <c r="Z6" s="477"/>
      <c r="AA6" s="477"/>
      <c r="AB6" s="477"/>
      <c r="AC6" s="477"/>
      <c r="AD6" s="478"/>
    </row>
    <row r="7" spans="1:33" x14ac:dyDescent="0.25">
      <c r="A7" s="7"/>
      <c r="B7" s="8"/>
      <c r="C7" s="8"/>
      <c r="D7" s="8"/>
      <c r="E7" s="189"/>
      <c r="F7" s="189"/>
      <c r="G7" s="189"/>
      <c r="H7" s="189"/>
      <c r="I7" s="8"/>
      <c r="J7" s="8"/>
      <c r="K7" s="8"/>
      <c r="L7" s="8"/>
      <c r="M7" s="189"/>
      <c r="N7" s="189"/>
      <c r="O7" s="189"/>
      <c r="P7" s="189"/>
      <c r="Q7" s="8"/>
      <c r="R7" s="185"/>
      <c r="S7" s="185"/>
      <c r="T7" s="185"/>
      <c r="U7" s="189"/>
      <c r="V7" s="189"/>
      <c r="W7" s="189"/>
      <c r="X7" s="8"/>
      <c r="Y7" s="8"/>
      <c r="Z7" s="8"/>
      <c r="AA7" s="8"/>
      <c r="AB7" s="406"/>
      <c r="AC7" s="8"/>
      <c r="AD7" s="9"/>
    </row>
    <row r="8" spans="1:33" x14ac:dyDescent="0.25">
      <c r="A8" s="4" t="s">
        <v>14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6"/>
    </row>
    <row r="9" spans="1:33" x14ac:dyDescent="0.25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6"/>
    </row>
    <row r="10" spans="1:33" ht="45" customHeight="1" x14ac:dyDescent="0.25">
      <c r="A10" s="483" t="s">
        <v>0</v>
      </c>
      <c r="B10" s="481" t="s">
        <v>1</v>
      </c>
      <c r="C10" s="475" t="s">
        <v>692</v>
      </c>
      <c r="D10" s="475"/>
      <c r="E10" s="475" t="s">
        <v>692</v>
      </c>
      <c r="F10" s="475"/>
      <c r="G10" s="475" t="s">
        <v>692</v>
      </c>
      <c r="H10" s="475"/>
      <c r="I10" s="475" t="s">
        <v>691</v>
      </c>
      <c r="J10" s="475"/>
      <c r="K10" s="479" t="s">
        <v>741</v>
      </c>
      <c r="L10" s="479"/>
      <c r="M10" s="479"/>
      <c r="N10" s="479"/>
      <c r="O10" s="479"/>
      <c r="P10" s="479"/>
      <c r="Q10" s="479"/>
      <c r="R10" s="479" t="s">
        <v>742</v>
      </c>
      <c r="S10" s="479"/>
      <c r="T10" s="479"/>
      <c r="U10" s="480" t="s">
        <v>7</v>
      </c>
      <c r="V10" s="480"/>
      <c r="W10" s="480"/>
      <c r="X10" s="480" t="s">
        <v>8</v>
      </c>
      <c r="Y10" s="480"/>
      <c r="Z10" s="480"/>
      <c r="AA10" s="481" t="s">
        <v>9</v>
      </c>
      <c r="AB10" s="481"/>
      <c r="AC10" s="481"/>
      <c r="AD10" s="482"/>
    </row>
    <row r="11" spans="1:33" ht="15.75" thickBot="1" x14ac:dyDescent="0.3">
      <c r="A11" s="484"/>
      <c r="B11" s="485"/>
      <c r="C11" s="10" t="s">
        <v>719</v>
      </c>
      <c r="D11" s="10" t="s">
        <v>720</v>
      </c>
      <c r="E11" s="188" t="s">
        <v>721</v>
      </c>
      <c r="F11" s="188" t="s">
        <v>722</v>
      </c>
      <c r="G11" s="188" t="s">
        <v>2</v>
      </c>
      <c r="H11" s="188" t="s">
        <v>1173</v>
      </c>
      <c r="I11" s="10" t="s">
        <v>2</v>
      </c>
      <c r="J11" s="10" t="s">
        <v>1173</v>
      </c>
      <c r="K11" s="178" t="s">
        <v>715</v>
      </c>
      <c r="L11" s="178" t="s">
        <v>716</v>
      </c>
      <c r="M11" s="178" t="s">
        <v>718</v>
      </c>
      <c r="N11" s="178" t="s">
        <v>717</v>
      </c>
      <c r="O11" s="178" t="s">
        <v>4</v>
      </c>
      <c r="P11" s="178" t="s">
        <v>5</v>
      </c>
      <c r="Q11" s="178" t="s">
        <v>6</v>
      </c>
      <c r="R11" s="178" t="s">
        <v>715</v>
      </c>
      <c r="S11" s="178" t="s">
        <v>716</v>
      </c>
      <c r="T11" s="178" t="s">
        <v>6</v>
      </c>
      <c r="U11" s="178" t="s">
        <v>4</v>
      </c>
      <c r="V11" s="178" t="s">
        <v>5</v>
      </c>
      <c r="W11" s="178" t="s">
        <v>6</v>
      </c>
      <c r="X11" s="178" t="s">
        <v>4</v>
      </c>
      <c r="Y11" s="178" t="s">
        <v>5</v>
      </c>
      <c r="Z11" s="178" t="s">
        <v>6</v>
      </c>
      <c r="AA11" s="486" t="s">
        <v>1174</v>
      </c>
      <c r="AB11" s="487"/>
      <c r="AC11" s="10" t="s">
        <v>1175</v>
      </c>
      <c r="AD11" s="11" t="s">
        <v>6</v>
      </c>
      <c r="AG11" s="138"/>
    </row>
    <row r="12" spans="1:33" x14ac:dyDescent="0.25">
      <c r="A12" t="s">
        <v>15</v>
      </c>
      <c r="B12" t="s">
        <v>27</v>
      </c>
      <c r="C12" s="172">
        <f>'2017-18 Budget'!P37</f>
        <v>150</v>
      </c>
      <c r="D12" s="35">
        <f>'2018 Actual HC'!D9</f>
        <v>146</v>
      </c>
      <c r="E12" s="35">
        <v>9</v>
      </c>
      <c r="F12" s="35">
        <v>9</v>
      </c>
      <c r="G12" s="172">
        <f>C12+E12</f>
        <v>159</v>
      </c>
      <c r="H12" s="35">
        <f>D12+F12</f>
        <v>155</v>
      </c>
      <c r="I12" s="265"/>
      <c r="J12" s="35"/>
      <c r="K12" s="194">
        <f>'2017-18 Budget'!P32-K13-L12-L13</f>
        <v>617193.33333333337</v>
      </c>
      <c r="L12" s="173">
        <f>'2017-18 Budget'!$F$56</f>
        <v>15640</v>
      </c>
      <c r="M12" s="173">
        <f>'BW PKY-2018'!D$3</f>
        <v>49138</v>
      </c>
      <c r="N12" s="173">
        <f>'BW PKY-2018'!D5</f>
        <v>11935</v>
      </c>
      <c r="O12" s="173">
        <f>K12+M12</f>
        <v>666331.33333333337</v>
      </c>
      <c r="P12" s="174">
        <f>L12+N12</f>
        <v>27575</v>
      </c>
      <c r="Q12" s="197">
        <f>O12+P12</f>
        <v>693906.33333333337</v>
      </c>
      <c r="R12" s="173">
        <f>900000/24*2-S12</f>
        <v>73640</v>
      </c>
      <c r="S12" s="173">
        <f>'2017-18 Budget'!$G$56</f>
        <v>1360</v>
      </c>
      <c r="T12" s="197">
        <f>R12+S12</f>
        <v>75000</v>
      </c>
      <c r="U12" s="194">
        <f>O12+R12</f>
        <v>739971.33333333337</v>
      </c>
      <c r="V12" s="173">
        <f>P12+S12</f>
        <v>28935</v>
      </c>
      <c r="W12" s="198">
        <f>U12+V12</f>
        <v>768906.33333333337</v>
      </c>
      <c r="X12" s="33">
        <f>657117.84+42729.02</f>
        <v>699846.86</v>
      </c>
      <c r="Y12" s="33">
        <f>25291.75+30953.5</f>
        <v>56245.25</v>
      </c>
      <c r="Z12" s="180">
        <f t="shared" ref="Z12:Z35" si="0">SUM(X12:Y12)</f>
        <v>756092.11</v>
      </c>
      <c r="AA12" s="260">
        <f>(X12-U12)/X12</f>
        <v>-5.7333219060714778E-2</v>
      </c>
      <c r="AB12" s="408"/>
      <c r="AC12" s="272">
        <f>(Y12-V12)/Y12</f>
        <v>0.48555655810935144</v>
      </c>
      <c r="AD12" s="262">
        <f t="shared" ref="AD12:AD13" si="1">(Z12-W12)/Z12</f>
        <v>-1.6947965947341239E-2</v>
      </c>
    </row>
    <row r="13" spans="1:33" x14ac:dyDescent="0.25">
      <c r="A13" t="s">
        <v>15</v>
      </c>
      <c r="B13" t="s">
        <v>28</v>
      </c>
      <c r="C13" s="35"/>
      <c r="D13" s="35"/>
      <c r="E13" s="35"/>
      <c r="F13" s="35"/>
      <c r="G13" s="35"/>
      <c r="H13" s="35"/>
      <c r="I13" s="266">
        <f>'2017-18 Budget'!N47</f>
        <v>19</v>
      </c>
      <c r="J13" s="35">
        <f>'2018 Actual HC'!C9</f>
        <v>4</v>
      </c>
      <c r="K13" s="195">
        <f>'2017-18 Budget'!$F$50</f>
        <v>13166.666666666666</v>
      </c>
      <c r="L13" s="173"/>
      <c r="M13" s="174"/>
      <c r="N13" s="174"/>
      <c r="O13" s="173">
        <f t="shared" ref="O13:O35" si="2">K13+M13</f>
        <v>13166.666666666666</v>
      </c>
      <c r="P13" s="174">
        <f t="shared" ref="P13:P35" si="3">L13+N13</f>
        <v>0</v>
      </c>
      <c r="Q13" s="198">
        <f>O13+P13</f>
        <v>13166.666666666666</v>
      </c>
      <c r="R13" s="173"/>
      <c r="S13" s="173"/>
      <c r="T13" s="198"/>
      <c r="U13" s="195">
        <f t="shared" ref="U13:U35" si="4">O13+R13</f>
        <v>13166.666666666666</v>
      </c>
      <c r="V13" s="173">
        <f t="shared" ref="V13:V35" si="5">P13+S13</f>
        <v>0</v>
      </c>
      <c r="W13" s="198">
        <f t="shared" ref="W13:W35" si="6">U13+V13</f>
        <v>13166.666666666666</v>
      </c>
      <c r="X13" s="33">
        <v>3555</v>
      </c>
      <c r="Y13" s="33">
        <v>0</v>
      </c>
      <c r="Z13" s="180">
        <f t="shared" si="0"/>
        <v>3555</v>
      </c>
      <c r="AA13" s="261">
        <f>(X13-U13)/X13</f>
        <v>-2.7037037037037037</v>
      </c>
      <c r="AB13" s="408"/>
      <c r="AC13" s="409">
        <v>0</v>
      </c>
      <c r="AD13" s="263">
        <f t="shared" si="1"/>
        <v>-2.7037037037037037</v>
      </c>
    </row>
    <row r="14" spans="1:33" x14ac:dyDescent="0.25">
      <c r="A14" t="s">
        <v>16</v>
      </c>
      <c r="B14" t="s">
        <v>27</v>
      </c>
      <c r="C14" s="172">
        <f>'2017-18 Budget'!Q$37</f>
        <v>150</v>
      </c>
      <c r="D14" s="35">
        <f>'2018 Actual HC'!D11</f>
        <v>146</v>
      </c>
      <c r="E14" s="35">
        <v>9</v>
      </c>
      <c r="F14" s="35">
        <v>9</v>
      </c>
      <c r="G14" s="172">
        <f>C14+E14</f>
        <v>159</v>
      </c>
      <c r="H14" s="35">
        <f>D14+F14</f>
        <v>155</v>
      </c>
      <c r="I14" s="266"/>
      <c r="J14" s="35"/>
      <c r="K14" s="195">
        <f>'2017-18 Budget'!Q32-L14-K15-L15</f>
        <v>617193.33333333337</v>
      </c>
      <c r="L14" s="173">
        <f>'2017-18 Budget'!$F$56</f>
        <v>15640</v>
      </c>
      <c r="M14" s="173">
        <f>'BW PKY-2018'!E$3</f>
        <v>42729</v>
      </c>
      <c r="N14" s="173">
        <f>'BW PKY-2018'!E$5</f>
        <v>5974</v>
      </c>
      <c r="O14" s="173">
        <f t="shared" si="2"/>
        <v>659922.33333333337</v>
      </c>
      <c r="P14" s="174">
        <f t="shared" si="3"/>
        <v>21614</v>
      </c>
      <c r="Q14" s="198">
        <f t="shared" ref="Q14:Q22" si="7">O14+P14</f>
        <v>681536.33333333337</v>
      </c>
      <c r="R14" s="173">
        <f>R12</f>
        <v>73640</v>
      </c>
      <c r="S14" s="173">
        <f>'2017-18 Budget'!$G$56</f>
        <v>1360</v>
      </c>
      <c r="T14" s="198">
        <f>R14+S14</f>
        <v>75000</v>
      </c>
      <c r="U14" s="195">
        <f t="shared" si="4"/>
        <v>733562.33333333337</v>
      </c>
      <c r="V14" s="173">
        <f t="shared" si="5"/>
        <v>22974</v>
      </c>
      <c r="W14" s="198">
        <f t="shared" si="6"/>
        <v>756536.33333333337</v>
      </c>
      <c r="X14" s="33">
        <f>661236.45+42729.02</f>
        <v>703965.47</v>
      </c>
      <c r="Y14" s="33">
        <f>14169.75+16379.66</f>
        <v>30549.41</v>
      </c>
      <c r="Z14" s="180">
        <f t="shared" si="0"/>
        <v>734514.88</v>
      </c>
      <c r="AA14" s="261">
        <f t="shared" ref="AA14:AA35" si="8">(X14-U14)/X14</f>
        <v>-4.2043061193517632E-2</v>
      </c>
      <c r="AB14" s="408"/>
      <c r="AC14" s="273">
        <f t="shared" ref="AC14:AC35" si="9">(Y14-V14)/Y14</f>
        <v>0.24797238310003367</v>
      </c>
      <c r="AD14" s="263">
        <f t="shared" ref="AD14:AD35" si="10">(Z14-W14)/Z14</f>
        <v>-2.9980949240039041E-2</v>
      </c>
    </row>
    <row r="15" spans="1:33" x14ac:dyDescent="0.25">
      <c r="A15" t="s">
        <v>16</v>
      </c>
      <c r="B15" t="s">
        <v>28</v>
      </c>
      <c r="C15" s="35"/>
      <c r="D15" s="35"/>
      <c r="E15" s="35"/>
      <c r="F15" s="35"/>
      <c r="G15" s="35"/>
      <c r="H15" s="35"/>
      <c r="I15" s="266">
        <v>19</v>
      </c>
      <c r="J15" s="35">
        <f>'2018 Actual HC'!C11</f>
        <v>4</v>
      </c>
      <c r="K15" s="195">
        <f>'2017-18 Budget'!$F$50</f>
        <v>13166.666666666666</v>
      </c>
      <c r="L15" s="173"/>
      <c r="M15" s="173"/>
      <c r="N15" s="173"/>
      <c r="O15" s="173">
        <f t="shared" si="2"/>
        <v>13166.666666666666</v>
      </c>
      <c r="P15" s="174">
        <f t="shared" si="3"/>
        <v>0</v>
      </c>
      <c r="Q15" s="198">
        <f t="shared" si="7"/>
        <v>13166.666666666666</v>
      </c>
      <c r="R15" s="173"/>
      <c r="S15" s="173"/>
      <c r="T15" s="198"/>
      <c r="U15" s="195">
        <f t="shared" si="4"/>
        <v>13166.666666666666</v>
      </c>
      <c r="V15" s="173">
        <f t="shared" si="5"/>
        <v>0</v>
      </c>
      <c r="W15" s="198">
        <f t="shared" si="6"/>
        <v>13166.666666666666</v>
      </c>
      <c r="X15" s="33">
        <v>3292</v>
      </c>
      <c r="Y15" s="33">
        <v>0</v>
      </c>
      <c r="Z15" s="180">
        <f t="shared" si="0"/>
        <v>3292</v>
      </c>
      <c r="AA15" s="261">
        <f t="shared" si="8"/>
        <v>-2.9995949777237745</v>
      </c>
      <c r="AB15" s="408"/>
      <c r="AC15" s="409">
        <v>0</v>
      </c>
      <c r="AD15" s="263">
        <f t="shared" si="10"/>
        <v>-2.9995949777237745</v>
      </c>
    </row>
    <row r="16" spans="1:33" x14ac:dyDescent="0.25">
      <c r="A16" t="s">
        <v>17</v>
      </c>
      <c r="B16" t="s">
        <v>27</v>
      </c>
      <c r="C16" s="172">
        <f>'2017-18 Budget'!R$37</f>
        <v>150</v>
      </c>
      <c r="D16" s="35">
        <f>'2018 Actual HC'!D13</f>
        <v>146</v>
      </c>
      <c r="E16" s="35">
        <v>9</v>
      </c>
      <c r="F16" s="35">
        <v>9</v>
      </c>
      <c r="G16" s="172">
        <f>C16+E16</f>
        <v>159</v>
      </c>
      <c r="H16" s="35">
        <f>D16+F16</f>
        <v>155</v>
      </c>
      <c r="I16" s="266"/>
      <c r="J16" s="35"/>
      <c r="K16" s="195">
        <f>'2017-18 Budget'!R32-L16-K17-L17</f>
        <v>617193.33333333337</v>
      </c>
      <c r="L16" s="173">
        <f>'2017-18 Budget'!$F$56</f>
        <v>15640</v>
      </c>
      <c r="M16" s="173">
        <f>'BW PKY-2018'!F$3</f>
        <v>48412</v>
      </c>
      <c r="N16" s="173">
        <f>'BW PKY-2018'!F$5</f>
        <v>10988</v>
      </c>
      <c r="O16" s="173">
        <f t="shared" si="2"/>
        <v>665605.33333333337</v>
      </c>
      <c r="P16" s="174">
        <f t="shared" si="3"/>
        <v>26628</v>
      </c>
      <c r="Q16" s="198">
        <f t="shared" si="7"/>
        <v>692233.33333333337</v>
      </c>
      <c r="R16" s="173">
        <f>R14</f>
        <v>73640</v>
      </c>
      <c r="S16" s="173">
        <f>'2017-18 Budget'!$G$56</f>
        <v>1360</v>
      </c>
      <c r="T16" s="198">
        <f>R16+S16</f>
        <v>75000</v>
      </c>
      <c r="U16" s="195">
        <f t="shared" si="4"/>
        <v>739245.33333333337</v>
      </c>
      <c r="V16" s="173">
        <f t="shared" si="5"/>
        <v>27988</v>
      </c>
      <c r="W16" s="198">
        <f t="shared" si="6"/>
        <v>767233.33333333337</v>
      </c>
      <c r="X16" s="33">
        <f>640840.47+65375.45</f>
        <v>706215.91999999993</v>
      </c>
      <c r="Y16" s="33">
        <f>11251.53+5535.14</f>
        <v>16786.670000000002</v>
      </c>
      <c r="Z16" s="180">
        <f t="shared" si="0"/>
        <v>723002.59</v>
      </c>
      <c r="AA16" s="261">
        <f t="shared" si="8"/>
        <v>-4.6769567773739015E-2</v>
      </c>
      <c r="AB16" s="408"/>
      <c r="AC16" s="273">
        <f t="shared" si="9"/>
        <v>-0.66727528449656759</v>
      </c>
      <c r="AD16" s="263">
        <f t="shared" si="10"/>
        <v>-6.117646595613635E-2</v>
      </c>
    </row>
    <row r="17" spans="1:32" x14ac:dyDescent="0.25">
      <c r="A17" t="s">
        <v>17</v>
      </c>
      <c r="B17" t="s">
        <v>28</v>
      </c>
      <c r="C17" s="35"/>
      <c r="D17" s="35"/>
      <c r="E17" s="35"/>
      <c r="F17" s="35"/>
      <c r="G17" s="35"/>
      <c r="H17" s="35"/>
      <c r="I17" s="266">
        <v>19</v>
      </c>
      <c r="J17" s="35">
        <f>'2018 Actual HC'!C13</f>
        <v>5</v>
      </c>
      <c r="K17" s="195">
        <f>'2017-18 Budget'!$F$50</f>
        <v>13166.666666666666</v>
      </c>
      <c r="L17" s="173"/>
      <c r="M17" s="173"/>
      <c r="N17" s="173"/>
      <c r="O17" s="173">
        <f t="shared" si="2"/>
        <v>13166.666666666666</v>
      </c>
      <c r="P17" s="174">
        <f t="shared" si="3"/>
        <v>0</v>
      </c>
      <c r="Q17" s="198">
        <f t="shared" si="7"/>
        <v>13166.666666666666</v>
      </c>
      <c r="R17" s="173"/>
      <c r="S17" s="173"/>
      <c r="T17" s="198"/>
      <c r="U17" s="195">
        <f t="shared" si="4"/>
        <v>13166.666666666666</v>
      </c>
      <c r="V17" s="173">
        <f t="shared" si="5"/>
        <v>0</v>
      </c>
      <c r="W17" s="198">
        <f t="shared" si="6"/>
        <v>13166.666666666666</v>
      </c>
      <c r="X17" s="33">
        <v>3364</v>
      </c>
      <c r="Y17" s="33">
        <v>0</v>
      </c>
      <c r="Z17" s="180">
        <f t="shared" si="0"/>
        <v>3364</v>
      </c>
      <c r="AA17" s="261">
        <f t="shared" si="8"/>
        <v>-2.9139912802219579</v>
      </c>
      <c r="AB17" s="408"/>
      <c r="AC17" s="409">
        <v>0</v>
      </c>
      <c r="AD17" s="263">
        <f t="shared" si="10"/>
        <v>-2.9139912802219579</v>
      </c>
    </row>
    <row r="18" spans="1:32" x14ac:dyDescent="0.25">
      <c r="A18" t="s">
        <v>18</v>
      </c>
      <c r="B18" t="s">
        <v>27</v>
      </c>
      <c r="C18" s="172">
        <f>'2017-18 Budget'!S$37</f>
        <v>150</v>
      </c>
      <c r="D18" s="35">
        <f>'2018 Actual HC'!D15</f>
        <v>145</v>
      </c>
      <c r="E18" s="35">
        <v>9</v>
      </c>
      <c r="F18" s="35">
        <v>9</v>
      </c>
      <c r="G18" s="172">
        <f>C18+E18</f>
        <v>159</v>
      </c>
      <c r="H18" s="35">
        <f>D18+F18</f>
        <v>154</v>
      </c>
      <c r="I18" s="266"/>
      <c r="J18" s="35"/>
      <c r="K18" s="195">
        <f>'2017-18 Budget'!S32-L18-K19-L19</f>
        <v>617193.33333333337</v>
      </c>
      <c r="L18" s="173">
        <f>'2017-18 Budget'!$F$56</f>
        <v>15640</v>
      </c>
      <c r="M18" s="173">
        <f>'BW PKY-2018'!G$3</f>
        <v>46211</v>
      </c>
      <c r="N18" s="173">
        <f>'BW PKY-2018'!G$5</f>
        <v>1026</v>
      </c>
      <c r="O18" s="173">
        <f t="shared" si="2"/>
        <v>663404.33333333337</v>
      </c>
      <c r="P18" s="174">
        <f t="shared" si="3"/>
        <v>16666</v>
      </c>
      <c r="Q18" s="198">
        <f t="shared" si="7"/>
        <v>680070.33333333337</v>
      </c>
      <c r="R18" s="173">
        <f>R16</f>
        <v>73640</v>
      </c>
      <c r="S18" s="173">
        <f>'2017-18 Budget'!$G$56</f>
        <v>1360</v>
      </c>
      <c r="T18" s="198">
        <f>R18+S18</f>
        <v>75000</v>
      </c>
      <c r="U18" s="195">
        <f t="shared" si="4"/>
        <v>737044.33333333337</v>
      </c>
      <c r="V18" s="173">
        <f t="shared" si="5"/>
        <v>18026</v>
      </c>
      <c r="W18" s="198">
        <f t="shared" si="6"/>
        <v>755070.33333333337</v>
      </c>
      <c r="X18" s="33">
        <f>651926.03+44010.94</f>
        <v>695936.97</v>
      </c>
      <c r="Y18" s="33">
        <f>15782.27+3580.73</f>
        <v>19363</v>
      </c>
      <c r="Z18" s="180">
        <f t="shared" si="0"/>
        <v>715299.97</v>
      </c>
      <c r="AA18" s="472">
        <f t="shared" si="8"/>
        <v>-5.9067652826854999E-2</v>
      </c>
      <c r="AB18" s="473"/>
      <c r="AC18" s="273">
        <f t="shared" si="9"/>
        <v>6.9049217579920469E-2</v>
      </c>
      <c r="AD18" s="263">
        <f t="shared" si="10"/>
        <v>-5.5599559627177678E-2</v>
      </c>
    </row>
    <row r="19" spans="1:32" x14ac:dyDescent="0.25">
      <c r="A19" t="s">
        <v>18</v>
      </c>
      <c r="B19" t="s">
        <v>28</v>
      </c>
      <c r="C19" s="35"/>
      <c r="D19" s="35"/>
      <c r="E19" s="35"/>
      <c r="F19" s="35"/>
      <c r="G19" s="35"/>
      <c r="H19" s="35"/>
      <c r="I19" s="266">
        <v>19</v>
      </c>
      <c r="J19" s="35">
        <f>'2018 Actual HC'!C15</f>
        <v>5</v>
      </c>
      <c r="K19" s="195">
        <f>'2017-18 Budget'!$F$50</f>
        <v>13166.666666666666</v>
      </c>
      <c r="L19" s="173"/>
      <c r="M19" s="173"/>
      <c r="N19" s="173"/>
      <c r="O19" s="173">
        <f t="shared" si="2"/>
        <v>13166.666666666666</v>
      </c>
      <c r="P19" s="174">
        <f t="shared" si="3"/>
        <v>0</v>
      </c>
      <c r="Q19" s="198">
        <f t="shared" si="7"/>
        <v>13166.666666666666</v>
      </c>
      <c r="R19" s="173"/>
      <c r="S19" s="173"/>
      <c r="T19" s="198"/>
      <c r="U19" s="195">
        <f t="shared" si="4"/>
        <v>13166.666666666666</v>
      </c>
      <c r="V19" s="173">
        <f t="shared" si="5"/>
        <v>0</v>
      </c>
      <c r="W19" s="198">
        <f t="shared" si="6"/>
        <v>13166.666666666666</v>
      </c>
      <c r="X19" s="33">
        <v>3922</v>
      </c>
      <c r="Y19" s="33">
        <v>0</v>
      </c>
      <c r="Z19" s="180">
        <f t="shared" si="0"/>
        <v>3922</v>
      </c>
      <c r="AA19" s="472">
        <f t="shared" si="8"/>
        <v>-2.3571307156212815</v>
      </c>
      <c r="AB19" s="473"/>
      <c r="AC19" s="409">
        <v>0</v>
      </c>
      <c r="AD19" s="263">
        <f t="shared" si="10"/>
        <v>-2.3571307156212815</v>
      </c>
    </row>
    <row r="20" spans="1:32" x14ac:dyDescent="0.25">
      <c r="A20" t="s">
        <v>19</v>
      </c>
      <c r="B20" t="s">
        <v>27</v>
      </c>
      <c r="C20" s="172">
        <f>'2017-18 Budget'!T$37</f>
        <v>150</v>
      </c>
      <c r="D20" s="35">
        <f>'2018 Actual HC'!D17</f>
        <v>147</v>
      </c>
      <c r="E20" s="35">
        <v>9</v>
      </c>
      <c r="F20" s="35">
        <v>9</v>
      </c>
      <c r="G20" s="172">
        <f>C20+E20</f>
        <v>159</v>
      </c>
      <c r="H20" s="35">
        <f>D20+F20</f>
        <v>156</v>
      </c>
      <c r="I20" s="266"/>
      <c r="J20" s="35"/>
      <c r="K20" s="195">
        <f>'2017-18 Budget'!T32-L20-K21-L21</f>
        <v>617193.33333333337</v>
      </c>
      <c r="L20" s="173">
        <f>'2017-18 Budget'!$F$56</f>
        <v>15640</v>
      </c>
      <c r="M20" s="173">
        <f>'BW PKY-2018'!H3</f>
        <v>50613</v>
      </c>
      <c r="N20" s="173">
        <f>'BW PKY-2018'!H$5</f>
        <v>3472</v>
      </c>
      <c r="O20" s="173">
        <f t="shared" si="2"/>
        <v>667806.33333333337</v>
      </c>
      <c r="P20" s="174">
        <f t="shared" si="3"/>
        <v>19112</v>
      </c>
      <c r="Q20" s="198">
        <f t="shared" si="7"/>
        <v>686918.33333333337</v>
      </c>
      <c r="R20" s="173">
        <f>R18</f>
        <v>73640</v>
      </c>
      <c r="S20" s="173">
        <f>'2017-18 Budget'!$G$56</f>
        <v>1360</v>
      </c>
      <c r="T20" s="198">
        <f>R20+S20</f>
        <v>75000</v>
      </c>
      <c r="U20" s="195">
        <f t="shared" si="4"/>
        <v>741446.33333333337</v>
      </c>
      <c r="V20" s="173">
        <f t="shared" si="5"/>
        <v>20472</v>
      </c>
      <c r="W20" s="198">
        <f t="shared" si="6"/>
        <v>761918.33333333337</v>
      </c>
      <c r="X20" s="33">
        <f>653475.46+44010.94</f>
        <v>697486.39999999991</v>
      </c>
      <c r="Y20" s="33">
        <f>20595.03+1530.11</f>
        <v>22125.14</v>
      </c>
      <c r="Z20" s="180">
        <f t="shared" si="0"/>
        <v>719611.53999999992</v>
      </c>
      <c r="AA20" s="472">
        <f t="shared" si="8"/>
        <v>-6.3026222924681352E-2</v>
      </c>
      <c r="AB20" s="473"/>
      <c r="AC20" s="273">
        <f t="shared" si="9"/>
        <v>7.4717719300307225E-2</v>
      </c>
      <c r="AD20" s="263">
        <f t="shared" si="10"/>
        <v>-5.8791154646204609E-2</v>
      </c>
    </row>
    <row r="21" spans="1:32" x14ac:dyDescent="0.25">
      <c r="A21" t="s">
        <v>19</v>
      </c>
      <c r="B21" t="s">
        <v>28</v>
      </c>
      <c r="C21" s="35"/>
      <c r="D21" s="35"/>
      <c r="E21" s="35"/>
      <c r="F21" s="35"/>
      <c r="G21" s="35"/>
      <c r="H21" s="35"/>
      <c r="I21" s="266">
        <v>19</v>
      </c>
      <c r="J21" s="35">
        <f>'2018 Actual HC'!C17</f>
        <v>5</v>
      </c>
      <c r="K21" s="195">
        <f>'2017-18 Budget'!$F$50</f>
        <v>13166.666666666666</v>
      </c>
      <c r="L21" s="173"/>
      <c r="M21" s="173"/>
      <c r="N21" s="173"/>
      <c r="O21" s="173">
        <f t="shared" si="2"/>
        <v>13166.666666666666</v>
      </c>
      <c r="P21" s="174">
        <f t="shared" si="3"/>
        <v>0</v>
      </c>
      <c r="Q21" s="198">
        <f t="shared" si="7"/>
        <v>13166.666666666666</v>
      </c>
      <c r="R21" s="173"/>
      <c r="S21" s="173"/>
      <c r="T21" s="198"/>
      <c r="U21" s="195">
        <f t="shared" si="4"/>
        <v>13166.666666666666</v>
      </c>
      <c r="V21" s="173">
        <f t="shared" si="5"/>
        <v>0</v>
      </c>
      <c r="W21" s="198">
        <f t="shared" si="6"/>
        <v>13166.666666666666</v>
      </c>
      <c r="X21" s="33">
        <v>4268</v>
      </c>
      <c r="Y21" s="33">
        <v>0</v>
      </c>
      <c r="Z21" s="180">
        <f t="shared" si="0"/>
        <v>4268</v>
      </c>
      <c r="AA21" s="472">
        <f t="shared" si="8"/>
        <v>-2.0849734457981879</v>
      </c>
      <c r="AB21" s="473"/>
      <c r="AC21" s="409">
        <v>0</v>
      </c>
      <c r="AD21" s="263">
        <f t="shared" si="10"/>
        <v>-2.0849734457981879</v>
      </c>
    </row>
    <row r="22" spans="1:32" x14ac:dyDescent="0.25">
      <c r="A22" t="s">
        <v>20</v>
      </c>
      <c r="B22" t="s">
        <v>27</v>
      </c>
      <c r="C22" s="172">
        <f>'2017-18 Budget'!U$37</f>
        <v>150</v>
      </c>
      <c r="D22" s="35">
        <f>'2018 Actual HC'!D19</f>
        <v>145</v>
      </c>
      <c r="E22" s="35">
        <v>9</v>
      </c>
      <c r="F22" s="35">
        <v>9</v>
      </c>
      <c r="G22" s="172">
        <f>C22+E22</f>
        <v>159</v>
      </c>
      <c r="H22" s="35">
        <f>D22+F22</f>
        <v>154</v>
      </c>
      <c r="I22" s="266"/>
      <c r="J22" s="35"/>
      <c r="K22" s="195">
        <f>'2017-18 Budget'!U32-L22-K23-L23</f>
        <v>617193.33333333337</v>
      </c>
      <c r="L22" s="173">
        <f>'2017-18 Budget'!$F$56</f>
        <v>15640</v>
      </c>
      <c r="M22" s="173">
        <f>'BW PKY-2018'!I3</f>
        <v>46211</v>
      </c>
      <c r="N22" s="173">
        <f>'BW PKY-2018'!I$5</f>
        <v>2816</v>
      </c>
      <c r="O22" s="173">
        <f t="shared" si="2"/>
        <v>663404.33333333337</v>
      </c>
      <c r="P22" s="174">
        <f t="shared" si="3"/>
        <v>18456</v>
      </c>
      <c r="Q22" s="198">
        <f t="shared" si="7"/>
        <v>681860.33333333337</v>
      </c>
      <c r="R22" s="173">
        <f>R20</f>
        <v>73640</v>
      </c>
      <c r="S22" s="173">
        <f>'2017-18 Budget'!$G$56</f>
        <v>1360</v>
      </c>
      <c r="T22" s="198">
        <f>R22+S22</f>
        <v>75000</v>
      </c>
      <c r="U22" s="195">
        <f t="shared" si="4"/>
        <v>737044.33333333337</v>
      </c>
      <c r="V22" s="173">
        <f t="shared" si="5"/>
        <v>19816</v>
      </c>
      <c r="W22" s="198">
        <f t="shared" si="6"/>
        <v>756860.33333333337</v>
      </c>
      <c r="X22" s="33">
        <f>647135.12+44010.94</f>
        <v>691146.06</v>
      </c>
      <c r="Y22" s="33">
        <f>26827.2+1586.77</f>
        <v>28413.97</v>
      </c>
      <c r="Z22" s="180">
        <f t="shared" si="0"/>
        <v>719560.03</v>
      </c>
      <c r="AA22" s="472">
        <f t="shared" si="8"/>
        <v>-6.6408934362344935E-2</v>
      </c>
      <c r="AB22" s="473"/>
      <c r="AC22" s="273">
        <f t="shared" si="9"/>
        <v>0.30259657485384833</v>
      </c>
      <c r="AD22" s="263">
        <f t="shared" si="10"/>
        <v>-5.1837653257829429E-2</v>
      </c>
    </row>
    <row r="23" spans="1:32" x14ac:dyDescent="0.25">
      <c r="A23" t="s">
        <v>20</v>
      </c>
      <c r="B23" t="s">
        <v>28</v>
      </c>
      <c r="C23" s="35"/>
      <c r="D23" s="35"/>
      <c r="E23" s="35"/>
      <c r="F23" s="35"/>
      <c r="G23" s="35"/>
      <c r="H23" s="35"/>
      <c r="I23" s="266">
        <v>19</v>
      </c>
      <c r="J23" s="35">
        <f>'2018 Actual HC'!C19</f>
        <v>16</v>
      </c>
      <c r="K23" s="195">
        <f>'2017-18 Budget'!$F$50</f>
        <v>13166.666666666666</v>
      </c>
      <c r="L23" s="173"/>
      <c r="M23" s="173"/>
      <c r="N23" s="173"/>
      <c r="O23" s="173">
        <f t="shared" si="2"/>
        <v>13166.666666666666</v>
      </c>
      <c r="P23" s="174">
        <f t="shared" si="3"/>
        <v>0</v>
      </c>
      <c r="Q23" s="198">
        <f>K23+L23</f>
        <v>13166.666666666666</v>
      </c>
      <c r="R23" s="173"/>
      <c r="S23" s="221"/>
      <c r="T23" s="198"/>
      <c r="U23" s="195">
        <f t="shared" si="4"/>
        <v>13166.666666666666</v>
      </c>
      <c r="V23" s="173">
        <f t="shared" si="5"/>
        <v>0</v>
      </c>
      <c r="W23" s="198">
        <f t="shared" si="6"/>
        <v>13166.666666666666</v>
      </c>
      <c r="X23" s="33">
        <v>18410</v>
      </c>
      <c r="Y23" s="33">
        <v>0</v>
      </c>
      <c r="Z23" s="180">
        <f t="shared" si="0"/>
        <v>18410</v>
      </c>
      <c r="AA23" s="472">
        <f t="shared" si="8"/>
        <v>0.28480898062647114</v>
      </c>
      <c r="AB23" s="473"/>
      <c r="AC23" s="409">
        <v>0</v>
      </c>
      <c r="AD23" s="263">
        <f t="shared" si="10"/>
        <v>0.28480898062647114</v>
      </c>
    </row>
    <row r="24" spans="1:32" x14ac:dyDescent="0.25">
      <c r="A24" t="s">
        <v>21</v>
      </c>
      <c r="B24" t="s">
        <v>27</v>
      </c>
      <c r="C24" s="172">
        <f>'2017-18 Budget'!V$37</f>
        <v>147</v>
      </c>
      <c r="D24" s="35">
        <f>'2018 Actual HC'!D21</f>
        <v>144</v>
      </c>
      <c r="E24" s="35">
        <v>9</v>
      </c>
      <c r="F24" s="35">
        <v>9</v>
      </c>
      <c r="G24" s="172">
        <f>C24+E24</f>
        <v>156</v>
      </c>
      <c r="H24" s="35">
        <f>D24+F24</f>
        <v>153</v>
      </c>
      <c r="I24" s="266"/>
      <c r="J24" s="35"/>
      <c r="K24" s="195">
        <f>'2017-18 Budget'!V32-L24-K25-L25</f>
        <v>625826.66666666663</v>
      </c>
      <c r="L24" s="173">
        <f>200000*0.82/6</f>
        <v>27333.333333333332</v>
      </c>
      <c r="M24" s="173">
        <f>'BW PKY-2018'!J3</f>
        <v>48412</v>
      </c>
      <c r="N24" s="173">
        <f>'BW PKY-2018'!J$5</f>
        <v>2168</v>
      </c>
      <c r="O24" s="173">
        <f t="shared" si="2"/>
        <v>674238.66666666663</v>
      </c>
      <c r="P24" s="174">
        <f t="shared" si="3"/>
        <v>29501.333333333332</v>
      </c>
      <c r="Q24" s="198">
        <f t="shared" ref="Q24:Q35" si="11">K24+L24</f>
        <v>653160</v>
      </c>
      <c r="R24" s="173">
        <f>T24-S24</f>
        <v>74393</v>
      </c>
      <c r="S24" s="173">
        <f>(200000-SUM($L$12:$L$23)-SUM($S$12:$S$23))*0.18/6</f>
        <v>2940</v>
      </c>
      <c r="T24" s="198">
        <v>77333</v>
      </c>
      <c r="U24" s="195">
        <f t="shared" si="4"/>
        <v>748631.66666666663</v>
      </c>
      <c r="V24" s="173">
        <f t="shared" si="5"/>
        <v>32441.333333333332</v>
      </c>
      <c r="W24" s="198">
        <f t="shared" si="6"/>
        <v>781073</v>
      </c>
      <c r="X24" s="33">
        <f>665216.54+44010.94</f>
        <v>709227.48</v>
      </c>
      <c r="Y24" s="33">
        <f>21305.69+2330.73</f>
        <v>23636.42</v>
      </c>
      <c r="Z24" s="180">
        <f t="shared" si="0"/>
        <v>732863.9</v>
      </c>
      <c r="AA24" s="472">
        <f t="shared" si="8"/>
        <v>-5.5559306115249014E-2</v>
      </c>
      <c r="AB24" s="473"/>
      <c r="AC24" s="273">
        <f t="shared" si="9"/>
        <v>-0.37251467579833725</v>
      </c>
      <c r="AD24" s="263">
        <f t="shared" si="10"/>
        <v>-6.5781791134752271E-2</v>
      </c>
    </row>
    <row r="25" spans="1:32" x14ac:dyDescent="0.25">
      <c r="A25" t="s">
        <v>21</v>
      </c>
      <c r="B25" t="s">
        <v>28</v>
      </c>
      <c r="C25" s="35"/>
      <c r="D25" s="35"/>
      <c r="E25" s="35"/>
      <c r="F25" s="35"/>
      <c r="G25" s="35"/>
      <c r="H25" s="35"/>
      <c r="I25" s="267">
        <f>'Budget07012018 DoNotUseFor2019'!$V$15</f>
        <v>18</v>
      </c>
      <c r="J25" s="35">
        <f>'2018 Actual HC'!C21</f>
        <v>15</v>
      </c>
      <c r="K25" s="195">
        <f>'Budget07012018 DoNotUseFor2019'!$V$28*2</f>
        <v>11840</v>
      </c>
      <c r="L25" s="173"/>
      <c r="M25" s="173"/>
      <c r="N25" s="173"/>
      <c r="O25" s="173">
        <f t="shared" si="2"/>
        <v>11840</v>
      </c>
      <c r="P25" s="174">
        <f t="shared" si="3"/>
        <v>0</v>
      </c>
      <c r="Q25" s="198">
        <f t="shared" si="11"/>
        <v>11840</v>
      </c>
      <c r="R25" s="173"/>
      <c r="S25" s="173"/>
      <c r="T25" s="198"/>
      <c r="U25" s="195">
        <f t="shared" si="4"/>
        <v>11840</v>
      </c>
      <c r="V25" s="173">
        <f t="shared" si="5"/>
        <v>0</v>
      </c>
      <c r="W25" s="198">
        <f t="shared" si="6"/>
        <v>11840</v>
      </c>
      <c r="X25" s="33">
        <v>18738</v>
      </c>
      <c r="Y25" s="33">
        <v>15</v>
      </c>
      <c r="Z25" s="180">
        <f t="shared" si="0"/>
        <v>18753</v>
      </c>
      <c r="AA25" s="472">
        <f t="shared" si="8"/>
        <v>0.36812893585227879</v>
      </c>
      <c r="AB25" s="473"/>
      <c r="AC25" s="273">
        <f t="shared" si="9"/>
        <v>1</v>
      </c>
      <c r="AD25" s="263">
        <f t="shared" si="10"/>
        <v>0.36863435183703941</v>
      </c>
    </row>
    <row r="26" spans="1:32" x14ac:dyDescent="0.25">
      <c r="A26" t="s">
        <v>22</v>
      </c>
      <c r="B26" t="s">
        <v>27</v>
      </c>
      <c r="C26" s="172">
        <f>'2017-18 Budget'!W$37</f>
        <v>147</v>
      </c>
      <c r="D26" s="35">
        <f>'2018 Actual HC'!D23</f>
        <v>145</v>
      </c>
      <c r="E26" s="35">
        <v>9</v>
      </c>
      <c r="F26" s="35">
        <v>9</v>
      </c>
      <c r="G26" s="172">
        <f>C26+E26</f>
        <v>156</v>
      </c>
      <c r="H26" s="35">
        <f>D26+F26</f>
        <v>154</v>
      </c>
      <c r="I26" s="268"/>
      <c r="J26" s="35"/>
      <c r="K26" s="195">
        <f>'2017-18 Budget'!W32-L26-K27-L27</f>
        <v>625826.66666666663</v>
      </c>
      <c r="L26" s="173">
        <f>200000*0.82/6</f>
        <v>27333.333333333332</v>
      </c>
      <c r="M26" s="173">
        <f>'BW PKY-2018'!K3</f>
        <v>50613</v>
      </c>
      <c r="N26" s="173">
        <f>'BW PKY-2018'!K$5</f>
        <v>2142</v>
      </c>
      <c r="O26" s="173">
        <f t="shared" si="2"/>
        <v>676439.66666666663</v>
      </c>
      <c r="P26" s="174">
        <f t="shared" si="3"/>
        <v>29475.333333333332</v>
      </c>
      <c r="Q26" s="198">
        <f t="shared" si="11"/>
        <v>653160</v>
      </c>
      <c r="R26" s="173">
        <f>T26-S26</f>
        <v>74393</v>
      </c>
      <c r="S26" s="173">
        <f>(200000-SUM($L$12:$L$23)-SUM($S$12:$S$23))*0.18/6</f>
        <v>2940</v>
      </c>
      <c r="T26" s="198">
        <v>77333</v>
      </c>
      <c r="U26" s="195">
        <f t="shared" si="4"/>
        <v>750832.66666666663</v>
      </c>
      <c r="V26" s="173">
        <f t="shared" si="5"/>
        <v>32415.333333333332</v>
      </c>
      <c r="W26" s="198">
        <f t="shared" si="6"/>
        <v>783248</v>
      </c>
      <c r="X26" s="33">
        <f>665350.52+66016.41</f>
        <v>731366.93</v>
      </c>
      <c r="Y26" s="33">
        <f>28614.23+2324.42</f>
        <v>30938.65</v>
      </c>
      <c r="Z26" s="180">
        <f t="shared" si="0"/>
        <v>762305.58000000007</v>
      </c>
      <c r="AA26" s="472">
        <f t="shared" si="8"/>
        <v>-2.6615554885242865E-2</v>
      </c>
      <c r="AB26" s="473"/>
      <c r="AC26" s="273">
        <f t="shared" si="9"/>
        <v>-4.7729404267262167E-2</v>
      </c>
      <c r="AD26" s="263">
        <f t="shared" si="10"/>
        <v>-2.7472473702737324E-2</v>
      </c>
    </row>
    <row r="27" spans="1:32" x14ac:dyDescent="0.25">
      <c r="A27" t="s">
        <v>22</v>
      </c>
      <c r="B27" t="s">
        <v>28</v>
      </c>
      <c r="C27" s="35"/>
      <c r="D27" s="35"/>
      <c r="E27" s="35"/>
      <c r="F27" s="35"/>
      <c r="G27" s="35"/>
      <c r="H27" s="35"/>
      <c r="I27" s="267">
        <f>'Budget07012018 DoNotUseFor2019'!$V$15</f>
        <v>18</v>
      </c>
      <c r="J27" s="35">
        <f>'2018 Actual HC'!C23</f>
        <v>14</v>
      </c>
      <c r="K27" s="195">
        <f>'Budget07012018 DoNotUseFor2019'!$V$28*2</f>
        <v>11840</v>
      </c>
      <c r="L27" s="173"/>
      <c r="M27" s="173"/>
      <c r="N27" s="173"/>
      <c r="O27" s="173">
        <f t="shared" si="2"/>
        <v>11840</v>
      </c>
      <c r="P27" s="174">
        <f t="shared" si="3"/>
        <v>0</v>
      </c>
      <c r="Q27" s="198">
        <f t="shared" si="11"/>
        <v>11840</v>
      </c>
      <c r="R27" s="173"/>
      <c r="S27" s="173"/>
      <c r="T27" s="198"/>
      <c r="U27" s="195">
        <f t="shared" si="4"/>
        <v>11840</v>
      </c>
      <c r="V27" s="173">
        <f t="shared" si="5"/>
        <v>0</v>
      </c>
      <c r="W27" s="198">
        <f t="shared" si="6"/>
        <v>11840</v>
      </c>
      <c r="X27" s="33">
        <v>19105</v>
      </c>
      <c r="Y27" s="33">
        <v>45</v>
      </c>
      <c r="Z27" s="180">
        <f t="shared" si="0"/>
        <v>19150</v>
      </c>
      <c r="AA27" s="472">
        <f t="shared" si="8"/>
        <v>0.38026694582570009</v>
      </c>
      <c r="AB27" s="473"/>
      <c r="AC27" s="273">
        <f t="shared" si="9"/>
        <v>1</v>
      </c>
      <c r="AD27" s="263">
        <f t="shared" si="10"/>
        <v>0.38172323759791121</v>
      </c>
      <c r="AF27" s="13"/>
    </row>
    <row r="28" spans="1:32" x14ac:dyDescent="0.25">
      <c r="A28" t="s">
        <v>23</v>
      </c>
      <c r="B28" t="s">
        <v>27</v>
      </c>
      <c r="C28" s="172">
        <f>'2017-18 Budget'!X$37</f>
        <v>147</v>
      </c>
      <c r="D28" s="35">
        <f>'2018 Actual HC'!D25</f>
        <v>145</v>
      </c>
      <c r="E28" s="35">
        <v>9</v>
      </c>
      <c r="F28" s="35">
        <v>9</v>
      </c>
      <c r="G28" s="172">
        <f>C28+E28</f>
        <v>156</v>
      </c>
      <c r="H28" s="35">
        <f>D28+F28</f>
        <v>154</v>
      </c>
      <c r="I28" s="268"/>
      <c r="J28" s="35"/>
      <c r="K28" s="195">
        <f>'2017-18 Budget'!X32-L28-K29-L29</f>
        <v>625826.66666666663</v>
      </c>
      <c r="L28" s="173">
        <f>200000*0.82/6</f>
        <v>27333.333333333332</v>
      </c>
      <c r="M28" s="173">
        <f>'BW PKY-2018'!L3</f>
        <v>44011</v>
      </c>
      <c r="N28" s="173">
        <f>'BW PKY-2018'!L$5</f>
        <v>1077</v>
      </c>
      <c r="O28" s="173">
        <f t="shared" si="2"/>
        <v>669837.66666666663</v>
      </c>
      <c r="P28" s="174">
        <f t="shared" si="3"/>
        <v>28410.333333333332</v>
      </c>
      <c r="Q28" s="198">
        <f t="shared" si="11"/>
        <v>653160</v>
      </c>
      <c r="R28" s="173">
        <f>T28-S28</f>
        <v>74393</v>
      </c>
      <c r="S28" s="173">
        <f>(200000-SUM($L$12:$L$23)-SUM($S$12:$S$23))*0.18/6</f>
        <v>2940</v>
      </c>
      <c r="T28" s="198">
        <v>77333</v>
      </c>
      <c r="U28" s="195">
        <f t="shared" si="4"/>
        <v>744230.66666666663</v>
      </c>
      <c r="V28" s="173">
        <f t="shared" si="5"/>
        <v>31350.333333333332</v>
      </c>
      <c r="W28" s="198">
        <f t="shared" si="6"/>
        <v>775581</v>
      </c>
      <c r="X28" s="33">
        <f>640757.44+44010.94</f>
        <v>684768.37999999989</v>
      </c>
      <c r="Y28" s="33">
        <f>22842.7+761.17</f>
        <v>23603.87</v>
      </c>
      <c r="Z28" s="180">
        <f t="shared" si="0"/>
        <v>708372.24999999988</v>
      </c>
      <c r="AA28" s="472">
        <f t="shared" si="8"/>
        <v>-8.6835619756079785E-2</v>
      </c>
      <c r="AB28" s="473"/>
      <c r="AC28" s="273">
        <f t="shared" si="9"/>
        <v>-0.32818615478450497</v>
      </c>
      <c r="AD28" s="263">
        <f t="shared" si="10"/>
        <v>-9.4877728482447091E-2</v>
      </c>
    </row>
    <row r="29" spans="1:32" x14ac:dyDescent="0.25">
      <c r="A29" t="s">
        <v>23</v>
      </c>
      <c r="B29" t="s">
        <v>28</v>
      </c>
      <c r="C29" s="35"/>
      <c r="D29" s="35"/>
      <c r="E29" s="35"/>
      <c r="F29" s="35"/>
      <c r="G29" s="35"/>
      <c r="H29" s="35"/>
      <c r="I29" s="267">
        <f>'Budget07012018 DoNotUseFor2019'!$V$15</f>
        <v>18</v>
      </c>
      <c r="J29" s="35">
        <f>'2018 Actual HC'!C25</f>
        <v>11</v>
      </c>
      <c r="K29" s="195">
        <f>'Budget07012018 DoNotUseFor2019'!$V$28*2</f>
        <v>11840</v>
      </c>
      <c r="L29" s="173"/>
      <c r="M29" s="173"/>
      <c r="N29" s="173"/>
      <c r="O29" s="173">
        <f t="shared" si="2"/>
        <v>11840</v>
      </c>
      <c r="P29" s="174">
        <f t="shared" si="3"/>
        <v>0</v>
      </c>
      <c r="Q29" s="198">
        <f t="shared" si="11"/>
        <v>11840</v>
      </c>
      <c r="R29" s="173"/>
      <c r="S29" s="173"/>
      <c r="T29" s="198"/>
      <c r="U29" s="195">
        <f t="shared" si="4"/>
        <v>11840</v>
      </c>
      <c r="V29" s="173">
        <f t="shared" si="5"/>
        <v>0</v>
      </c>
      <c r="W29" s="198">
        <f t="shared" si="6"/>
        <v>11840</v>
      </c>
      <c r="X29" s="33">
        <v>12305</v>
      </c>
      <c r="Y29" s="33">
        <v>15</v>
      </c>
      <c r="Z29" s="180">
        <f t="shared" si="0"/>
        <v>12320</v>
      </c>
      <c r="AA29" s="472">
        <f t="shared" si="8"/>
        <v>3.778951645672491E-2</v>
      </c>
      <c r="AB29" s="473"/>
      <c r="AC29" s="273">
        <f t="shared" si="9"/>
        <v>1</v>
      </c>
      <c r="AD29" s="263">
        <f t="shared" si="10"/>
        <v>3.896103896103896E-2</v>
      </c>
    </row>
    <row r="30" spans="1:32" x14ac:dyDescent="0.25">
      <c r="A30" t="s">
        <v>24</v>
      </c>
      <c r="B30" t="s">
        <v>27</v>
      </c>
      <c r="C30" s="172">
        <f>'2017-18 Budget'!Y$37</f>
        <v>147</v>
      </c>
      <c r="D30" s="35">
        <f>'2018 Actual HC'!D27</f>
        <v>142</v>
      </c>
      <c r="E30" s="35">
        <v>9</v>
      </c>
      <c r="F30" s="35">
        <v>9</v>
      </c>
      <c r="G30" s="172">
        <f>C30+E30</f>
        <v>156</v>
      </c>
      <c r="H30" s="35">
        <f>D30+F30</f>
        <v>151</v>
      </c>
      <c r="I30" s="268"/>
      <c r="J30" s="35"/>
      <c r="K30" s="195">
        <f>'2017-18 Budget'!Y32-L30-K31-L31</f>
        <v>625826.66666666663</v>
      </c>
      <c r="L30" s="173">
        <f>200000*0.82/6</f>
        <v>27333.333333333332</v>
      </c>
      <c r="M30" s="173">
        <f>'BW PKY-2018'!M3</f>
        <v>50766</v>
      </c>
      <c r="N30" s="173">
        <f>'BW PKY-2018'!M$5</f>
        <v>3737</v>
      </c>
      <c r="O30" s="173">
        <f t="shared" si="2"/>
        <v>676592.66666666663</v>
      </c>
      <c r="P30" s="174">
        <f t="shared" si="3"/>
        <v>31070.333333333332</v>
      </c>
      <c r="Q30" s="198">
        <f t="shared" si="11"/>
        <v>653160</v>
      </c>
      <c r="R30" s="173">
        <f>T30-S30</f>
        <v>74393</v>
      </c>
      <c r="S30" s="173">
        <f>(200000-SUM($L$12:$L$23)-SUM($S$12:$S$23))*0.18/6</f>
        <v>2940</v>
      </c>
      <c r="T30" s="198">
        <v>77333</v>
      </c>
      <c r="U30" s="195">
        <f t="shared" si="4"/>
        <v>750985.66666666663</v>
      </c>
      <c r="V30" s="173">
        <f t="shared" si="5"/>
        <v>34010.333333333328</v>
      </c>
      <c r="W30" s="198">
        <f t="shared" si="6"/>
        <v>784996</v>
      </c>
      <c r="X30" s="33">
        <f>604019.49+44010.94</f>
        <v>648030.42999999993</v>
      </c>
      <c r="Y30" s="33">
        <f>24841.87+4452.27</f>
        <v>29294.14</v>
      </c>
      <c r="Z30" s="180">
        <f t="shared" si="0"/>
        <v>677324.57</v>
      </c>
      <c r="AA30" s="472">
        <f t="shared" si="8"/>
        <v>-0.158874077358785</v>
      </c>
      <c r="AB30" s="473"/>
      <c r="AC30" s="273">
        <f t="shared" si="9"/>
        <v>-0.16099442869233674</v>
      </c>
      <c r="AD30" s="263">
        <f t="shared" si="10"/>
        <v>-0.15896578209173787</v>
      </c>
    </row>
    <row r="31" spans="1:32" x14ac:dyDescent="0.25">
      <c r="A31" t="s">
        <v>24</v>
      </c>
      <c r="B31" t="s">
        <v>28</v>
      </c>
      <c r="C31" s="172"/>
      <c r="D31" s="35"/>
      <c r="E31" s="35"/>
      <c r="F31" s="35"/>
      <c r="G31" s="172"/>
      <c r="H31" s="35"/>
      <c r="I31" s="267">
        <f>'Budget07012018 DoNotUseFor2019'!$V$15</f>
        <v>18</v>
      </c>
      <c r="J31" s="35">
        <f>'2018 Actual HC'!C27</f>
        <v>12</v>
      </c>
      <c r="K31" s="195">
        <f>'Budget07012018 DoNotUseFor2019'!$V$28*2</f>
        <v>11840</v>
      </c>
      <c r="L31" s="173"/>
      <c r="M31" s="173"/>
      <c r="N31" s="173"/>
      <c r="O31" s="173">
        <f t="shared" si="2"/>
        <v>11840</v>
      </c>
      <c r="P31" s="174">
        <f t="shared" si="3"/>
        <v>0</v>
      </c>
      <c r="Q31" s="198">
        <f t="shared" si="11"/>
        <v>11840</v>
      </c>
      <c r="R31" s="173"/>
      <c r="S31" s="173"/>
      <c r="T31" s="198"/>
      <c r="U31" s="195">
        <f t="shared" si="4"/>
        <v>11840</v>
      </c>
      <c r="V31" s="173">
        <f t="shared" si="5"/>
        <v>0</v>
      </c>
      <c r="W31" s="198">
        <f t="shared" si="6"/>
        <v>11840</v>
      </c>
      <c r="X31" s="33">
        <v>12802</v>
      </c>
      <c r="Y31" s="33">
        <v>0</v>
      </c>
      <c r="Z31" s="180">
        <f t="shared" si="0"/>
        <v>12802</v>
      </c>
      <c r="AA31" s="472">
        <f t="shared" si="8"/>
        <v>7.5144508670520235E-2</v>
      </c>
      <c r="AB31" s="473"/>
      <c r="AC31" s="409">
        <v>0</v>
      </c>
      <c r="AD31" s="263">
        <f t="shared" si="10"/>
        <v>7.5144508670520235E-2</v>
      </c>
    </row>
    <row r="32" spans="1:32" x14ac:dyDescent="0.25">
      <c r="A32" t="s">
        <v>25</v>
      </c>
      <c r="B32" t="s">
        <v>27</v>
      </c>
      <c r="C32" s="172">
        <f>'2017-18 Budget'!Z$37</f>
        <v>147</v>
      </c>
      <c r="D32" s="35">
        <f>'2018 Actual HC'!D29</f>
        <v>141</v>
      </c>
      <c r="E32" s="35">
        <v>9</v>
      </c>
      <c r="F32" s="35">
        <v>9</v>
      </c>
      <c r="G32" s="172">
        <f>C32+E32</f>
        <v>156</v>
      </c>
      <c r="H32" s="35">
        <f>D32+F32</f>
        <v>150</v>
      </c>
      <c r="I32" s="268"/>
      <c r="J32" s="35"/>
      <c r="K32" s="195">
        <f>'2017-18 Budget'!Z32-L32-K33-L33</f>
        <v>625826.66666666663</v>
      </c>
      <c r="L32" s="173">
        <f>200000*0.82/6</f>
        <v>27333.333333333332</v>
      </c>
      <c r="M32" s="173">
        <f>'BW PKY-2018'!N3</f>
        <v>48565</v>
      </c>
      <c r="N32" s="173">
        <f>'BW PKY-2018'!N$5</f>
        <v>3559</v>
      </c>
      <c r="O32" s="173">
        <f t="shared" si="2"/>
        <v>674391.66666666663</v>
      </c>
      <c r="P32" s="174">
        <f t="shared" si="3"/>
        <v>30892.333333333332</v>
      </c>
      <c r="Q32" s="198">
        <f t="shared" si="11"/>
        <v>653160</v>
      </c>
      <c r="R32" s="173">
        <f>T32-S32</f>
        <v>74393</v>
      </c>
      <c r="S32" s="173">
        <f>(200000-SUM($L$12:$L$23)-SUM($S$12:$S$23))*0.18/6</f>
        <v>2940</v>
      </c>
      <c r="T32" s="198">
        <v>77333</v>
      </c>
      <c r="U32" s="195">
        <f t="shared" si="4"/>
        <v>748784.66666666663</v>
      </c>
      <c r="V32" s="173">
        <f t="shared" si="5"/>
        <v>33832.333333333328</v>
      </c>
      <c r="W32" s="198">
        <f t="shared" si="6"/>
        <v>782617</v>
      </c>
      <c r="X32" s="33">
        <f>599006.33+44755.62</f>
        <v>643761.94999999995</v>
      </c>
      <c r="Y32" s="33">
        <f>31919.21+4095.53</f>
        <v>36014.74</v>
      </c>
      <c r="Z32" s="180">
        <f t="shared" si="0"/>
        <v>679776.69</v>
      </c>
      <c r="AA32" s="472">
        <f t="shared" si="8"/>
        <v>-0.16313905577467988</v>
      </c>
      <c r="AB32" s="473"/>
      <c r="AC32" s="273">
        <f t="shared" si="9"/>
        <v>6.0597596058354707E-2</v>
      </c>
      <c r="AD32" s="263">
        <f t="shared" si="10"/>
        <v>-0.15128543169081021</v>
      </c>
    </row>
    <row r="33" spans="1:30" x14ac:dyDescent="0.25">
      <c r="A33" t="s">
        <v>25</v>
      </c>
      <c r="B33" t="s">
        <v>28</v>
      </c>
      <c r="C33" s="35"/>
      <c r="D33" s="35"/>
      <c r="E33" s="35"/>
      <c r="F33" s="35"/>
      <c r="G33" s="35"/>
      <c r="H33" s="35"/>
      <c r="I33" s="267">
        <f>'Budget07012018 DoNotUseFor2019'!$V$15</f>
        <v>18</v>
      </c>
      <c r="J33" s="35">
        <f>'2018 Actual HC'!C29</f>
        <v>9</v>
      </c>
      <c r="K33" s="195">
        <f>'Budget07012018 DoNotUseFor2019'!$V$28*2</f>
        <v>11840</v>
      </c>
      <c r="L33" s="173"/>
      <c r="M33" s="173"/>
      <c r="N33" s="173"/>
      <c r="O33" s="173">
        <f t="shared" si="2"/>
        <v>11840</v>
      </c>
      <c r="P33" s="174">
        <f t="shared" si="3"/>
        <v>0</v>
      </c>
      <c r="Q33" s="198">
        <f t="shared" si="11"/>
        <v>11840</v>
      </c>
      <c r="R33" s="173"/>
      <c r="S33" s="173"/>
      <c r="T33" s="198"/>
      <c r="U33" s="195">
        <f t="shared" si="4"/>
        <v>11840</v>
      </c>
      <c r="V33" s="173">
        <f t="shared" si="5"/>
        <v>0</v>
      </c>
      <c r="W33" s="198">
        <f t="shared" si="6"/>
        <v>11840</v>
      </c>
      <c r="X33" s="33">
        <v>8228</v>
      </c>
      <c r="Y33" s="33">
        <v>60</v>
      </c>
      <c r="Z33" s="180">
        <f t="shared" si="0"/>
        <v>8288</v>
      </c>
      <c r="AA33" s="472">
        <f t="shared" si="8"/>
        <v>-0.43898881866796308</v>
      </c>
      <c r="AB33" s="473"/>
      <c r="AC33" s="273">
        <f t="shared" si="9"/>
        <v>1</v>
      </c>
      <c r="AD33" s="263">
        <f t="shared" si="10"/>
        <v>-0.42857142857142855</v>
      </c>
    </row>
    <row r="34" spans="1:30" x14ac:dyDescent="0.25">
      <c r="A34" t="s">
        <v>26</v>
      </c>
      <c r="B34" t="s">
        <v>27</v>
      </c>
      <c r="C34" s="172">
        <f>'2017-18 Budget'!AA$37</f>
        <v>147</v>
      </c>
      <c r="D34" s="35">
        <f>'2018 Actual HC'!D31</f>
        <v>142</v>
      </c>
      <c r="E34" s="35">
        <v>9</v>
      </c>
      <c r="F34" s="35">
        <v>9</v>
      </c>
      <c r="G34" s="172">
        <f>C34+E34</f>
        <v>156</v>
      </c>
      <c r="H34" s="35">
        <f>D34+F34</f>
        <v>151</v>
      </c>
      <c r="I34" s="268"/>
      <c r="J34" s="35"/>
      <c r="K34" s="195">
        <f>'2017-18 Budget'!AA32-L34-K35-L35</f>
        <v>627826.66666666663</v>
      </c>
      <c r="L34" s="173">
        <f>200000*0.82/6</f>
        <v>27333.333333333332</v>
      </c>
      <c r="M34" s="173">
        <f>'BW PKY-2018'!O3</f>
        <v>46364</v>
      </c>
      <c r="N34" s="173">
        <f>'BW PKY-2018'!O$5</f>
        <v>11106</v>
      </c>
      <c r="O34" s="173">
        <f t="shared" si="2"/>
        <v>674190.66666666663</v>
      </c>
      <c r="P34" s="174">
        <f t="shared" si="3"/>
        <v>38439.333333333328</v>
      </c>
      <c r="Q34" s="198">
        <f t="shared" si="11"/>
        <v>655160</v>
      </c>
      <c r="R34" s="173">
        <f>T34-S34</f>
        <v>74395</v>
      </c>
      <c r="S34" s="173">
        <f>(200000-SUM($L$12:$L$23)-SUM($S$12:$S$23))*0.18/6</f>
        <v>2940</v>
      </c>
      <c r="T34" s="198">
        <v>77335</v>
      </c>
      <c r="U34" s="195">
        <f t="shared" si="4"/>
        <v>748585.66666666663</v>
      </c>
      <c r="V34" s="173">
        <f t="shared" si="5"/>
        <v>41379.333333333328</v>
      </c>
      <c r="W34" s="198">
        <f t="shared" si="6"/>
        <v>789965</v>
      </c>
      <c r="X34" s="33">
        <f>588638.75+45500.3</f>
        <v>634139.05000000005</v>
      </c>
      <c r="Y34" s="33">
        <f>30005.93+8729.51</f>
        <v>38735.440000000002</v>
      </c>
      <c r="Z34" s="180">
        <f t="shared" si="0"/>
        <v>672874.49</v>
      </c>
      <c r="AA34" s="472">
        <f t="shared" si="8"/>
        <v>-0.18047558601960653</v>
      </c>
      <c r="AB34" s="473"/>
      <c r="AC34" s="273">
        <f t="shared" si="9"/>
        <v>-6.8255151699150085E-2</v>
      </c>
      <c r="AD34" s="263">
        <f t="shared" si="10"/>
        <v>-0.17401537989647967</v>
      </c>
    </row>
    <row r="35" spans="1:30" x14ac:dyDescent="0.25">
      <c r="A35" t="s">
        <v>26</v>
      </c>
      <c r="B35" t="s">
        <v>28</v>
      </c>
      <c r="C35" s="175"/>
      <c r="D35" s="175"/>
      <c r="E35" s="175"/>
      <c r="F35" s="175"/>
      <c r="G35" s="175"/>
      <c r="H35" s="175"/>
      <c r="I35" s="269">
        <f>'Budget07012018 DoNotUseFor2019'!$V$15</f>
        <v>18</v>
      </c>
      <c r="J35" s="175">
        <f>'2018 Actual HC'!C31</f>
        <v>6</v>
      </c>
      <c r="K35" s="196">
        <f>'Budget07012018 DoNotUseFor2019'!$V$28*2</f>
        <v>11840</v>
      </c>
      <c r="L35" s="176"/>
      <c r="M35" s="177"/>
      <c r="N35" s="177"/>
      <c r="O35" s="176">
        <f t="shared" si="2"/>
        <v>11840</v>
      </c>
      <c r="P35" s="177">
        <f t="shared" si="3"/>
        <v>0</v>
      </c>
      <c r="Q35" s="199">
        <f t="shared" si="11"/>
        <v>11840</v>
      </c>
      <c r="R35" s="176"/>
      <c r="S35" s="176"/>
      <c r="T35" s="199"/>
      <c r="U35" s="196">
        <f t="shared" si="4"/>
        <v>11840</v>
      </c>
      <c r="V35" s="176">
        <f t="shared" si="5"/>
        <v>0</v>
      </c>
      <c r="W35" s="199">
        <f t="shared" si="6"/>
        <v>11840</v>
      </c>
      <c r="X35" s="176">
        <v>6154</v>
      </c>
      <c r="Y35" s="176">
        <v>45</v>
      </c>
      <c r="Z35" s="182">
        <f t="shared" si="0"/>
        <v>6199</v>
      </c>
      <c r="AA35" s="470">
        <f t="shared" si="8"/>
        <v>-0.92395190120246995</v>
      </c>
      <c r="AB35" s="471"/>
      <c r="AC35" s="402">
        <f t="shared" si="9"/>
        <v>1</v>
      </c>
      <c r="AD35" s="264">
        <f t="shared" si="10"/>
        <v>-0.90998548152927894</v>
      </c>
    </row>
    <row r="36" spans="1:30" x14ac:dyDescent="0.25">
      <c r="C36" s="24"/>
      <c r="D36" s="24"/>
      <c r="E36" s="24"/>
      <c r="F36" s="24"/>
      <c r="G36" s="24"/>
      <c r="H36" s="24"/>
      <c r="U36" s="330" t="s">
        <v>423</v>
      </c>
      <c r="V36" s="173"/>
      <c r="W36" s="198"/>
      <c r="X36" s="33"/>
      <c r="Y36" s="33"/>
      <c r="Z36" s="34"/>
      <c r="AA36" s="15"/>
      <c r="AB36" s="410"/>
      <c r="AC36" s="15"/>
      <c r="AD36" s="15"/>
    </row>
    <row r="37" spans="1:30" x14ac:dyDescent="0.25">
      <c r="B37" s="407" t="s">
        <v>1176</v>
      </c>
      <c r="C37" s="60"/>
      <c r="D37" s="60"/>
      <c r="E37" s="60"/>
      <c r="F37" s="60"/>
      <c r="G37" s="60">
        <f>AVERAGE(G12:G35)</f>
        <v>157.5</v>
      </c>
      <c r="H37" s="60">
        <f>AVERAGE(H12:H35)</f>
        <v>153.5</v>
      </c>
      <c r="I37" s="60"/>
      <c r="J37" s="60"/>
      <c r="K37" s="18">
        <f t="shared" ref="K37:Z37" si="12">SUM(K12:K35)</f>
        <v>7610160.0000000019</v>
      </c>
      <c r="L37" s="18">
        <f t="shared" si="12"/>
        <v>257840.00000000003</v>
      </c>
      <c r="M37" s="18">
        <f t="shared" si="12"/>
        <v>572045</v>
      </c>
      <c r="N37" s="18">
        <f t="shared" si="12"/>
        <v>60000</v>
      </c>
      <c r="O37" s="18">
        <f t="shared" si="12"/>
        <v>8182205.0000000019</v>
      </c>
      <c r="P37" s="18">
        <f t="shared" si="12"/>
        <v>317840</v>
      </c>
      <c r="Q37" s="18">
        <f t="shared" si="12"/>
        <v>8187525</v>
      </c>
      <c r="R37" s="18">
        <f t="shared" ref="R37:W37" si="13">SUM(R12:R35)</f>
        <v>888200</v>
      </c>
      <c r="S37" s="18">
        <f t="shared" si="13"/>
        <v>25800</v>
      </c>
      <c r="T37" s="18">
        <f t="shared" si="13"/>
        <v>914000</v>
      </c>
      <c r="U37" s="34">
        <f t="shared" si="13"/>
        <v>9070405.0000000019</v>
      </c>
      <c r="V37" s="34">
        <f t="shared" si="13"/>
        <v>343640</v>
      </c>
      <c r="W37" s="34">
        <f t="shared" si="13"/>
        <v>9414045</v>
      </c>
      <c r="X37" s="18">
        <f t="shared" si="12"/>
        <v>8360034.8999999994</v>
      </c>
      <c r="Y37" s="18">
        <f t="shared" si="12"/>
        <v>355886.69999999995</v>
      </c>
      <c r="Z37" s="18">
        <f t="shared" si="12"/>
        <v>8715921.6000000015</v>
      </c>
      <c r="AA37" s="157">
        <f>(X37-U37)/X37</f>
        <v>-8.4972145271786176E-2</v>
      </c>
      <c r="AB37" s="157" t="s">
        <v>1179</v>
      </c>
      <c r="AC37" s="15">
        <f>(Y37-V37)/Y37</f>
        <v>3.4411794540228545E-2</v>
      </c>
      <c r="AD37" s="404">
        <f>(Z37-W37)/Z37</f>
        <v>-8.0097485043922195E-2</v>
      </c>
    </row>
    <row r="38" spans="1:30" x14ac:dyDescent="0.25">
      <c r="W38" s="18"/>
    </row>
    <row r="40" spans="1:30" x14ac:dyDescent="0.25">
      <c r="A40" t="s">
        <v>701</v>
      </c>
      <c r="B40" t="s">
        <v>702</v>
      </c>
      <c r="D40" s="74"/>
      <c r="E40" s="74"/>
      <c r="F40" s="74"/>
      <c r="G40" s="74"/>
      <c r="H40" s="74"/>
    </row>
    <row r="41" spans="1:30" x14ac:dyDescent="0.25">
      <c r="A41" s="166" t="s">
        <v>703</v>
      </c>
      <c r="B41" s="474" t="s">
        <v>740</v>
      </c>
      <c r="C41" s="474"/>
      <c r="D41" s="474"/>
      <c r="E41" s="474"/>
      <c r="F41" s="474"/>
      <c r="G41" s="474"/>
      <c r="H41" s="474"/>
      <c r="I41" s="474"/>
      <c r="J41" s="474"/>
      <c r="K41" s="474"/>
      <c r="L41" s="474"/>
      <c r="M41" s="474"/>
      <c r="N41" s="474"/>
      <c r="O41" s="474"/>
      <c r="P41" s="474"/>
      <c r="Q41" s="474"/>
      <c r="R41" s="474"/>
      <c r="S41" s="474"/>
      <c r="T41" s="474"/>
      <c r="U41" s="474"/>
      <c r="V41" s="474"/>
      <c r="W41" s="474"/>
      <c r="X41" s="474"/>
      <c r="Y41" s="474"/>
      <c r="Z41" s="474"/>
      <c r="AA41" s="474"/>
      <c r="AB41" s="474"/>
      <c r="AC41" s="474"/>
      <c r="AD41" s="474"/>
    </row>
    <row r="42" spans="1:30" x14ac:dyDescent="0.25">
      <c r="A42" t="s">
        <v>704</v>
      </c>
      <c r="B42" s="469" t="s">
        <v>1177</v>
      </c>
      <c r="C42" s="469"/>
      <c r="D42" s="469"/>
      <c r="E42" s="469"/>
      <c r="F42" s="469"/>
      <c r="G42" s="469"/>
      <c r="H42" s="469"/>
      <c r="I42" s="469"/>
      <c r="J42" s="469"/>
      <c r="K42" s="469"/>
      <c r="L42" s="469"/>
      <c r="M42" s="469"/>
      <c r="N42" s="469"/>
      <c r="O42" s="469"/>
      <c r="P42" s="469"/>
      <c r="Q42" s="469"/>
      <c r="R42" s="469"/>
      <c r="S42" s="469"/>
      <c r="T42" s="469"/>
      <c r="U42" s="469"/>
      <c r="V42" s="469"/>
      <c r="W42" s="469"/>
      <c r="X42" s="469"/>
      <c r="Y42" s="469"/>
      <c r="Z42" s="469"/>
      <c r="AA42" s="469"/>
      <c r="AB42" s="469"/>
      <c r="AC42" s="469"/>
    </row>
    <row r="43" spans="1:30" x14ac:dyDescent="0.25">
      <c r="B43" s="469"/>
      <c r="C43" s="469"/>
      <c r="D43" s="469"/>
      <c r="E43" s="469"/>
      <c r="F43" s="469"/>
      <c r="G43" s="469"/>
      <c r="H43" s="469"/>
      <c r="I43" s="469"/>
      <c r="J43" s="469"/>
      <c r="K43" s="469"/>
      <c r="L43" s="469"/>
      <c r="M43" s="469"/>
      <c r="N43" s="469"/>
      <c r="O43" s="469"/>
      <c r="P43" s="469"/>
      <c r="Q43" s="469"/>
      <c r="R43" s="469"/>
      <c r="S43" s="469"/>
      <c r="T43" s="469"/>
      <c r="U43" s="469"/>
      <c r="V43" s="469"/>
      <c r="W43" s="469"/>
      <c r="X43" s="469"/>
      <c r="Y43" s="469"/>
      <c r="Z43" s="469"/>
      <c r="AA43" s="469"/>
      <c r="AB43" s="469"/>
      <c r="AC43" s="469"/>
    </row>
    <row r="44" spans="1:30" x14ac:dyDescent="0.25">
      <c r="B44" s="469"/>
      <c r="C44" s="469"/>
      <c r="D44" s="469"/>
      <c r="E44" s="469"/>
      <c r="F44" s="469"/>
      <c r="G44" s="469"/>
      <c r="H44" s="469"/>
      <c r="I44" s="469"/>
      <c r="J44" s="469"/>
      <c r="K44" s="469"/>
      <c r="L44" s="469"/>
      <c r="M44" s="469"/>
      <c r="N44" s="469"/>
      <c r="O44" s="469"/>
      <c r="P44" s="469"/>
      <c r="Q44" s="469"/>
      <c r="R44" s="469"/>
      <c r="S44" s="469"/>
      <c r="T44" s="469"/>
      <c r="U44" s="469"/>
      <c r="V44" s="469"/>
      <c r="W44" s="469"/>
      <c r="X44" s="469"/>
      <c r="Y44" s="469"/>
      <c r="Z44" s="469"/>
      <c r="AA44" s="469"/>
      <c r="AB44" s="469"/>
      <c r="AC44" s="469"/>
    </row>
    <row r="45" spans="1:30" s="152" customFormat="1" x14ac:dyDescent="0.25">
      <c r="A45" s="167" t="s">
        <v>828</v>
      </c>
      <c r="D45" s="165"/>
      <c r="E45" s="165"/>
      <c r="F45" s="165"/>
      <c r="G45" s="165"/>
      <c r="H45" s="165"/>
      <c r="AB45" s="340"/>
    </row>
    <row r="46" spans="1:30" x14ac:dyDescent="0.25">
      <c r="D46" s="74"/>
      <c r="E46" s="74"/>
      <c r="F46" s="74"/>
      <c r="G46" s="74"/>
      <c r="H46" s="74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5"/>
    </row>
    <row r="47" spans="1:30" x14ac:dyDescent="0.25">
      <c r="D47" s="74"/>
      <c r="E47" s="74"/>
      <c r="F47" s="74"/>
      <c r="G47" s="74"/>
      <c r="H47" s="74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5"/>
    </row>
    <row r="48" spans="1:30" x14ac:dyDescent="0.25"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</row>
  </sheetData>
  <mergeCells count="36">
    <mergeCell ref="A5:AD5"/>
    <mergeCell ref="A3:AD3"/>
    <mergeCell ref="A2:AD2"/>
    <mergeCell ref="C10:D10"/>
    <mergeCell ref="I10:J10"/>
    <mergeCell ref="K10:Q10"/>
    <mergeCell ref="X10:Z10"/>
    <mergeCell ref="R10:T10"/>
    <mergeCell ref="AA10:AD10"/>
    <mergeCell ref="A10:A11"/>
    <mergeCell ref="B10:B11"/>
    <mergeCell ref="AA11:AB11"/>
    <mergeCell ref="A6:AD6"/>
    <mergeCell ref="U10:W10"/>
    <mergeCell ref="G10:H10"/>
    <mergeCell ref="E10:F10"/>
    <mergeCell ref="AA31:AB31"/>
    <mergeCell ref="AA30:AB30"/>
    <mergeCell ref="AA29:AB29"/>
    <mergeCell ref="AA28:AB28"/>
    <mergeCell ref="AA27:AB27"/>
    <mergeCell ref="AA21:AB21"/>
    <mergeCell ref="AA20:AB20"/>
    <mergeCell ref="AA19:AB19"/>
    <mergeCell ref="AA18:AB18"/>
    <mergeCell ref="AA26:AB26"/>
    <mergeCell ref="AA25:AB25"/>
    <mergeCell ref="AA24:AB24"/>
    <mergeCell ref="AA23:AB23"/>
    <mergeCell ref="AA22:AB22"/>
    <mergeCell ref="B42:AC44"/>
    <mergeCell ref="AA35:AB35"/>
    <mergeCell ref="AA34:AB34"/>
    <mergeCell ref="AA33:AB33"/>
    <mergeCell ref="AA32:AB32"/>
    <mergeCell ref="B41:AD41"/>
  </mergeCells>
  <pageMargins left="0.2" right="0.2" top="0.25" bottom="0.25" header="0.3" footer="0.3"/>
  <pageSetup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"/>
  <sheetViews>
    <sheetView workbookViewId="0">
      <selection activeCell="D18" sqref="D18"/>
    </sheetView>
  </sheetViews>
  <sheetFormatPr defaultRowHeight="15" x14ac:dyDescent="0.25"/>
  <cols>
    <col min="3" max="3" width="23.42578125" customWidth="1"/>
    <col min="16" max="16" width="13.140625" customWidth="1"/>
  </cols>
  <sheetData>
    <row r="1" spans="1:16" x14ac:dyDescent="0.25">
      <c r="A1" s="232" t="s">
        <v>747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</row>
    <row r="2" spans="1:16" ht="22.5" x14ac:dyDescent="0.25">
      <c r="A2" s="42" t="s">
        <v>54</v>
      </c>
      <c r="B2" s="42" t="s">
        <v>749</v>
      </c>
      <c r="C2" s="42" t="s">
        <v>54</v>
      </c>
      <c r="D2" s="89" t="s">
        <v>1152</v>
      </c>
      <c r="E2" s="89" t="s">
        <v>1153</v>
      </c>
      <c r="F2" s="89" t="s">
        <v>1154</v>
      </c>
      <c r="G2" s="89" t="s">
        <v>1155</v>
      </c>
      <c r="H2" s="89" t="s">
        <v>1156</v>
      </c>
      <c r="I2" s="89" t="s">
        <v>1157</v>
      </c>
      <c r="J2" s="89" t="s">
        <v>1158</v>
      </c>
      <c r="K2" s="89" t="s">
        <v>1159</v>
      </c>
      <c r="L2" s="89" t="s">
        <v>1160</v>
      </c>
      <c r="M2" s="89" t="s">
        <v>1161</v>
      </c>
      <c r="N2" s="89" t="s">
        <v>1162</v>
      </c>
      <c r="O2" s="89" t="s">
        <v>1163</v>
      </c>
      <c r="P2" s="88" t="s">
        <v>1164</v>
      </c>
    </row>
    <row r="3" spans="1:16" x14ac:dyDescent="0.25">
      <c r="A3" s="39" t="s">
        <v>35</v>
      </c>
      <c r="B3" s="39" t="s">
        <v>764</v>
      </c>
      <c r="C3" s="39" t="s">
        <v>765</v>
      </c>
      <c r="D3" s="14">
        <v>49138</v>
      </c>
      <c r="E3" s="14">
        <v>42729</v>
      </c>
      <c r="F3" s="14">
        <v>48412</v>
      </c>
      <c r="G3" s="14">
        <v>46211</v>
      </c>
      <c r="H3" s="14">
        <v>50613</v>
      </c>
      <c r="I3" s="14">
        <v>46211</v>
      </c>
      <c r="J3" s="14">
        <v>48412</v>
      </c>
      <c r="K3" s="14">
        <v>50613</v>
      </c>
      <c r="L3" s="14">
        <v>44011</v>
      </c>
      <c r="M3" s="14">
        <v>50766</v>
      </c>
      <c r="N3" s="14">
        <v>48565</v>
      </c>
      <c r="O3" s="14">
        <v>46364</v>
      </c>
      <c r="P3" s="403">
        <v>572045</v>
      </c>
    </row>
    <row r="4" spans="1:16" x14ac:dyDescent="0.25">
      <c r="A4" s="39" t="s">
        <v>54</v>
      </c>
      <c r="B4" s="39" t="s">
        <v>767</v>
      </c>
      <c r="C4" s="39" t="s">
        <v>768</v>
      </c>
      <c r="D4" s="14">
        <v>11435</v>
      </c>
      <c r="E4" s="14">
        <v>10010</v>
      </c>
      <c r="F4" s="14">
        <v>11342</v>
      </c>
      <c r="G4" s="14">
        <v>10847</v>
      </c>
      <c r="H4" s="14">
        <v>11875</v>
      </c>
      <c r="I4" s="14">
        <v>10847</v>
      </c>
      <c r="J4" s="14">
        <v>11359</v>
      </c>
      <c r="K4" s="14">
        <v>11875</v>
      </c>
      <c r="L4" s="14">
        <v>10336</v>
      </c>
      <c r="M4" s="14">
        <v>11875</v>
      </c>
      <c r="N4" s="14">
        <v>11359</v>
      </c>
      <c r="O4" s="14">
        <v>10847</v>
      </c>
      <c r="P4" s="14">
        <v>134007</v>
      </c>
    </row>
    <row r="5" spans="1:16" x14ac:dyDescent="0.25">
      <c r="A5" s="39" t="s">
        <v>34</v>
      </c>
      <c r="B5" s="39" t="s">
        <v>771</v>
      </c>
      <c r="C5" s="39" t="s">
        <v>772</v>
      </c>
      <c r="D5" s="14">
        <v>11935</v>
      </c>
      <c r="E5" s="14">
        <v>5974</v>
      </c>
      <c r="F5" s="14">
        <v>10988</v>
      </c>
      <c r="G5" s="14">
        <v>1026</v>
      </c>
      <c r="H5" s="14">
        <v>3472</v>
      </c>
      <c r="I5" s="14">
        <v>2816</v>
      </c>
      <c r="J5" s="14">
        <v>2168</v>
      </c>
      <c r="K5" s="14">
        <v>2142</v>
      </c>
      <c r="L5" s="14">
        <v>1077</v>
      </c>
      <c r="M5" s="14">
        <v>3737</v>
      </c>
      <c r="N5" s="14">
        <v>3559</v>
      </c>
      <c r="O5" s="14">
        <v>11106</v>
      </c>
      <c r="P5" s="403">
        <v>60000</v>
      </c>
    </row>
    <row r="6" spans="1:16" x14ac:dyDescent="0.25">
      <c r="A6" s="39" t="s">
        <v>54</v>
      </c>
      <c r="B6" s="39" t="s">
        <v>774</v>
      </c>
      <c r="C6" s="39" t="s">
        <v>775</v>
      </c>
      <c r="D6" s="14">
        <v>526</v>
      </c>
      <c r="E6" s="14">
        <v>200</v>
      </c>
      <c r="F6" s="14">
        <v>313</v>
      </c>
      <c r="G6" s="14">
        <v>482</v>
      </c>
      <c r="H6" s="14">
        <v>190</v>
      </c>
      <c r="I6" s="14">
        <v>450</v>
      </c>
      <c r="J6" s="14">
        <v>310</v>
      </c>
      <c r="K6" s="14">
        <v>244</v>
      </c>
      <c r="L6" s="14">
        <v>315</v>
      </c>
      <c r="M6" s="14">
        <v>345</v>
      </c>
      <c r="N6" s="14">
        <v>585</v>
      </c>
      <c r="O6" s="14">
        <v>522</v>
      </c>
      <c r="P6" s="14">
        <v>4482</v>
      </c>
    </row>
    <row r="7" spans="1:16" x14ac:dyDescent="0.25">
      <c r="A7" s="39" t="s">
        <v>33</v>
      </c>
      <c r="B7" s="39" t="s">
        <v>796</v>
      </c>
      <c r="C7" s="39" t="s">
        <v>797</v>
      </c>
      <c r="D7" s="14">
        <v>1207</v>
      </c>
      <c r="E7" s="14">
        <v>1050</v>
      </c>
      <c r="F7" s="14">
        <v>1189</v>
      </c>
      <c r="G7" s="14">
        <v>1135</v>
      </c>
      <c r="H7" s="14">
        <v>1243</v>
      </c>
      <c r="I7" s="14">
        <v>1135</v>
      </c>
      <c r="J7" s="14">
        <v>1525</v>
      </c>
      <c r="K7" s="14">
        <v>1595</v>
      </c>
      <c r="L7" s="14">
        <v>1386</v>
      </c>
      <c r="M7" s="14">
        <v>1595</v>
      </c>
      <c r="N7" s="14">
        <v>1525</v>
      </c>
      <c r="O7" s="14">
        <v>1456</v>
      </c>
      <c r="P7" s="14">
        <v>16041</v>
      </c>
    </row>
    <row r="8" spans="1:16" x14ac:dyDescent="0.25">
      <c r="A8" s="39" t="s">
        <v>32</v>
      </c>
      <c r="B8" s="39" t="s">
        <v>799</v>
      </c>
      <c r="C8" s="39" t="s">
        <v>800</v>
      </c>
      <c r="D8" s="14">
        <v>4</v>
      </c>
      <c r="E8" s="14">
        <v>4</v>
      </c>
      <c r="F8" s="14">
        <v>6</v>
      </c>
      <c r="G8" s="14">
        <v>10</v>
      </c>
      <c r="H8" s="14">
        <v>60</v>
      </c>
      <c r="I8" s="14">
        <v>17</v>
      </c>
      <c r="J8" s="14">
        <v>33</v>
      </c>
      <c r="K8" s="14">
        <v>48</v>
      </c>
      <c r="L8" s="14">
        <v>37</v>
      </c>
      <c r="M8" s="14">
        <v>37</v>
      </c>
      <c r="N8" s="14">
        <v>50</v>
      </c>
      <c r="O8" s="14">
        <v>34</v>
      </c>
      <c r="P8" s="14">
        <v>340</v>
      </c>
    </row>
    <row r="9" spans="1:16" x14ac:dyDescent="0.25">
      <c r="A9" s="39" t="s">
        <v>40</v>
      </c>
      <c r="B9" s="39" t="s">
        <v>1165</v>
      </c>
      <c r="C9" s="39" t="s">
        <v>1166</v>
      </c>
      <c r="D9" s="79"/>
      <c r="E9" s="79"/>
      <c r="F9" s="79"/>
      <c r="G9" s="79"/>
      <c r="H9" s="79"/>
      <c r="I9" s="79"/>
      <c r="J9" s="79"/>
      <c r="K9" s="79"/>
      <c r="L9" s="79"/>
      <c r="M9" s="14">
        <v>784</v>
      </c>
      <c r="N9" s="14">
        <v>784</v>
      </c>
      <c r="O9" s="14">
        <v>784</v>
      </c>
      <c r="P9" s="14">
        <v>2352</v>
      </c>
    </row>
    <row r="10" spans="1:16" x14ac:dyDescent="0.25">
      <c r="A10" s="39" t="s">
        <v>54</v>
      </c>
      <c r="B10" s="39" t="s">
        <v>786</v>
      </c>
      <c r="C10" s="39" t="s">
        <v>787</v>
      </c>
      <c r="D10" s="14">
        <v>669</v>
      </c>
      <c r="E10" s="14">
        <v>669</v>
      </c>
      <c r="F10" s="14">
        <v>669</v>
      </c>
      <c r="G10" s="14">
        <v>669</v>
      </c>
      <c r="H10" s="14">
        <v>669</v>
      </c>
      <c r="I10" s="14">
        <v>669</v>
      </c>
      <c r="J10" s="14">
        <v>669</v>
      </c>
      <c r="K10" s="14">
        <v>669</v>
      </c>
      <c r="L10" s="14">
        <v>669</v>
      </c>
      <c r="M10" s="14">
        <v>669</v>
      </c>
      <c r="N10" s="14">
        <v>669</v>
      </c>
      <c r="O10" s="14">
        <v>669</v>
      </c>
      <c r="P10" s="14">
        <v>8028</v>
      </c>
    </row>
    <row r="11" spans="1:16" x14ac:dyDescent="0.25">
      <c r="A11" s="39" t="s">
        <v>54</v>
      </c>
      <c r="B11" s="39" t="s">
        <v>789</v>
      </c>
      <c r="C11" s="39" t="s">
        <v>790</v>
      </c>
      <c r="D11" s="14">
        <v>3635</v>
      </c>
      <c r="E11" s="14">
        <v>3161</v>
      </c>
      <c r="F11" s="14">
        <v>3477</v>
      </c>
      <c r="G11" s="14">
        <v>3319</v>
      </c>
      <c r="H11" s="14">
        <v>3635</v>
      </c>
      <c r="I11" s="14">
        <v>3319</v>
      </c>
      <c r="J11" s="14">
        <v>3477</v>
      </c>
      <c r="K11" s="14">
        <v>3635</v>
      </c>
      <c r="L11" s="14">
        <v>3161</v>
      </c>
      <c r="M11" s="14">
        <v>3635</v>
      </c>
      <c r="N11" s="14">
        <v>3477</v>
      </c>
      <c r="O11" s="14">
        <v>3319</v>
      </c>
      <c r="P11" s="14">
        <v>41250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AA66"/>
  <sheetViews>
    <sheetView topLeftCell="B19" zoomScaleNormal="100" workbookViewId="0">
      <selection activeCell="O66" sqref="O66"/>
    </sheetView>
  </sheetViews>
  <sheetFormatPr defaultRowHeight="15" x14ac:dyDescent="0.25"/>
  <cols>
    <col min="21" max="21" width="13.42578125" customWidth="1"/>
    <col min="22" max="22" width="26.42578125" customWidth="1"/>
    <col min="23" max="26" width="10.7109375" bestFit="1" customWidth="1"/>
    <col min="27" max="27" width="10.5703125" bestFit="1" customWidth="1"/>
  </cols>
  <sheetData>
    <row r="2" spans="3:27" x14ac:dyDescent="0.25">
      <c r="C2" t="s">
        <v>819</v>
      </c>
      <c r="Y2" t="s">
        <v>697</v>
      </c>
      <c r="Z2">
        <f>156+18</f>
        <v>174</v>
      </c>
    </row>
    <row r="6" spans="3:27" x14ac:dyDescent="0.25">
      <c r="V6" t="s">
        <v>694</v>
      </c>
    </row>
    <row r="8" spans="3:27" x14ac:dyDescent="0.25">
      <c r="U8" s="66" t="s">
        <v>732</v>
      </c>
      <c r="V8" s="214">
        <f>192290+83500-AA8</f>
        <v>226009</v>
      </c>
      <c r="W8" s="218"/>
      <c r="X8" s="219"/>
      <c r="Z8" s="66" t="s">
        <v>733</v>
      </c>
      <c r="AA8" s="214">
        <f>49781</f>
        <v>49781</v>
      </c>
    </row>
    <row r="9" spans="3:27" x14ac:dyDescent="0.25">
      <c r="U9" s="66" t="s">
        <v>709</v>
      </c>
      <c r="V9" s="213">
        <f>V8/25</f>
        <v>9040.36</v>
      </c>
      <c r="X9" s="213"/>
      <c r="Z9" s="66" t="s">
        <v>735</v>
      </c>
      <c r="AA9" s="213">
        <f>AA8/25</f>
        <v>1991.24</v>
      </c>
    </row>
    <row r="10" spans="3:27" x14ac:dyDescent="0.25">
      <c r="U10" s="66"/>
      <c r="V10" s="212"/>
      <c r="W10" s="218"/>
      <c r="X10" s="219"/>
      <c r="Z10" s="66"/>
      <c r="AA10" s="13"/>
    </row>
    <row r="11" spans="3:27" x14ac:dyDescent="0.25">
      <c r="V11" s="212"/>
      <c r="X11" s="213"/>
    </row>
    <row r="12" spans="3:27" x14ac:dyDescent="0.25">
      <c r="U12" s="66" t="s">
        <v>723</v>
      </c>
      <c r="V12" s="212">
        <v>140000</v>
      </c>
      <c r="X12" s="219"/>
    </row>
    <row r="13" spans="3:27" x14ac:dyDescent="0.25">
      <c r="U13" s="66" t="s">
        <v>745</v>
      </c>
      <c r="V13" s="169">
        <f>V12/25</f>
        <v>5600</v>
      </c>
      <c r="X13" s="219"/>
    </row>
    <row r="14" spans="3:27" x14ac:dyDescent="0.25">
      <c r="X14" s="213"/>
    </row>
    <row r="15" spans="3:27" x14ac:dyDescent="0.25">
      <c r="U15" s="66" t="s">
        <v>696</v>
      </c>
      <c r="V15">
        <v>18</v>
      </c>
      <c r="X15" s="213"/>
    </row>
    <row r="19" spans="21:27" x14ac:dyDescent="0.25">
      <c r="U19" t="s">
        <v>475</v>
      </c>
    </row>
    <row r="20" spans="21:27" x14ac:dyDescent="0.25">
      <c r="U20" s="66" t="s">
        <v>708</v>
      </c>
      <c r="V20" s="212">
        <f>1316900-49781</f>
        <v>1267119</v>
      </c>
      <c r="X20" t="s">
        <v>821</v>
      </c>
    </row>
    <row r="21" spans="21:27" x14ac:dyDescent="0.25">
      <c r="U21" s="66" t="s">
        <v>738</v>
      </c>
      <c r="V21">
        <v>25</v>
      </c>
      <c r="W21" s="60"/>
      <c r="AA21" s="60"/>
    </row>
    <row r="22" spans="21:27" x14ac:dyDescent="0.25">
      <c r="U22" s="66" t="s">
        <v>709</v>
      </c>
      <c r="V22" s="213">
        <f>V20/V21</f>
        <v>50684.76</v>
      </c>
    </row>
    <row r="25" spans="21:27" x14ac:dyDescent="0.25">
      <c r="U25" s="66" t="s">
        <v>822</v>
      </c>
      <c r="V25" s="246">
        <f>8210900-1316900</f>
        <v>6894000</v>
      </c>
    </row>
    <row r="26" spans="21:27" x14ac:dyDescent="0.25">
      <c r="U26" s="247" t="s">
        <v>823</v>
      </c>
      <c r="V26" s="212">
        <f>142486.41+22+83500</f>
        <v>226008.41</v>
      </c>
    </row>
    <row r="27" spans="21:27" x14ac:dyDescent="0.25">
      <c r="U27" s="247" t="s">
        <v>824</v>
      </c>
      <c r="V27" s="245">
        <v>140000</v>
      </c>
    </row>
    <row r="28" spans="21:27" ht="15.75" thickBot="1" x14ac:dyDescent="0.3">
      <c r="U28" s="66"/>
      <c r="V28" s="248">
        <f>V25-V26-V27</f>
        <v>6527991.5899999999</v>
      </c>
    </row>
    <row r="29" spans="21:27" ht="15.75" thickTop="1" x14ac:dyDescent="0.25">
      <c r="U29" t="s">
        <v>827</v>
      </c>
      <c r="V29" s="13">
        <f>V28/25</f>
        <v>261119.6636</v>
      </c>
    </row>
    <row r="38" spans="21:26" ht="21" x14ac:dyDescent="0.35">
      <c r="U38" s="516" t="s">
        <v>725</v>
      </c>
      <c r="V38" s="517"/>
      <c r="W38" s="517"/>
      <c r="X38" s="517"/>
      <c r="Y38" s="518"/>
    </row>
    <row r="39" spans="21:26" ht="21" x14ac:dyDescent="0.25">
      <c r="U39" s="200"/>
      <c r="V39" s="519" t="s">
        <v>726</v>
      </c>
      <c r="W39" s="520"/>
      <c r="X39" s="520"/>
      <c r="Y39" s="521"/>
    </row>
    <row r="40" spans="21:26" ht="75" x14ac:dyDescent="0.25">
      <c r="U40" s="201" t="s">
        <v>727</v>
      </c>
      <c r="V40" s="201" t="s">
        <v>728</v>
      </c>
      <c r="W40" s="201" t="s">
        <v>729</v>
      </c>
      <c r="X40" s="201" t="s">
        <v>730</v>
      </c>
      <c r="Y40" s="201" t="s">
        <v>368</v>
      </c>
      <c r="Z40" s="207" t="s">
        <v>731</v>
      </c>
    </row>
    <row r="41" spans="21:26" x14ac:dyDescent="0.25">
      <c r="U41" s="202">
        <v>1</v>
      </c>
      <c r="V41" s="203">
        <v>43450</v>
      </c>
      <c r="W41" s="203">
        <v>43463</v>
      </c>
      <c r="X41" s="203">
        <v>43465</v>
      </c>
      <c r="Y41" s="203">
        <v>43469</v>
      </c>
      <c r="Z41" s="208"/>
    </row>
    <row r="42" spans="21:26" x14ac:dyDescent="0.25">
      <c r="U42" s="204">
        <v>1</v>
      </c>
      <c r="V42" s="205">
        <v>43464</v>
      </c>
      <c r="W42" s="205">
        <v>43477</v>
      </c>
      <c r="X42" s="205">
        <v>43479</v>
      </c>
      <c r="Y42" s="205">
        <v>43483</v>
      </c>
      <c r="Z42" s="208">
        <v>1</v>
      </c>
    </row>
    <row r="43" spans="21:26" x14ac:dyDescent="0.25">
      <c r="U43" s="204">
        <v>2</v>
      </c>
      <c r="V43" s="205">
        <v>43478</v>
      </c>
      <c r="W43" s="205">
        <v>43491</v>
      </c>
      <c r="X43" s="205">
        <v>43493</v>
      </c>
      <c r="Y43" s="205">
        <v>43497</v>
      </c>
      <c r="Z43" s="208"/>
    </row>
    <row r="44" spans="21:26" x14ac:dyDescent="0.25">
      <c r="U44" s="204">
        <v>3</v>
      </c>
      <c r="V44" s="205">
        <v>43492</v>
      </c>
      <c r="W44" s="205">
        <v>43505</v>
      </c>
      <c r="X44" s="205">
        <v>43507</v>
      </c>
      <c r="Y44" s="205">
        <v>43511</v>
      </c>
      <c r="Z44" s="208">
        <v>2</v>
      </c>
    </row>
    <row r="45" spans="21:26" x14ac:dyDescent="0.25">
      <c r="U45" s="204">
        <v>4</v>
      </c>
      <c r="V45" s="205">
        <v>43506</v>
      </c>
      <c r="W45" s="205">
        <v>43519</v>
      </c>
      <c r="X45" s="205">
        <v>43521</v>
      </c>
      <c r="Y45" s="205">
        <v>43525</v>
      </c>
      <c r="Z45" s="208"/>
    </row>
    <row r="46" spans="21:26" x14ac:dyDescent="0.25">
      <c r="U46" s="204">
        <v>5</v>
      </c>
      <c r="V46" s="205">
        <v>43520</v>
      </c>
      <c r="W46" s="205">
        <v>43533</v>
      </c>
      <c r="X46" s="205">
        <v>43535</v>
      </c>
      <c r="Y46" s="205">
        <v>43539</v>
      </c>
      <c r="Z46" s="208"/>
    </row>
    <row r="47" spans="21:26" x14ac:dyDescent="0.25">
      <c r="U47" s="206">
        <v>6</v>
      </c>
      <c r="V47" s="205">
        <v>43534</v>
      </c>
      <c r="W47" s="205">
        <v>43547</v>
      </c>
      <c r="X47" s="205">
        <v>43549</v>
      </c>
      <c r="Y47" s="205">
        <v>43553</v>
      </c>
      <c r="Z47" s="208">
        <v>3</v>
      </c>
    </row>
    <row r="48" spans="21:26" x14ac:dyDescent="0.25">
      <c r="U48" s="206">
        <v>7</v>
      </c>
      <c r="V48" s="203">
        <v>43548</v>
      </c>
      <c r="W48" s="203">
        <v>43561</v>
      </c>
      <c r="X48" s="203">
        <v>43563</v>
      </c>
      <c r="Y48" s="203">
        <v>43567</v>
      </c>
      <c r="Z48" s="208"/>
    </row>
    <row r="49" spans="21:26" x14ac:dyDescent="0.25">
      <c r="U49" s="206">
        <v>8</v>
      </c>
      <c r="V49" s="203">
        <v>43562</v>
      </c>
      <c r="W49" s="203">
        <v>43575</v>
      </c>
      <c r="X49" s="203">
        <v>43577</v>
      </c>
      <c r="Y49" s="203">
        <v>43581</v>
      </c>
      <c r="Z49" s="208">
        <v>2</v>
      </c>
    </row>
    <row r="50" spans="21:26" x14ac:dyDescent="0.25">
      <c r="U50" s="206">
        <v>9</v>
      </c>
      <c r="V50" s="203">
        <v>43576</v>
      </c>
      <c r="W50" s="203">
        <v>43589</v>
      </c>
      <c r="X50" s="203">
        <v>43591</v>
      </c>
      <c r="Y50" s="203">
        <v>43595</v>
      </c>
      <c r="Z50" s="208"/>
    </row>
    <row r="51" spans="21:26" x14ac:dyDescent="0.25">
      <c r="U51" s="206">
        <v>10</v>
      </c>
      <c r="V51" s="203">
        <v>43590</v>
      </c>
      <c r="W51" s="203">
        <v>43603</v>
      </c>
      <c r="X51" s="203">
        <v>43605</v>
      </c>
      <c r="Y51" s="203">
        <v>43609</v>
      </c>
      <c r="Z51" s="208">
        <v>2</v>
      </c>
    </row>
    <row r="52" spans="21:26" x14ac:dyDescent="0.25">
      <c r="U52" s="206">
        <v>11</v>
      </c>
      <c r="V52" s="203">
        <v>43604</v>
      </c>
      <c r="W52" s="203">
        <v>43617</v>
      </c>
      <c r="X52" s="203">
        <v>43619</v>
      </c>
      <c r="Y52" s="203">
        <v>43623</v>
      </c>
      <c r="Z52" s="208"/>
    </row>
    <row r="53" spans="21:26" x14ac:dyDescent="0.25">
      <c r="U53" s="206">
        <v>12</v>
      </c>
      <c r="V53" s="203">
        <v>43618</v>
      </c>
      <c r="W53" s="203">
        <v>43631</v>
      </c>
      <c r="X53" s="203">
        <v>43633</v>
      </c>
      <c r="Y53" s="203">
        <v>43637</v>
      </c>
      <c r="Z53" s="211">
        <v>2</v>
      </c>
    </row>
    <row r="54" spans="21:26" x14ac:dyDescent="0.25">
      <c r="U54" s="209">
        <v>13</v>
      </c>
      <c r="V54" s="210">
        <v>43632</v>
      </c>
      <c r="W54" s="210">
        <v>43645</v>
      </c>
      <c r="X54" s="210">
        <v>43647</v>
      </c>
      <c r="Y54" s="210">
        <v>43651</v>
      </c>
      <c r="Z54" s="208"/>
    </row>
    <row r="55" spans="21:26" x14ac:dyDescent="0.25">
      <c r="U55" s="206">
        <v>14</v>
      </c>
      <c r="V55" s="203">
        <v>43646</v>
      </c>
      <c r="W55" s="203">
        <v>43659</v>
      </c>
      <c r="X55" s="203">
        <v>43661</v>
      </c>
      <c r="Y55" s="203">
        <v>43665</v>
      </c>
      <c r="Z55" s="208">
        <v>2</v>
      </c>
    </row>
    <row r="56" spans="21:26" x14ac:dyDescent="0.25">
      <c r="U56" s="209">
        <v>15</v>
      </c>
      <c r="V56" s="210">
        <v>43660</v>
      </c>
      <c r="W56" s="210">
        <v>43673</v>
      </c>
      <c r="X56" s="210">
        <v>43675</v>
      </c>
      <c r="Y56" s="210">
        <v>43679</v>
      </c>
      <c r="Z56" s="208"/>
    </row>
    <row r="57" spans="21:26" x14ac:dyDescent="0.25">
      <c r="U57" s="206">
        <v>16</v>
      </c>
      <c r="V57" s="203">
        <v>43674</v>
      </c>
      <c r="W57" s="203">
        <v>43687</v>
      </c>
      <c r="X57" s="203">
        <v>43689</v>
      </c>
      <c r="Y57" s="203">
        <v>43693</v>
      </c>
      <c r="Z57" s="208"/>
    </row>
    <row r="58" spans="21:26" x14ac:dyDescent="0.25">
      <c r="U58" s="206">
        <v>17</v>
      </c>
      <c r="V58" s="203">
        <v>43688</v>
      </c>
      <c r="W58" s="203">
        <v>43701</v>
      </c>
      <c r="X58" s="203">
        <v>43703</v>
      </c>
      <c r="Y58" s="203">
        <v>43707</v>
      </c>
      <c r="Z58" s="208">
        <v>3</v>
      </c>
    </row>
    <row r="59" spans="21:26" x14ac:dyDescent="0.25">
      <c r="U59" s="206">
        <v>18</v>
      </c>
      <c r="V59" s="203">
        <v>43702</v>
      </c>
      <c r="W59" s="203">
        <v>43715</v>
      </c>
      <c r="X59" s="203">
        <v>43717</v>
      </c>
      <c r="Y59" s="203">
        <v>43721</v>
      </c>
      <c r="Z59" s="208">
        <v>2</v>
      </c>
    </row>
    <row r="60" spans="21:26" x14ac:dyDescent="0.25">
      <c r="U60" s="206">
        <v>19</v>
      </c>
      <c r="V60" s="203">
        <v>43716</v>
      </c>
      <c r="W60" s="203">
        <v>43729</v>
      </c>
      <c r="X60" s="203">
        <v>43731</v>
      </c>
      <c r="Y60" s="203">
        <v>43735</v>
      </c>
      <c r="Z60" s="208"/>
    </row>
    <row r="61" spans="21:26" x14ac:dyDescent="0.25">
      <c r="U61" s="206">
        <v>20</v>
      </c>
      <c r="V61" s="203">
        <v>43730</v>
      </c>
      <c r="W61" s="203">
        <v>43743</v>
      </c>
      <c r="X61" s="203">
        <v>43745</v>
      </c>
      <c r="Y61" s="203">
        <v>43749</v>
      </c>
      <c r="Z61" s="208"/>
    </row>
    <row r="62" spans="21:26" x14ac:dyDescent="0.25">
      <c r="U62" s="206">
        <v>21</v>
      </c>
      <c r="V62" s="203">
        <v>43744</v>
      </c>
      <c r="W62" s="203">
        <v>43757</v>
      </c>
      <c r="X62" s="203">
        <v>43759</v>
      </c>
      <c r="Y62" s="203">
        <v>43763</v>
      </c>
      <c r="Z62" s="208">
        <v>2</v>
      </c>
    </row>
    <row r="63" spans="21:26" x14ac:dyDescent="0.25">
      <c r="U63" s="206">
        <v>22</v>
      </c>
      <c r="V63" s="203">
        <v>43758</v>
      </c>
      <c r="W63" s="203">
        <v>43771</v>
      </c>
      <c r="X63" s="203">
        <v>43773</v>
      </c>
      <c r="Y63" s="203">
        <v>43777</v>
      </c>
      <c r="Z63" s="208"/>
    </row>
    <row r="64" spans="21:26" x14ac:dyDescent="0.25">
      <c r="U64" s="206">
        <v>23</v>
      </c>
      <c r="V64" s="203">
        <v>43772</v>
      </c>
      <c r="W64" s="203">
        <v>43785</v>
      </c>
      <c r="X64" s="203">
        <v>43787</v>
      </c>
      <c r="Y64" s="203">
        <v>43791</v>
      </c>
      <c r="Z64" s="208">
        <v>2</v>
      </c>
    </row>
    <row r="65" spans="21:26" x14ac:dyDescent="0.25">
      <c r="U65" s="206">
        <v>24</v>
      </c>
      <c r="V65" s="203">
        <v>43786</v>
      </c>
      <c r="W65" s="203">
        <v>43799</v>
      </c>
      <c r="X65" s="203">
        <v>43801</v>
      </c>
      <c r="Y65" s="203">
        <v>43805</v>
      </c>
      <c r="Z65" s="208"/>
    </row>
    <row r="66" spans="21:26" x14ac:dyDescent="0.25">
      <c r="U66" s="206">
        <v>25</v>
      </c>
      <c r="V66" s="203">
        <v>43800</v>
      </c>
      <c r="W66" s="203">
        <v>43813</v>
      </c>
      <c r="X66" s="203">
        <v>43815</v>
      </c>
      <c r="Y66" s="203">
        <v>43819</v>
      </c>
      <c r="Z66" s="208">
        <v>2</v>
      </c>
    </row>
  </sheetData>
  <mergeCells count="2">
    <mergeCell ref="U38:Y38"/>
    <mergeCell ref="V39:Y39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V47"/>
  <sheetViews>
    <sheetView topLeftCell="B1" workbookViewId="0">
      <selection activeCell="P36" sqref="P36"/>
    </sheetView>
  </sheetViews>
  <sheetFormatPr defaultRowHeight="15" x14ac:dyDescent="0.25"/>
  <cols>
    <col min="22" max="22" width="10" bestFit="1" customWidth="1"/>
  </cols>
  <sheetData>
    <row r="2" spans="3:22" x14ac:dyDescent="0.25">
      <c r="C2" s="232" t="s">
        <v>746</v>
      </c>
      <c r="D2" s="232"/>
      <c r="G2" s="232" t="s">
        <v>747</v>
      </c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</row>
    <row r="3" spans="3:22" ht="22.5" x14ac:dyDescent="0.25">
      <c r="C3" s="233" t="s">
        <v>748</v>
      </c>
      <c r="D3" s="233" t="s">
        <v>54</v>
      </c>
      <c r="G3" s="42" t="s">
        <v>54</v>
      </c>
      <c r="H3" s="42" t="s">
        <v>749</v>
      </c>
      <c r="I3" s="42" t="s">
        <v>54</v>
      </c>
      <c r="J3" s="89" t="s">
        <v>750</v>
      </c>
      <c r="K3" s="89" t="s">
        <v>751</v>
      </c>
      <c r="L3" s="89" t="s">
        <v>752</v>
      </c>
      <c r="M3" s="89" t="s">
        <v>753</v>
      </c>
      <c r="N3" s="89" t="s">
        <v>754</v>
      </c>
      <c r="O3" s="89" t="s">
        <v>755</v>
      </c>
      <c r="P3" s="89" t="s">
        <v>756</v>
      </c>
      <c r="Q3" s="89" t="s">
        <v>757</v>
      </c>
      <c r="R3" s="89" t="s">
        <v>758</v>
      </c>
      <c r="S3" s="89" t="s">
        <v>759</v>
      </c>
      <c r="T3" s="89" t="s">
        <v>760</v>
      </c>
      <c r="U3" s="89" t="s">
        <v>761</v>
      </c>
      <c r="V3" s="88" t="s">
        <v>762</v>
      </c>
    </row>
    <row r="4" spans="3:22" x14ac:dyDescent="0.25">
      <c r="C4" s="234" t="s">
        <v>763</v>
      </c>
      <c r="D4" s="234" t="s">
        <v>54</v>
      </c>
      <c r="G4" s="39" t="s">
        <v>35</v>
      </c>
      <c r="H4" s="235" t="s">
        <v>764</v>
      </c>
      <c r="I4" s="39" t="s">
        <v>765</v>
      </c>
      <c r="J4" s="14">
        <v>52330</v>
      </c>
      <c r="K4" s="14">
        <v>45500</v>
      </c>
      <c r="L4" s="14">
        <v>51550</v>
      </c>
      <c r="M4" s="14">
        <v>49210</v>
      </c>
      <c r="N4" s="14">
        <v>53900</v>
      </c>
      <c r="O4" s="14">
        <v>49210</v>
      </c>
      <c r="P4" s="14">
        <v>51550</v>
      </c>
      <c r="Q4" s="14">
        <v>53900</v>
      </c>
      <c r="R4" s="14">
        <v>46870</v>
      </c>
      <c r="S4" s="14">
        <v>53900</v>
      </c>
      <c r="T4" s="14">
        <v>51550</v>
      </c>
      <c r="U4" s="14">
        <v>49210</v>
      </c>
      <c r="V4" s="14">
        <v>608680</v>
      </c>
    </row>
    <row r="5" spans="3:22" x14ac:dyDescent="0.25">
      <c r="C5" s="234" t="s">
        <v>766</v>
      </c>
      <c r="D5" s="234" t="s">
        <v>54</v>
      </c>
      <c r="G5" s="39" t="s">
        <v>54</v>
      </c>
      <c r="H5" s="235" t="s">
        <v>767</v>
      </c>
      <c r="I5" s="39" t="s">
        <v>768</v>
      </c>
      <c r="J5" s="14">
        <v>9455</v>
      </c>
      <c r="K5" s="14">
        <v>8222</v>
      </c>
      <c r="L5" s="14">
        <v>8888</v>
      </c>
      <c r="M5" s="14">
        <v>9312</v>
      </c>
      <c r="N5" s="14">
        <v>9777</v>
      </c>
      <c r="O5" s="14">
        <v>8565</v>
      </c>
      <c r="P5" s="14">
        <v>9843</v>
      </c>
      <c r="Q5" s="14">
        <v>9345</v>
      </c>
      <c r="R5" s="14">
        <v>8888</v>
      </c>
      <c r="S5" s="14">
        <v>9733</v>
      </c>
      <c r="T5" s="14">
        <v>8888</v>
      </c>
      <c r="U5" s="14">
        <v>9312</v>
      </c>
      <c r="V5" s="14">
        <v>110228</v>
      </c>
    </row>
    <row r="6" spans="3:22" x14ac:dyDescent="0.25">
      <c r="C6" s="234" t="s">
        <v>769</v>
      </c>
      <c r="D6" s="234" t="s">
        <v>770</v>
      </c>
      <c r="G6" s="39" t="s">
        <v>54</v>
      </c>
      <c r="H6" s="39" t="s">
        <v>771</v>
      </c>
      <c r="I6" s="39" t="s">
        <v>772</v>
      </c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</row>
    <row r="7" spans="3:22" x14ac:dyDescent="0.25">
      <c r="C7" s="234" t="s">
        <v>773</v>
      </c>
      <c r="D7" s="234" t="s">
        <v>54</v>
      </c>
      <c r="G7" s="39" t="s">
        <v>54</v>
      </c>
      <c r="H7" s="39" t="s">
        <v>774</v>
      </c>
      <c r="I7" s="39" t="s">
        <v>775</v>
      </c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</row>
    <row r="8" spans="3:22" x14ac:dyDescent="0.25">
      <c r="C8" s="234" t="s">
        <v>749</v>
      </c>
      <c r="D8" s="234" t="s">
        <v>776</v>
      </c>
      <c r="G8" s="39" t="s">
        <v>54</v>
      </c>
      <c r="H8" s="39" t="s">
        <v>777</v>
      </c>
      <c r="I8" s="39" t="s">
        <v>778</v>
      </c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87">
        <v>0</v>
      </c>
    </row>
    <row r="9" spans="3:22" x14ac:dyDescent="0.25">
      <c r="C9" s="234" t="s">
        <v>779</v>
      </c>
      <c r="D9" s="234" t="s">
        <v>54</v>
      </c>
      <c r="G9" s="39" t="s">
        <v>54</v>
      </c>
      <c r="H9" s="39" t="s">
        <v>780</v>
      </c>
      <c r="I9" s="39" t="s">
        <v>781</v>
      </c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87">
        <v>0</v>
      </c>
    </row>
    <row r="10" spans="3:22" x14ac:dyDescent="0.25">
      <c r="C10" s="234" t="s">
        <v>782</v>
      </c>
      <c r="D10" s="234" t="s">
        <v>54</v>
      </c>
      <c r="G10" s="39" t="s">
        <v>54</v>
      </c>
      <c r="H10" s="39" t="s">
        <v>783</v>
      </c>
      <c r="I10" s="39" t="s">
        <v>784</v>
      </c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87">
        <v>0</v>
      </c>
    </row>
    <row r="11" spans="3:22" x14ac:dyDescent="0.25">
      <c r="C11" s="234" t="s">
        <v>785</v>
      </c>
      <c r="D11" s="234" t="s">
        <v>54</v>
      </c>
      <c r="G11" s="39" t="s">
        <v>54</v>
      </c>
      <c r="H11" s="39" t="s">
        <v>786</v>
      </c>
      <c r="I11" s="39" t="s">
        <v>787</v>
      </c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</row>
    <row r="12" spans="3:22" x14ac:dyDescent="0.25">
      <c r="C12" s="234" t="s">
        <v>788</v>
      </c>
      <c r="D12" s="234" t="s">
        <v>54</v>
      </c>
      <c r="G12" s="39" t="s">
        <v>54</v>
      </c>
      <c r="H12" s="39" t="s">
        <v>789</v>
      </c>
      <c r="I12" s="39" t="s">
        <v>790</v>
      </c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</row>
    <row r="13" spans="3:22" x14ac:dyDescent="0.25">
      <c r="C13" s="234" t="s">
        <v>791</v>
      </c>
      <c r="D13" s="234" t="s">
        <v>792</v>
      </c>
      <c r="G13" s="39" t="s">
        <v>54</v>
      </c>
      <c r="H13" s="39" t="s">
        <v>793</v>
      </c>
      <c r="I13" s="39" t="s">
        <v>794</v>
      </c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</row>
    <row r="14" spans="3:22" x14ac:dyDescent="0.25">
      <c r="C14" s="234" t="s">
        <v>795</v>
      </c>
      <c r="D14" s="234" t="s">
        <v>54</v>
      </c>
      <c r="G14" s="39" t="s">
        <v>54</v>
      </c>
      <c r="H14" s="39" t="s">
        <v>796</v>
      </c>
      <c r="I14" s="39" t="s">
        <v>797</v>
      </c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</row>
    <row r="15" spans="3:22" x14ac:dyDescent="0.25">
      <c r="C15" s="234" t="s">
        <v>798</v>
      </c>
      <c r="D15" s="234" t="s">
        <v>54</v>
      </c>
      <c r="G15" s="39" t="s">
        <v>54</v>
      </c>
      <c r="H15" s="39" t="s">
        <v>799</v>
      </c>
      <c r="I15" s="39" t="s">
        <v>800</v>
      </c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</row>
    <row r="16" spans="3:22" x14ac:dyDescent="0.25">
      <c r="C16" s="234" t="s">
        <v>801</v>
      </c>
      <c r="D16" s="234" t="s">
        <v>54</v>
      </c>
      <c r="G16" s="39" t="s">
        <v>54</v>
      </c>
      <c r="H16" s="39" t="s">
        <v>802</v>
      </c>
      <c r="I16" s="39" t="s">
        <v>803</v>
      </c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</row>
    <row r="17" spans="3:22" x14ac:dyDescent="0.25">
      <c r="C17" s="234" t="s">
        <v>804</v>
      </c>
      <c r="D17" s="234" t="s">
        <v>54</v>
      </c>
      <c r="G17" s="39" t="s">
        <v>54</v>
      </c>
      <c r="H17" s="39" t="s">
        <v>805</v>
      </c>
      <c r="I17" s="39" t="s">
        <v>806</v>
      </c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</row>
    <row r="18" spans="3:22" x14ac:dyDescent="0.25">
      <c r="C18" s="234" t="s">
        <v>807</v>
      </c>
      <c r="D18" s="234" t="s">
        <v>54</v>
      </c>
      <c r="G18" s="39" t="s">
        <v>54</v>
      </c>
      <c r="H18" s="39" t="s">
        <v>808</v>
      </c>
      <c r="I18" s="39" t="s">
        <v>809</v>
      </c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</row>
    <row r="19" spans="3:22" x14ac:dyDescent="0.25">
      <c r="C19" s="234" t="s">
        <v>810</v>
      </c>
      <c r="D19" s="234" t="s">
        <v>54</v>
      </c>
      <c r="G19" s="39" t="s">
        <v>54</v>
      </c>
      <c r="H19" s="39" t="s">
        <v>811</v>
      </c>
      <c r="I19" s="39" t="s">
        <v>812</v>
      </c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</row>
    <row r="20" spans="3:22" x14ac:dyDescent="0.25">
      <c r="C20" s="234" t="s">
        <v>813</v>
      </c>
      <c r="D20" s="234" t="s">
        <v>54</v>
      </c>
      <c r="G20" s="39" t="s">
        <v>54</v>
      </c>
      <c r="H20" s="39" t="s">
        <v>814</v>
      </c>
      <c r="I20" s="39" t="s">
        <v>815</v>
      </c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</row>
    <row r="21" spans="3:22" x14ac:dyDescent="0.25">
      <c r="C21" s="234" t="s">
        <v>816</v>
      </c>
      <c r="D21" s="234" t="s">
        <v>54</v>
      </c>
      <c r="G21" s="39" t="s">
        <v>34</v>
      </c>
      <c r="H21" s="39" t="s">
        <v>764</v>
      </c>
      <c r="I21" s="39" t="s">
        <v>765</v>
      </c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</row>
    <row r="22" spans="3:22" x14ac:dyDescent="0.25">
      <c r="C22" s="234" t="s">
        <v>817</v>
      </c>
      <c r="D22" s="234" t="s">
        <v>54</v>
      </c>
      <c r="G22" s="39" t="s">
        <v>54</v>
      </c>
      <c r="H22" s="39" t="s">
        <v>767</v>
      </c>
      <c r="I22" s="39" t="s">
        <v>768</v>
      </c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</row>
    <row r="23" spans="3:22" x14ac:dyDescent="0.25">
      <c r="C23" s="236" t="s">
        <v>818</v>
      </c>
      <c r="D23" s="236" t="s">
        <v>54</v>
      </c>
      <c r="G23" s="39" t="s">
        <v>54</v>
      </c>
      <c r="H23" s="235" t="s">
        <v>771</v>
      </c>
      <c r="I23" s="39" t="s">
        <v>772</v>
      </c>
      <c r="J23" s="14">
        <v>11310</v>
      </c>
      <c r="K23" s="14">
        <v>4540</v>
      </c>
      <c r="L23" s="14">
        <v>4580</v>
      </c>
      <c r="M23" s="14">
        <v>4120</v>
      </c>
      <c r="N23" s="14">
        <v>4670</v>
      </c>
      <c r="O23" s="14">
        <v>2400</v>
      </c>
      <c r="P23" s="14">
        <v>2740</v>
      </c>
      <c r="Q23" s="14">
        <v>2780</v>
      </c>
      <c r="R23" s="14">
        <v>4250</v>
      </c>
      <c r="S23" s="14">
        <v>4920</v>
      </c>
      <c r="T23" s="14">
        <v>7480</v>
      </c>
      <c r="U23" s="14">
        <v>7950</v>
      </c>
      <c r="V23" s="14">
        <v>61740</v>
      </c>
    </row>
    <row r="24" spans="3:22" x14ac:dyDescent="0.25">
      <c r="G24" s="39" t="s">
        <v>54</v>
      </c>
      <c r="H24" s="235" t="s">
        <v>774</v>
      </c>
      <c r="I24" s="39" t="s">
        <v>775</v>
      </c>
      <c r="J24" s="14">
        <v>47</v>
      </c>
      <c r="K24" s="14">
        <v>30</v>
      </c>
      <c r="L24" s="14">
        <v>33</v>
      </c>
      <c r="M24" s="14">
        <v>50</v>
      </c>
      <c r="N24" s="14">
        <v>51</v>
      </c>
      <c r="O24" s="14">
        <v>36</v>
      </c>
      <c r="P24" s="14">
        <v>72</v>
      </c>
      <c r="Q24" s="14">
        <v>34</v>
      </c>
      <c r="R24" s="14">
        <v>47</v>
      </c>
      <c r="S24" s="14">
        <v>43</v>
      </c>
      <c r="T24" s="14">
        <v>78</v>
      </c>
      <c r="U24" s="14">
        <v>11</v>
      </c>
      <c r="V24" s="14">
        <v>532</v>
      </c>
    </row>
    <row r="25" spans="3:22" x14ac:dyDescent="0.25">
      <c r="G25" s="39" t="s">
        <v>54</v>
      </c>
      <c r="H25" s="39" t="s">
        <v>777</v>
      </c>
      <c r="I25" s="39" t="s">
        <v>778</v>
      </c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</row>
    <row r="26" spans="3:22" x14ac:dyDescent="0.25">
      <c r="G26" s="39" t="s">
        <v>54</v>
      </c>
      <c r="H26" s="39" t="s">
        <v>780</v>
      </c>
      <c r="I26" s="39" t="s">
        <v>781</v>
      </c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</row>
    <row r="27" spans="3:22" x14ac:dyDescent="0.25">
      <c r="G27" s="39" t="s">
        <v>54</v>
      </c>
      <c r="H27" s="39" t="s">
        <v>783</v>
      </c>
      <c r="I27" s="39" t="s">
        <v>784</v>
      </c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</row>
    <row r="28" spans="3:22" x14ac:dyDescent="0.25">
      <c r="G28" s="39" t="s">
        <v>54</v>
      </c>
      <c r="H28" s="39" t="s">
        <v>786</v>
      </c>
      <c r="I28" s="39" t="s">
        <v>787</v>
      </c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</row>
    <row r="29" spans="3:22" x14ac:dyDescent="0.25">
      <c r="G29" s="39" t="s">
        <v>54</v>
      </c>
      <c r="H29" s="39" t="s">
        <v>789</v>
      </c>
      <c r="I29" s="39" t="s">
        <v>790</v>
      </c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</row>
    <row r="30" spans="3:22" x14ac:dyDescent="0.25">
      <c r="G30" s="39" t="s">
        <v>54</v>
      </c>
      <c r="H30" s="39" t="s">
        <v>793</v>
      </c>
      <c r="I30" s="39" t="s">
        <v>794</v>
      </c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</row>
    <row r="31" spans="3:22" x14ac:dyDescent="0.25">
      <c r="G31" s="39" t="s">
        <v>54</v>
      </c>
      <c r="H31" s="39" t="s">
        <v>796</v>
      </c>
      <c r="I31" s="39" t="s">
        <v>797</v>
      </c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</row>
    <row r="32" spans="3:22" x14ac:dyDescent="0.25">
      <c r="G32" s="39" t="s">
        <v>54</v>
      </c>
      <c r="H32" s="39" t="s">
        <v>799</v>
      </c>
      <c r="I32" s="39" t="s">
        <v>800</v>
      </c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</row>
    <row r="33" spans="7:22" x14ac:dyDescent="0.25">
      <c r="G33" s="39" t="s">
        <v>54</v>
      </c>
      <c r="H33" s="39" t="s">
        <v>802</v>
      </c>
      <c r="I33" s="39" t="s">
        <v>803</v>
      </c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</row>
    <row r="34" spans="7:22" x14ac:dyDescent="0.25">
      <c r="G34" s="39" t="s">
        <v>54</v>
      </c>
      <c r="H34" s="39" t="s">
        <v>805</v>
      </c>
      <c r="I34" s="39" t="s">
        <v>806</v>
      </c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</row>
    <row r="35" spans="7:22" x14ac:dyDescent="0.25">
      <c r="G35" s="39" t="s">
        <v>54</v>
      </c>
      <c r="H35" s="39" t="s">
        <v>808</v>
      </c>
      <c r="I35" s="39" t="s">
        <v>809</v>
      </c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</row>
    <row r="36" spans="7:22" x14ac:dyDescent="0.25">
      <c r="G36" s="39" t="s">
        <v>54</v>
      </c>
      <c r="H36" s="39" t="s">
        <v>811</v>
      </c>
      <c r="I36" s="39" t="s">
        <v>812</v>
      </c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</row>
    <row r="37" spans="7:22" x14ac:dyDescent="0.25">
      <c r="G37" s="39" t="s">
        <v>54</v>
      </c>
      <c r="H37" s="39" t="s">
        <v>814</v>
      </c>
      <c r="I37" s="39" t="s">
        <v>815</v>
      </c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</row>
    <row r="38" spans="7:22" x14ac:dyDescent="0.25">
      <c r="G38" s="39" t="s">
        <v>33</v>
      </c>
      <c r="H38" s="39" t="s">
        <v>764</v>
      </c>
      <c r="I38" s="39" t="s">
        <v>765</v>
      </c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</row>
    <row r="39" spans="7:22" x14ac:dyDescent="0.25">
      <c r="G39" s="39" t="s">
        <v>54</v>
      </c>
      <c r="H39" s="39" t="s">
        <v>767</v>
      </c>
      <c r="I39" s="39" t="s">
        <v>768</v>
      </c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</row>
    <row r="40" spans="7:22" x14ac:dyDescent="0.25">
      <c r="G40" s="39" t="s">
        <v>54</v>
      </c>
      <c r="H40" s="39" t="s">
        <v>771</v>
      </c>
      <c r="I40" s="39" t="s">
        <v>772</v>
      </c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</row>
    <row r="41" spans="7:22" x14ac:dyDescent="0.25">
      <c r="G41" s="39" t="s">
        <v>54</v>
      </c>
      <c r="H41" s="39" t="s">
        <v>774</v>
      </c>
      <c r="I41" s="39" t="s">
        <v>775</v>
      </c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</row>
    <row r="42" spans="7:22" x14ac:dyDescent="0.25">
      <c r="G42" s="39" t="s">
        <v>54</v>
      </c>
      <c r="H42" s="39" t="s">
        <v>777</v>
      </c>
      <c r="I42" s="39" t="s">
        <v>778</v>
      </c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</row>
    <row r="43" spans="7:22" x14ac:dyDescent="0.25">
      <c r="G43" s="39" t="s">
        <v>54</v>
      </c>
      <c r="H43" s="39" t="s">
        <v>780</v>
      </c>
      <c r="I43" s="39" t="s">
        <v>781</v>
      </c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</row>
    <row r="44" spans="7:22" x14ac:dyDescent="0.25">
      <c r="G44" s="39" t="s">
        <v>54</v>
      </c>
      <c r="H44" s="39" t="s">
        <v>783</v>
      </c>
      <c r="I44" s="39" t="s">
        <v>784</v>
      </c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</row>
    <row r="45" spans="7:22" x14ac:dyDescent="0.25">
      <c r="G45" s="39" t="s">
        <v>54</v>
      </c>
      <c r="H45" s="39" t="s">
        <v>786</v>
      </c>
      <c r="I45" s="39" t="s">
        <v>787</v>
      </c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</row>
    <row r="46" spans="7:22" x14ac:dyDescent="0.25">
      <c r="G46" s="39" t="s">
        <v>54</v>
      </c>
      <c r="H46" s="39" t="s">
        <v>789</v>
      </c>
      <c r="I46" s="39" t="s">
        <v>790</v>
      </c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</row>
    <row r="47" spans="7:22" x14ac:dyDescent="0.25">
      <c r="G47" s="39" t="s">
        <v>54</v>
      </c>
      <c r="H47" s="39" t="s">
        <v>793</v>
      </c>
      <c r="I47" s="39" t="s">
        <v>794</v>
      </c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2:AA66"/>
  <sheetViews>
    <sheetView topLeftCell="C1" zoomScaleNormal="100" workbookViewId="0">
      <selection activeCell="V30" sqref="V30"/>
    </sheetView>
  </sheetViews>
  <sheetFormatPr defaultRowHeight="15" x14ac:dyDescent="0.25"/>
  <cols>
    <col min="21" max="21" width="13.42578125" customWidth="1"/>
    <col min="22" max="22" width="26.42578125" customWidth="1"/>
    <col min="23" max="26" width="10.7109375" bestFit="1" customWidth="1"/>
    <col min="27" max="27" width="10.5703125" bestFit="1" customWidth="1"/>
  </cols>
  <sheetData>
    <row r="2" spans="21:27" x14ac:dyDescent="0.25">
      <c r="Y2" t="s">
        <v>697</v>
      </c>
      <c r="Z2">
        <f>156+18</f>
        <v>174</v>
      </c>
    </row>
    <row r="6" spans="21:27" x14ac:dyDescent="0.25">
      <c r="V6" t="s">
        <v>694</v>
      </c>
    </row>
    <row r="8" spans="21:27" x14ac:dyDescent="0.25">
      <c r="U8" s="66" t="s">
        <v>732</v>
      </c>
      <c r="V8" s="214">
        <f>258279-49781</f>
        <v>208498</v>
      </c>
      <c r="W8" s="218">
        <v>156</v>
      </c>
      <c r="X8" s="219">
        <f>W8/W10*V10</f>
        <v>14954.339310344829</v>
      </c>
      <c r="Z8" s="66" t="s">
        <v>733</v>
      </c>
      <c r="AA8" s="214">
        <f>49781</f>
        <v>49781</v>
      </c>
    </row>
    <row r="9" spans="21:27" x14ac:dyDescent="0.25">
      <c r="U9" s="66" t="s">
        <v>709</v>
      </c>
      <c r="V9" s="160">
        <f>V8/25</f>
        <v>8339.92</v>
      </c>
      <c r="X9" s="160"/>
      <c r="Z9" s="66" t="s">
        <v>735</v>
      </c>
      <c r="AA9" s="213">
        <f>AA8/25</f>
        <v>1991.24</v>
      </c>
    </row>
    <row r="10" spans="21:27" x14ac:dyDescent="0.25">
      <c r="U10" s="66" t="s">
        <v>734</v>
      </c>
      <c r="V10" s="17">
        <f>V9*2</f>
        <v>16679.84</v>
      </c>
      <c r="W10" s="218">
        <f>156+18</f>
        <v>174</v>
      </c>
      <c r="X10" s="219">
        <f>18/174*21523</f>
        <v>2226.5172413793102</v>
      </c>
      <c r="Z10" s="66" t="s">
        <v>734</v>
      </c>
      <c r="AA10" s="13">
        <f>AA9*2</f>
        <v>3982.48</v>
      </c>
    </row>
    <row r="11" spans="21:27" x14ac:dyDescent="0.25">
      <c r="V11" s="17"/>
      <c r="X11" s="160"/>
    </row>
    <row r="12" spans="21:27" x14ac:dyDescent="0.25">
      <c r="U12" s="66" t="s">
        <v>723</v>
      </c>
      <c r="V12" s="17">
        <v>148000</v>
      </c>
      <c r="X12" s="219">
        <f>V15/Z2*V12</f>
        <v>15310.344827586207</v>
      </c>
    </row>
    <row r="13" spans="21:27" x14ac:dyDescent="0.25">
      <c r="U13" s="66" t="s">
        <v>695</v>
      </c>
      <c r="V13" s="169">
        <f>V12/12</f>
        <v>12333.333333333334</v>
      </c>
      <c r="X13" s="219">
        <f>X12/12</f>
        <v>1275.8620689655172</v>
      </c>
    </row>
    <row r="14" spans="21:27" x14ac:dyDescent="0.25">
      <c r="X14" s="160"/>
    </row>
    <row r="15" spans="21:27" x14ac:dyDescent="0.25">
      <c r="U15" s="66" t="s">
        <v>696</v>
      </c>
      <c r="V15">
        <v>18</v>
      </c>
      <c r="X15" s="160"/>
    </row>
    <row r="19" spans="21:27" x14ac:dyDescent="0.25">
      <c r="V19" t="s">
        <v>710</v>
      </c>
    </row>
    <row r="20" spans="21:27" x14ac:dyDescent="0.25">
      <c r="U20" s="66" t="s">
        <v>708</v>
      </c>
      <c r="V20" s="212">
        <f>1294000-49781</f>
        <v>1244219</v>
      </c>
    </row>
    <row r="21" spans="21:27" x14ac:dyDescent="0.25">
      <c r="U21" s="66" t="s">
        <v>711</v>
      </c>
      <c r="V21">
        <v>13</v>
      </c>
      <c r="W21" s="60"/>
      <c r="AA21" s="60"/>
    </row>
    <row r="22" spans="21:27" x14ac:dyDescent="0.25">
      <c r="U22" s="66" t="s">
        <v>724</v>
      </c>
      <c r="V22">
        <v>12</v>
      </c>
    </row>
    <row r="23" spans="21:27" x14ac:dyDescent="0.25">
      <c r="U23" s="66" t="s">
        <v>709</v>
      </c>
      <c r="V23" s="212">
        <f>V20/25</f>
        <v>49768.76</v>
      </c>
    </row>
    <row r="26" spans="21:27" x14ac:dyDescent="0.25">
      <c r="U26" s="66" t="s">
        <v>369</v>
      </c>
      <c r="V26" s="212">
        <v>148000</v>
      </c>
    </row>
    <row r="27" spans="21:27" x14ac:dyDescent="0.25">
      <c r="U27" s="66" t="s">
        <v>738</v>
      </c>
      <c r="V27">
        <v>25</v>
      </c>
    </row>
    <row r="28" spans="21:27" x14ac:dyDescent="0.25">
      <c r="U28" s="66" t="s">
        <v>739</v>
      </c>
      <c r="V28" s="18">
        <f>V26/25</f>
        <v>5920</v>
      </c>
    </row>
    <row r="38" spans="21:26" ht="21" x14ac:dyDescent="0.35">
      <c r="U38" s="516" t="s">
        <v>725</v>
      </c>
      <c r="V38" s="517"/>
      <c r="W38" s="517"/>
      <c r="X38" s="517"/>
      <c r="Y38" s="518"/>
    </row>
    <row r="39" spans="21:26" ht="21" x14ac:dyDescent="0.25">
      <c r="U39" s="200"/>
      <c r="V39" s="519" t="s">
        <v>726</v>
      </c>
      <c r="W39" s="520"/>
      <c r="X39" s="520"/>
      <c r="Y39" s="521"/>
    </row>
    <row r="40" spans="21:26" ht="75" x14ac:dyDescent="0.25">
      <c r="U40" s="201" t="s">
        <v>727</v>
      </c>
      <c r="V40" s="201" t="s">
        <v>728</v>
      </c>
      <c r="W40" s="201" t="s">
        <v>729</v>
      </c>
      <c r="X40" s="201" t="s">
        <v>730</v>
      </c>
      <c r="Y40" s="201" t="s">
        <v>368</v>
      </c>
      <c r="Z40" s="207" t="s">
        <v>731</v>
      </c>
    </row>
    <row r="41" spans="21:26" x14ac:dyDescent="0.25">
      <c r="U41" s="202">
        <v>1</v>
      </c>
      <c r="V41" s="203">
        <v>43450</v>
      </c>
      <c r="W41" s="203">
        <v>43463</v>
      </c>
      <c r="X41" s="203">
        <v>43465</v>
      </c>
      <c r="Y41" s="203">
        <v>43469</v>
      </c>
      <c r="Z41" s="208"/>
    </row>
    <row r="42" spans="21:26" x14ac:dyDescent="0.25">
      <c r="U42" s="204">
        <v>1</v>
      </c>
      <c r="V42" s="205">
        <v>43464</v>
      </c>
      <c r="W42" s="205">
        <v>43477</v>
      </c>
      <c r="X42" s="205">
        <v>43479</v>
      </c>
      <c r="Y42" s="205">
        <v>43483</v>
      </c>
      <c r="Z42" s="208">
        <v>2</v>
      </c>
    </row>
    <row r="43" spans="21:26" x14ac:dyDescent="0.25">
      <c r="U43" s="204">
        <v>2</v>
      </c>
      <c r="V43" s="205">
        <v>43478</v>
      </c>
      <c r="W43" s="205">
        <v>43491</v>
      </c>
      <c r="X43" s="205">
        <v>43493</v>
      </c>
      <c r="Y43" s="205">
        <v>43497</v>
      </c>
      <c r="Z43" s="208"/>
    </row>
    <row r="44" spans="21:26" x14ac:dyDescent="0.25">
      <c r="U44" s="204">
        <v>3</v>
      </c>
      <c r="V44" s="205">
        <v>43492</v>
      </c>
      <c r="W44" s="205">
        <v>43505</v>
      </c>
      <c r="X44" s="205">
        <v>43507</v>
      </c>
      <c r="Y44" s="205">
        <v>43511</v>
      </c>
      <c r="Z44" s="208">
        <v>2</v>
      </c>
    </row>
    <row r="45" spans="21:26" x14ac:dyDescent="0.25">
      <c r="U45" s="204">
        <v>4</v>
      </c>
      <c r="V45" s="205">
        <v>43506</v>
      </c>
      <c r="W45" s="205">
        <v>43519</v>
      </c>
      <c r="X45" s="205">
        <v>43521</v>
      </c>
      <c r="Y45" s="205">
        <v>43525</v>
      </c>
      <c r="Z45" s="208"/>
    </row>
    <row r="46" spans="21:26" x14ac:dyDescent="0.25">
      <c r="U46" s="204">
        <v>5</v>
      </c>
      <c r="V46" s="205">
        <v>43520</v>
      </c>
      <c r="W46" s="205">
        <v>43533</v>
      </c>
      <c r="X46" s="205">
        <v>43535</v>
      </c>
      <c r="Y46" s="205">
        <v>43539</v>
      </c>
      <c r="Z46" s="208"/>
    </row>
    <row r="47" spans="21:26" x14ac:dyDescent="0.25">
      <c r="U47" s="206">
        <v>6</v>
      </c>
      <c r="V47" s="205">
        <v>43534</v>
      </c>
      <c r="W47" s="205">
        <v>43547</v>
      </c>
      <c r="X47" s="205">
        <v>43549</v>
      </c>
      <c r="Y47" s="205">
        <v>43553</v>
      </c>
      <c r="Z47" s="208">
        <v>3</v>
      </c>
    </row>
    <row r="48" spans="21:26" x14ac:dyDescent="0.25">
      <c r="U48" s="206">
        <v>7</v>
      </c>
      <c r="V48" s="203">
        <v>43548</v>
      </c>
      <c r="W48" s="203">
        <v>43561</v>
      </c>
      <c r="X48" s="203">
        <v>43563</v>
      </c>
      <c r="Y48" s="203">
        <v>43567</v>
      </c>
      <c r="Z48" s="208"/>
    </row>
    <row r="49" spans="21:26" x14ac:dyDescent="0.25">
      <c r="U49" s="206">
        <v>8</v>
      </c>
      <c r="V49" s="203">
        <v>43562</v>
      </c>
      <c r="W49" s="203">
        <v>43575</v>
      </c>
      <c r="X49" s="203">
        <v>43577</v>
      </c>
      <c r="Y49" s="203">
        <v>43581</v>
      </c>
      <c r="Z49" s="208">
        <v>2</v>
      </c>
    </row>
    <row r="50" spans="21:26" x14ac:dyDescent="0.25">
      <c r="U50" s="206">
        <v>9</v>
      </c>
      <c r="V50" s="203">
        <v>43576</v>
      </c>
      <c r="W50" s="203">
        <v>43589</v>
      </c>
      <c r="X50" s="203">
        <v>43591</v>
      </c>
      <c r="Y50" s="203">
        <v>43595</v>
      </c>
      <c r="Z50" s="208"/>
    </row>
    <row r="51" spans="21:26" x14ac:dyDescent="0.25">
      <c r="U51" s="206">
        <v>10</v>
      </c>
      <c r="V51" s="203">
        <v>43590</v>
      </c>
      <c r="W51" s="203">
        <v>43603</v>
      </c>
      <c r="X51" s="203">
        <v>43605</v>
      </c>
      <c r="Y51" s="203">
        <v>43609</v>
      </c>
      <c r="Z51" s="208">
        <v>2</v>
      </c>
    </row>
    <row r="52" spans="21:26" x14ac:dyDescent="0.25">
      <c r="U52" s="206">
        <v>11</v>
      </c>
      <c r="V52" s="203">
        <v>43604</v>
      </c>
      <c r="W52" s="203">
        <v>43617</v>
      </c>
      <c r="X52" s="203">
        <v>43619</v>
      </c>
      <c r="Y52" s="203">
        <v>43623</v>
      </c>
      <c r="Z52" s="208"/>
    </row>
    <row r="53" spans="21:26" x14ac:dyDescent="0.25">
      <c r="U53" s="206">
        <v>12</v>
      </c>
      <c r="V53" s="203">
        <v>43618</v>
      </c>
      <c r="W53" s="203">
        <v>43631</v>
      </c>
      <c r="X53" s="203">
        <v>43633</v>
      </c>
      <c r="Y53" s="203">
        <v>43637</v>
      </c>
      <c r="Z53" s="211">
        <v>2</v>
      </c>
    </row>
    <row r="54" spans="21:26" x14ac:dyDescent="0.25">
      <c r="U54" s="209">
        <v>13</v>
      </c>
      <c r="V54" s="210">
        <v>43632</v>
      </c>
      <c r="W54" s="210">
        <v>43645</v>
      </c>
      <c r="X54" s="210">
        <v>43647</v>
      </c>
      <c r="Y54" s="210">
        <v>43651</v>
      </c>
      <c r="Z54" s="208"/>
    </row>
    <row r="55" spans="21:26" x14ac:dyDescent="0.25">
      <c r="U55" s="206">
        <v>14</v>
      </c>
      <c r="V55" s="203">
        <v>43646</v>
      </c>
      <c r="W55" s="203">
        <v>43659</v>
      </c>
      <c r="X55" s="203">
        <v>43661</v>
      </c>
      <c r="Y55" s="203">
        <v>43665</v>
      </c>
      <c r="Z55" s="208">
        <v>2</v>
      </c>
    </row>
    <row r="56" spans="21:26" x14ac:dyDescent="0.25">
      <c r="U56" s="209">
        <v>15</v>
      </c>
      <c r="V56" s="210">
        <v>43660</v>
      </c>
      <c r="W56" s="210">
        <v>43673</v>
      </c>
      <c r="X56" s="210">
        <v>43675</v>
      </c>
      <c r="Y56" s="210">
        <v>43679</v>
      </c>
      <c r="Z56" s="208"/>
    </row>
    <row r="57" spans="21:26" x14ac:dyDescent="0.25">
      <c r="U57" s="206">
        <v>16</v>
      </c>
      <c r="V57" s="203">
        <v>43674</v>
      </c>
      <c r="W57" s="203">
        <v>43687</v>
      </c>
      <c r="X57" s="203">
        <v>43689</v>
      </c>
      <c r="Y57" s="203">
        <v>43693</v>
      </c>
      <c r="Z57" s="208">
        <v>2</v>
      </c>
    </row>
    <row r="58" spans="21:26" x14ac:dyDescent="0.25">
      <c r="U58" s="206">
        <v>17</v>
      </c>
      <c r="V58" s="203">
        <v>43688</v>
      </c>
      <c r="W58" s="203">
        <v>43701</v>
      </c>
      <c r="X58" s="203">
        <v>43703</v>
      </c>
      <c r="Y58" s="203">
        <v>43707</v>
      </c>
      <c r="Z58" s="208"/>
    </row>
    <row r="59" spans="21:26" x14ac:dyDescent="0.25">
      <c r="U59" s="206">
        <v>18</v>
      </c>
      <c r="V59" s="203">
        <v>43702</v>
      </c>
      <c r="W59" s="203">
        <v>43715</v>
      </c>
      <c r="X59" s="203">
        <v>43717</v>
      </c>
      <c r="Y59" s="203">
        <v>43721</v>
      </c>
      <c r="Z59" s="208">
        <v>2</v>
      </c>
    </row>
    <row r="60" spans="21:26" x14ac:dyDescent="0.25">
      <c r="U60" s="206">
        <v>19</v>
      </c>
      <c r="V60" s="203">
        <v>43716</v>
      </c>
      <c r="W60" s="203">
        <v>43729</v>
      </c>
      <c r="X60" s="203">
        <v>43731</v>
      </c>
      <c r="Y60" s="203">
        <v>43735</v>
      </c>
      <c r="Z60" s="208"/>
    </row>
    <row r="61" spans="21:26" x14ac:dyDescent="0.25">
      <c r="U61" s="206">
        <v>20</v>
      </c>
      <c r="V61" s="203">
        <v>43730</v>
      </c>
      <c r="W61" s="203">
        <v>43743</v>
      </c>
      <c r="X61" s="203">
        <v>43745</v>
      </c>
      <c r="Y61" s="203">
        <v>43749</v>
      </c>
      <c r="Z61" s="208"/>
    </row>
    <row r="62" spans="21:26" x14ac:dyDescent="0.25">
      <c r="U62" s="206">
        <v>21</v>
      </c>
      <c r="V62" s="203">
        <v>43744</v>
      </c>
      <c r="W62" s="203">
        <v>43757</v>
      </c>
      <c r="X62" s="203">
        <v>43759</v>
      </c>
      <c r="Y62" s="203">
        <v>43763</v>
      </c>
      <c r="Z62" s="208">
        <v>2</v>
      </c>
    </row>
    <row r="63" spans="21:26" x14ac:dyDescent="0.25">
      <c r="U63" s="206">
        <v>22</v>
      </c>
      <c r="V63" s="203">
        <v>43758</v>
      </c>
      <c r="W63" s="203">
        <v>43771</v>
      </c>
      <c r="X63" s="203">
        <v>43773</v>
      </c>
      <c r="Y63" s="203">
        <v>43777</v>
      </c>
      <c r="Z63" s="208"/>
    </row>
    <row r="64" spans="21:26" x14ac:dyDescent="0.25">
      <c r="U64" s="206">
        <v>23</v>
      </c>
      <c r="V64" s="203">
        <v>43772</v>
      </c>
      <c r="W64" s="203">
        <v>43785</v>
      </c>
      <c r="X64" s="203">
        <v>43787</v>
      </c>
      <c r="Y64" s="203">
        <v>43791</v>
      </c>
      <c r="Z64" s="208">
        <v>2</v>
      </c>
    </row>
    <row r="65" spans="21:26" x14ac:dyDescent="0.25">
      <c r="U65" s="206">
        <v>24</v>
      </c>
      <c r="V65" s="203">
        <v>43786</v>
      </c>
      <c r="W65" s="203">
        <v>43799</v>
      </c>
      <c r="X65" s="203">
        <v>43801</v>
      </c>
      <c r="Y65" s="203">
        <v>43805</v>
      </c>
      <c r="Z65" s="208"/>
    </row>
    <row r="66" spans="21:26" x14ac:dyDescent="0.25">
      <c r="U66" s="206">
        <v>25</v>
      </c>
      <c r="V66" s="203">
        <v>43800</v>
      </c>
      <c r="W66" s="203">
        <v>43813</v>
      </c>
      <c r="X66" s="203">
        <v>43815</v>
      </c>
      <c r="Y66" s="203">
        <v>43819</v>
      </c>
      <c r="Z66" s="208">
        <v>2</v>
      </c>
    </row>
  </sheetData>
  <mergeCells count="2">
    <mergeCell ref="U38:Y38"/>
    <mergeCell ref="V39:Y39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topLeftCell="A25" zoomScale="73" zoomScaleNormal="73" workbookViewId="0">
      <selection activeCell="D22" sqref="D22"/>
    </sheetView>
  </sheetViews>
  <sheetFormatPr defaultRowHeight="15" x14ac:dyDescent="0.25"/>
  <cols>
    <col min="3" max="3" width="16.28515625" bestFit="1" customWidth="1"/>
    <col min="4" max="4" width="16.7109375" bestFit="1" customWidth="1"/>
    <col min="5" max="5" width="18.140625" bestFit="1" customWidth="1"/>
    <col min="6" max="6" width="20.140625" bestFit="1" customWidth="1"/>
    <col min="7" max="7" width="19.140625" bestFit="1" customWidth="1"/>
    <col min="8" max="8" width="14.28515625" bestFit="1" customWidth="1"/>
    <col min="9" max="9" width="15.5703125" bestFit="1" customWidth="1"/>
    <col min="10" max="12" width="14.28515625" bestFit="1" customWidth="1"/>
    <col min="16" max="16" width="11.42578125" customWidth="1"/>
    <col min="18" max="18" width="26" bestFit="1" customWidth="1"/>
    <col min="19" max="19" width="20.42578125" bestFit="1" customWidth="1"/>
    <col min="20" max="20" width="11.85546875" bestFit="1" customWidth="1"/>
    <col min="25" max="25" width="11.85546875" bestFit="1" customWidth="1"/>
  </cols>
  <sheetData>
    <row r="1" spans="1:25" ht="18" x14ac:dyDescent="0.25">
      <c r="A1" s="275"/>
      <c r="B1" s="276"/>
      <c r="C1" s="275" t="s">
        <v>834</v>
      </c>
      <c r="D1" s="277">
        <v>0.03</v>
      </c>
      <c r="E1" s="278" t="s">
        <v>835</v>
      </c>
      <c r="F1" s="279"/>
      <c r="G1" s="279" t="s">
        <v>836</v>
      </c>
      <c r="H1" s="278" t="s">
        <v>365</v>
      </c>
      <c r="I1" s="278" t="s">
        <v>837</v>
      </c>
      <c r="J1" s="278" t="s">
        <v>838</v>
      </c>
      <c r="K1" s="278" t="s">
        <v>29</v>
      </c>
      <c r="L1" s="278" t="s">
        <v>29</v>
      </c>
      <c r="M1" s="275"/>
      <c r="R1" s="330"/>
      <c r="S1" s="330"/>
      <c r="T1" s="330"/>
      <c r="U1" s="330"/>
      <c r="V1" s="330"/>
      <c r="W1" s="330"/>
      <c r="X1" s="330"/>
    </row>
    <row r="2" spans="1:25" ht="18" x14ac:dyDescent="0.25">
      <c r="A2" s="275" t="s">
        <v>839</v>
      </c>
      <c r="B2" s="276"/>
      <c r="C2" s="280" t="s">
        <v>840</v>
      </c>
      <c r="D2" s="281" t="s">
        <v>841</v>
      </c>
      <c r="E2" s="278" t="s">
        <v>842</v>
      </c>
      <c r="F2" s="279"/>
      <c r="G2" s="279" t="s">
        <v>843</v>
      </c>
      <c r="H2" s="278" t="s">
        <v>844</v>
      </c>
      <c r="I2" s="278" t="s">
        <v>845</v>
      </c>
      <c r="J2" s="278" t="s">
        <v>845</v>
      </c>
      <c r="K2" s="278" t="s">
        <v>846</v>
      </c>
      <c r="L2" s="278" t="s">
        <v>847</v>
      </c>
      <c r="M2" s="275"/>
      <c r="R2" s="330"/>
      <c r="S2" s="330"/>
      <c r="T2" s="330" t="s">
        <v>694</v>
      </c>
      <c r="U2" s="330"/>
      <c r="V2" s="330"/>
      <c r="W2" s="330"/>
      <c r="X2" s="330"/>
    </row>
    <row r="3" spans="1:25" ht="18.75" x14ac:dyDescent="0.3">
      <c r="A3" s="275"/>
      <c r="B3" s="276"/>
      <c r="C3" s="275"/>
      <c r="D3" s="275"/>
      <c r="E3" s="278"/>
      <c r="F3" s="279"/>
      <c r="G3" s="279"/>
      <c r="H3" s="278"/>
      <c r="I3" s="282"/>
      <c r="J3" s="282"/>
      <c r="K3" s="278"/>
      <c r="L3" s="278"/>
      <c r="M3" s="283"/>
      <c r="R3" s="330"/>
      <c r="S3" s="330"/>
      <c r="T3" s="330"/>
      <c r="U3" s="330"/>
      <c r="V3" s="330"/>
      <c r="W3" s="330"/>
      <c r="X3" s="330"/>
    </row>
    <row r="4" spans="1:25" ht="18.75" x14ac:dyDescent="0.3">
      <c r="A4" s="275" t="s">
        <v>848</v>
      </c>
      <c r="B4" s="276"/>
      <c r="C4" s="278">
        <v>1732600</v>
      </c>
      <c r="D4" s="278">
        <f>SUM(C4*3%)</f>
        <v>51978</v>
      </c>
      <c r="E4" s="278">
        <f>SUM(C4:D4)</f>
        <v>1784578</v>
      </c>
      <c r="F4" s="284" t="s">
        <v>849</v>
      </c>
      <c r="G4" s="278"/>
      <c r="H4" s="285">
        <v>10000</v>
      </c>
      <c r="I4" s="286">
        <v>10157.93</v>
      </c>
      <c r="J4" s="287"/>
      <c r="K4" s="278">
        <f>SUM(E4+G4+H4+I4)</f>
        <v>1804735.93</v>
      </c>
      <c r="L4" s="278"/>
      <c r="M4" s="288"/>
      <c r="R4" s="330"/>
      <c r="S4" s="66" t="s">
        <v>732</v>
      </c>
      <c r="T4" s="214">
        <f>I4+I6+J6</f>
        <v>267457.91000000003</v>
      </c>
      <c r="U4" s="218"/>
      <c r="V4" s="219"/>
      <c r="W4" s="330"/>
      <c r="X4" s="66" t="s">
        <v>733</v>
      </c>
      <c r="Y4" s="341">
        <f>I7</f>
        <v>84548.800000000003</v>
      </c>
    </row>
    <row r="5" spans="1:25" ht="18.75" x14ac:dyDescent="0.3">
      <c r="A5" s="275" t="s">
        <v>850</v>
      </c>
      <c r="B5" s="276"/>
      <c r="C5" s="278">
        <v>436700</v>
      </c>
      <c r="D5" s="278">
        <f>SUM(C5*3%)</f>
        <v>13101</v>
      </c>
      <c r="E5" s="278">
        <f t="shared" ref="E5:E7" si="0">SUM(C5:D5)</f>
        <v>449801</v>
      </c>
      <c r="F5" s="284" t="s">
        <v>851</v>
      </c>
      <c r="G5" s="289"/>
      <c r="H5" s="290">
        <v>30000</v>
      </c>
      <c r="I5" s="286">
        <v>0</v>
      </c>
      <c r="J5" s="286"/>
      <c r="K5" s="278">
        <f>SUM(E5+H5+I5)</f>
        <v>479801</v>
      </c>
      <c r="L5" s="278"/>
      <c r="M5" s="288"/>
      <c r="R5" s="330"/>
      <c r="S5" s="66" t="s">
        <v>709</v>
      </c>
      <c r="T5" s="213">
        <f>T4/S16</f>
        <v>9905.84851851852</v>
      </c>
      <c r="U5" s="330"/>
      <c r="V5" s="213"/>
      <c r="W5" s="330"/>
      <c r="X5" s="66" t="s">
        <v>709</v>
      </c>
      <c r="Y5" s="342">
        <f>Y4/S16</f>
        <v>3131.437037037037</v>
      </c>
    </row>
    <row r="6" spans="1:25" ht="18.75" x14ac:dyDescent="0.3">
      <c r="A6" s="275" t="s">
        <v>852</v>
      </c>
      <c r="B6" s="276"/>
      <c r="C6" s="278">
        <v>3736600</v>
      </c>
      <c r="D6" s="278">
        <f>SUM(C6*3%)</f>
        <v>112098</v>
      </c>
      <c r="E6" s="278">
        <f t="shared" si="0"/>
        <v>3848698</v>
      </c>
      <c r="F6" s="284" t="s">
        <v>853</v>
      </c>
      <c r="G6" s="289"/>
      <c r="H6" s="278">
        <v>100000</v>
      </c>
      <c r="I6" s="286">
        <v>173799.98</v>
      </c>
      <c r="J6" s="286">
        <v>83500</v>
      </c>
      <c r="K6" s="278">
        <f>SUM(E6+H6+I6+J6)</f>
        <v>4205997.9800000004</v>
      </c>
      <c r="L6" s="278">
        <f>SUM(E6+H6)</f>
        <v>3948698</v>
      </c>
      <c r="M6" s="288"/>
      <c r="R6" s="330"/>
      <c r="S6" s="66"/>
      <c r="T6" s="212"/>
      <c r="U6" s="218"/>
      <c r="V6" s="219"/>
      <c r="W6" s="330"/>
      <c r="X6" s="66"/>
    </row>
    <row r="7" spans="1:25" ht="18.75" x14ac:dyDescent="0.3">
      <c r="A7" s="275" t="s">
        <v>854</v>
      </c>
      <c r="B7" s="276"/>
      <c r="C7" s="278">
        <v>1301200</v>
      </c>
      <c r="D7" s="278">
        <f>SUM(C7*3%)</f>
        <v>39036</v>
      </c>
      <c r="E7" s="278">
        <f t="shared" si="0"/>
        <v>1340236</v>
      </c>
      <c r="F7" s="279"/>
      <c r="G7" s="279"/>
      <c r="H7" s="278"/>
      <c r="I7" s="286">
        <v>84548.800000000003</v>
      </c>
      <c r="J7" s="286"/>
      <c r="K7" s="278">
        <f>SUM(E7+H7+I7)</f>
        <v>1424784.8</v>
      </c>
      <c r="L7" s="278">
        <f>SUM(E7+H7)</f>
        <v>1340236</v>
      </c>
      <c r="M7" s="291"/>
      <c r="R7" s="330"/>
      <c r="S7" s="330"/>
      <c r="T7" s="212"/>
      <c r="U7" s="330"/>
      <c r="V7" s="213"/>
      <c r="W7" s="330"/>
      <c r="X7" s="330"/>
    </row>
    <row r="8" spans="1:25" ht="18.75" x14ac:dyDescent="0.3">
      <c r="A8" s="275"/>
      <c r="B8" s="276"/>
      <c r="C8" s="275"/>
      <c r="D8" s="278">
        <f t="shared" ref="D8" si="1">SUM(C8*3%)</f>
        <v>0</v>
      </c>
      <c r="E8" s="278"/>
      <c r="F8" s="279"/>
      <c r="G8" s="279"/>
      <c r="H8" s="278"/>
      <c r="I8" s="282"/>
      <c r="J8" s="282"/>
      <c r="K8" s="278"/>
      <c r="L8" s="278"/>
      <c r="M8" s="291"/>
      <c r="R8" s="330"/>
      <c r="S8" s="66" t="s">
        <v>723</v>
      </c>
      <c r="T8" s="212">
        <f>H11</f>
        <v>140000</v>
      </c>
      <c r="U8" s="330"/>
      <c r="V8" s="219"/>
      <c r="W8" s="330"/>
      <c r="X8" s="330"/>
    </row>
    <row r="9" spans="1:25" ht="18.75" x14ac:dyDescent="0.3">
      <c r="A9" s="292" t="s">
        <v>855</v>
      </c>
      <c r="B9" s="276"/>
      <c r="C9" s="293">
        <f>SUM(C4:C8)</f>
        <v>7207100</v>
      </c>
      <c r="D9" s="293">
        <f>SUM(C9*3%)</f>
        <v>216213</v>
      </c>
      <c r="E9" s="293">
        <f>SUM(E4:E8)</f>
        <v>7423313</v>
      </c>
      <c r="F9" s="294"/>
      <c r="G9" s="294"/>
      <c r="H9" s="293"/>
      <c r="I9" s="293">
        <f>SUM(I4:I7)</f>
        <v>268506.71000000002</v>
      </c>
      <c r="J9" s="293">
        <f>SUM(J4:J7)</f>
        <v>83500</v>
      </c>
      <c r="K9" s="293">
        <f>SUM(K4:K7)</f>
        <v>7915319.71</v>
      </c>
      <c r="L9" s="293">
        <f>SUM(L4:L8)</f>
        <v>5288934</v>
      </c>
      <c r="M9" s="288"/>
      <c r="R9" s="330"/>
      <c r="S9" s="66" t="s">
        <v>745</v>
      </c>
      <c r="T9" s="174">
        <f>T8/S16</f>
        <v>5185.1851851851852</v>
      </c>
      <c r="U9" s="330"/>
      <c r="V9" s="219"/>
      <c r="W9" s="330"/>
      <c r="X9" s="330"/>
    </row>
    <row r="10" spans="1:25" ht="18.75" x14ac:dyDescent="0.3">
      <c r="A10" s="275" t="s">
        <v>856</v>
      </c>
      <c r="B10" s="276"/>
      <c r="C10" s="295">
        <v>650200</v>
      </c>
      <c r="D10" s="295">
        <f>SUM(C10*3%)</f>
        <v>19506</v>
      </c>
      <c r="E10" s="295">
        <f>SUM(C10:D10)</f>
        <v>669706</v>
      </c>
      <c r="F10" s="296"/>
      <c r="G10" s="296"/>
      <c r="H10" s="295"/>
      <c r="I10" s="295"/>
      <c r="J10" s="295"/>
      <c r="K10" s="295">
        <f>SUM(C10:D10)</f>
        <v>669706</v>
      </c>
      <c r="L10" s="295"/>
      <c r="M10" s="288"/>
      <c r="R10" s="330"/>
      <c r="S10" s="330"/>
      <c r="T10" s="330"/>
      <c r="U10" s="330"/>
      <c r="V10" s="213"/>
      <c r="W10" s="330"/>
      <c r="X10" s="330"/>
    </row>
    <row r="11" spans="1:25" ht="18" x14ac:dyDescent="0.25">
      <c r="A11" s="292" t="s">
        <v>857</v>
      </c>
      <c r="B11" s="276"/>
      <c r="C11" s="297">
        <f>SUM(C9:C10)</f>
        <v>7857300</v>
      </c>
      <c r="D11" s="297">
        <f>SUM(D9:D10)</f>
        <v>235719</v>
      </c>
      <c r="E11" s="297">
        <f>SUM(E9:E10)</f>
        <v>8093019</v>
      </c>
      <c r="F11" s="298"/>
      <c r="G11" s="297">
        <f>SUM(G4:G8)</f>
        <v>0</v>
      </c>
      <c r="H11" s="297">
        <f>SUM(H4:H8)</f>
        <v>140000</v>
      </c>
      <c r="I11" s="299"/>
      <c r="J11" s="299"/>
      <c r="K11" s="297">
        <f>SUM(K9:K10)</f>
        <v>8585025.7100000009</v>
      </c>
      <c r="L11" s="297"/>
      <c r="M11" s="279"/>
      <c r="R11" s="330"/>
      <c r="S11" s="66"/>
      <c r="T11" s="330"/>
      <c r="U11" s="330"/>
      <c r="V11" s="213"/>
      <c r="W11" s="330"/>
      <c r="X11" s="330"/>
    </row>
    <row r="12" spans="1:25" ht="18" x14ac:dyDescent="0.25">
      <c r="A12" s="292"/>
      <c r="B12" s="276"/>
      <c r="C12" s="300"/>
      <c r="D12" s="300"/>
      <c r="E12" s="300"/>
      <c r="F12" s="301"/>
      <c r="G12" s="301"/>
      <c r="H12" s="300"/>
      <c r="I12" s="282"/>
      <c r="J12" s="282"/>
      <c r="K12" s="300"/>
      <c r="L12" s="300"/>
      <c r="M12" s="275"/>
      <c r="R12" t="s">
        <v>475</v>
      </c>
    </row>
    <row r="13" spans="1:25" ht="18.75" x14ac:dyDescent="0.3">
      <c r="A13" s="275"/>
      <c r="B13" s="276"/>
      <c r="C13" s="275"/>
      <c r="D13" s="275"/>
      <c r="E13" s="278"/>
      <c r="F13" s="275"/>
      <c r="G13" s="275"/>
      <c r="H13" s="302"/>
      <c r="I13" s="302"/>
      <c r="J13" s="302"/>
      <c r="K13" s="302"/>
      <c r="L13" s="302"/>
      <c r="M13" s="275"/>
      <c r="R13" s="66" t="s">
        <v>708</v>
      </c>
      <c r="S13" s="212">
        <v>1408000</v>
      </c>
    </row>
    <row r="14" spans="1:25" s="330" customFormat="1" ht="18.75" x14ac:dyDescent="0.3">
      <c r="A14" s="275"/>
      <c r="B14" s="276"/>
      <c r="C14" s="275"/>
      <c r="D14" s="275"/>
      <c r="E14" s="278"/>
      <c r="F14" s="275"/>
      <c r="G14" s="275"/>
      <c r="H14" s="302"/>
      <c r="I14" s="302"/>
      <c r="J14" s="302"/>
      <c r="K14" s="302"/>
      <c r="L14" s="302"/>
      <c r="M14" s="275"/>
      <c r="R14" s="247" t="s">
        <v>882</v>
      </c>
      <c r="S14" s="212">
        <f>I7</f>
        <v>84548.800000000003</v>
      </c>
    </row>
    <row r="15" spans="1:25" ht="19.5" thickBot="1" x14ac:dyDescent="0.35">
      <c r="A15" s="303" t="s">
        <v>858</v>
      </c>
      <c r="B15" s="276"/>
      <c r="C15" s="294" t="s">
        <v>859</v>
      </c>
      <c r="D15" s="294" t="s">
        <v>860</v>
      </c>
      <c r="E15" s="278"/>
      <c r="F15" s="293" t="s">
        <v>861</v>
      </c>
      <c r="G15" s="294" t="s">
        <v>862</v>
      </c>
      <c r="H15" s="278"/>
      <c r="I15" s="279"/>
      <c r="J15" s="279"/>
      <c r="K15" s="302"/>
      <c r="L15" s="302"/>
      <c r="M15" s="275"/>
      <c r="S15" s="248">
        <f>S13-S14</f>
        <v>1323451.2</v>
      </c>
    </row>
    <row r="16" spans="1:25" ht="19.5" thickTop="1" x14ac:dyDescent="0.3">
      <c r="A16" s="304" t="s">
        <v>848</v>
      </c>
      <c r="B16" s="276"/>
      <c r="C16" s="305">
        <f>SUM(K4)</f>
        <v>1804735.93</v>
      </c>
      <c r="D16" s="306">
        <v>1805000</v>
      </c>
      <c r="E16" s="307"/>
      <c r="F16" s="305">
        <f>SUM(C16/12)</f>
        <v>150394.66083333333</v>
      </c>
      <c r="G16" s="308">
        <f>ROUND(F16,-3)</f>
        <v>150000</v>
      </c>
      <c r="H16" s="278"/>
      <c r="I16" s="279"/>
      <c r="J16" s="279"/>
      <c r="K16" s="302"/>
      <c r="L16" s="302"/>
      <c r="M16" s="275"/>
      <c r="R16" s="66" t="s">
        <v>738</v>
      </c>
      <c r="S16">
        <v>27</v>
      </c>
    </row>
    <row r="17" spans="1:19" ht="18.75" x14ac:dyDescent="0.3">
      <c r="A17" s="304" t="s">
        <v>850</v>
      </c>
      <c r="B17" s="276"/>
      <c r="C17" s="305">
        <f>SUM(K5)</f>
        <v>479801</v>
      </c>
      <c r="D17" s="306">
        <v>480000</v>
      </c>
      <c r="E17" s="307"/>
      <c r="F17" s="305">
        <f>SUM(C17/12)</f>
        <v>39983.416666666664</v>
      </c>
      <c r="G17" s="308">
        <f>ROUND(F17,-3)</f>
        <v>40000</v>
      </c>
      <c r="H17" s="278"/>
      <c r="I17" s="279"/>
      <c r="J17" s="279"/>
      <c r="K17" s="302"/>
      <c r="L17" s="302"/>
      <c r="M17" s="275"/>
      <c r="R17" s="66" t="s">
        <v>709</v>
      </c>
      <c r="S17" s="213">
        <f>S15/S16</f>
        <v>49016.711111111108</v>
      </c>
    </row>
    <row r="18" spans="1:19" ht="18.75" x14ac:dyDescent="0.3">
      <c r="A18" s="304" t="s">
        <v>863</v>
      </c>
      <c r="B18" s="276"/>
      <c r="C18" s="305">
        <f>SUM(K6)</f>
        <v>4205997.9800000004</v>
      </c>
      <c r="D18" s="309">
        <v>4223000</v>
      </c>
      <c r="E18" s="310" t="s">
        <v>864</v>
      </c>
      <c r="F18" s="305">
        <f>SUM(D18/12)</f>
        <v>351916.66666666669</v>
      </c>
      <c r="G18" s="308">
        <f>ROUND(F18,-3)</f>
        <v>352000</v>
      </c>
      <c r="H18" s="278"/>
      <c r="I18" s="279"/>
      <c r="J18" s="279"/>
      <c r="K18" s="302"/>
      <c r="L18" s="302"/>
      <c r="M18" s="275"/>
    </row>
    <row r="19" spans="1:19" ht="18.75" x14ac:dyDescent="0.3">
      <c r="A19" s="304" t="s">
        <v>865</v>
      </c>
      <c r="B19" s="276"/>
      <c r="C19" s="305">
        <f>SUM(K7)</f>
        <v>1424784.8</v>
      </c>
      <c r="D19" s="311">
        <v>1408000</v>
      </c>
      <c r="E19" s="310" t="s">
        <v>864</v>
      </c>
      <c r="F19" s="305">
        <f>SUM(D19/12)</f>
        <v>117333.33333333333</v>
      </c>
      <c r="G19" s="308">
        <f>ROUND(F19,-3)</f>
        <v>117000</v>
      </c>
      <c r="H19" s="278"/>
      <c r="I19" s="312"/>
      <c r="J19" s="312"/>
      <c r="K19" s="302"/>
      <c r="L19" s="302"/>
      <c r="M19" s="275"/>
      <c r="R19" s="66" t="s">
        <v>822</v>
      </c>
      <c r="S19" s="246">
        <f>8586000-1408000</f>
        <v>7178000</v>
      </c>
    </row>
    <row r="20" spans="1:19" ht="18.75" x14ac:dyDescent="0.3">
      <c r="A20" s="304" t="s">
        <v>856</v>
      </c>
      <c r="B20" s="276"/>
      <c r="C20" s="305">
        <f>SUM(K10)</f>
        <v>669706</v>
      </c>
      <c r="D20" s="306">
        <v>670000</v>
      </c>
      <c r="E20" s="307"/>
      <c r="F20" s="305">
        <f>SUM(C20/12)</f>
        <v>55808.833333333336</v>
      </c>
      <c r="G20" s="308">
        <f>ROUND(F20,-3)</f>
        <v>56000</v>
      </c>
      <c r="H20" s="278"/>
      <c r="I20" s="302"/>
      <c r="J20" s="302"/>
      <c r="K20" s="302"/>
      <c r="L20" s="302"/>
      <c r="M20" s="275"/>
      <c r="R20" s="247" t="s">
        <v>823</v>
      </c>
      <c r="S20" s="212">
        <f>-(10157.93+173799.98)-83500</f>
        <v>-267457.91000000003</v>
      </c>
    </row>
    <row r="21" spans="1:19" ht="18.75" x14ac:dyDescent="0.3">
      <c r="A21" s="304"/>
      <c r="B21" s="276"/>
      <c r="C21" s="278"/>
      <c r="D21" s="275"/>
      <c r="E21" s="275"/>
      <c r="F21" s="278"/>
      <c r="G21" s="275"/>
      <c r="H21" s="278"/>
      <c r="I21" s="302"/>
      <c r="J21" s="302"/>
      <c r="K21" s="302"/>
      <c r="L21" s="302"/>
      <c r="M21" s="275"/>
      <c r="R21" s="247" t="s">
        <v>824</v>
      </c>
      <c r="S21" s="245">
        <v>-140000</v>
      </c>
    </row>
    <row r="22" spans="1:19" ht="19.5" thickBot="1" x14ac:dyDescent="0.35">
      <c r="A22" s="304" t="s">
        <v>29</v>
      </c>
      <c r="B22" s="276"/>
      <c r="C22" s="305">
        <f>SUM(K11)</f>
        <v>8585025.7100000009</v>
      </c>
      <c r="D22" s="305">
        <f>SUM(D16:D21)</f>
        <v>8586000</v>
      </c>
      <c r="E22" s="305"/>
      <c r="F22" s="305">
        <f>SUM(F16:F20)</f>
        <v>715436.91083333339</v>
      </c>
      <c r="G22" s="305">
        <f>SUM(G16:G21)</f>
        <v>715000</v>
      </c>
      <c r="H22" s="278"/>
      <c r="I22" s="313"/>
      <c r="J22" s="313"/>
      <c r="K22" s="313"/>
      <c r="L22" s="314"/>
      <c r="M22" s="275"/>
      <c r="R22" s="66"/>
      <c r="S22" s="248">
        <f>SUM(S19:S21)</f>
        <v>6770542.0899999999</v>
      </c>
    </row>
    <row r="23" spans="1:19" ht="18.75" thickTop="1" x14ac:dyDescent="0.25">
      <c r="A23" s="315"/>
      <c r="B23" s="276"/>
      <c r="C23" s="275"/>
      <c r="D23" s="275"/>
      <c r="E23" s="278"/>
      <c r="F23" s="278"/>
      <c r="G23" s="278"/>
      <c r="H23" s="278"/>
      <c r="I23" s="278"/>
      <c r="J23" s="278"/>
      <c r="K23" s="278"/>
      <c r="L23" s="275"/>
      <c r="M23" s="275"/>
      <c r="R23" s="66" t="s">
        <v>827</v>
      </c>
      <c r="S23" s="13">
        <f>S22/S16</f>
        <v>250760.81814814813</v>
      </c>
    </row>
    <row r="24" spans="1:19" ht="18" x14ac:dyDescent="0.25">
      <c r="A24" s="315"/>
      <c r="B24" s="276"/>
      <c r="C24" s="275"/>
      <c r="D24" s="275"/>
      <c r="E24" s="278"/>
      <c r="F24" s="316"/>
      <c r="G24" s="316"/>
      <c r="H24" s="317" t="s">
        <v>864</v>
      </c>
      <c r="I24" s="278"/>
      <c r="J24" s="278"/>
      <c r="K24" s="278"/>
      <c r="L24" s="275"/>
      <c r="M24" s="275"/>
      <c r="S24" s="13"/>
    </row>
    <row r="25" spans="1:19" ht="18" x14ac:dyDescent="0.25">
      <c r="A25" s="318" t="s">
        <v>866</v>
      </c>
      <c r="B25" s="276"/>
      <c r="C25" s="294"/>
      <c r="D25" s="294"/>
      <c r="E25" s="293"/>
      <c r="F25" s="319" t="s">
        <v>867</v>
      </c>
      <c r="G25" s="319"/>
      <c r="H25" s="319" t="s">
        <v>868</v>
      </c>
      <c r="I25" s="278"/>
      <c r="J25" s="278"/>
      <c r="K25" s="278"/>
      <c r="L25" s="275"/>
      <c r="M25" s="275"/>
    </row>
    <row r="26" spans="1:19" ht="18" x14ac:dyDescent="0.25">
      <c r="A26" s="320" t="s">
        <v>852</v>
      </c>
      <c r="B26" s="276"/>
      <c r="C26" s="293">
        <f>SUM(C18)</f>
        <v>4205997.9800000004</v>
      </c>
      <c r="D26" s="321" t="s">
        <v>869</v>
      </c>
      <c r="E26" s="293" t="s">
        <v>870</v>
      </c>
      <c r="F26" s="322">
        <f>SUM(L9*75%)</f>
        <v>3966700.5</v>
      </c>
      <c r="G26" s="322"/>
      <c r="H26" s="323">
        <f>SUM(C28*75%)</f>
        <v>4223087.085</v>
      </c>
      <c r="I26" s="278"/>
      <c r="J26" s="278"/>
      <c r="K26" s="278"/>
      <c r="L26" s="275"/>
      <c r="M26" s="275"/>
    </row>
    <row r="27" spans="1:19" ht="18" x14ac:dyDescent="0.25">
      <c r="A27" s="320" t="s">
        <v>871</v>
      </c>
      <c r="B27" s="276"/>
      <c r="C27" s="293">
        <f>SUM(C19)</f>
        <v>1424784.8</v>
      </c>
      <c r="D27" s="321" t="s">
        <v>869</v>
      </c>
      <c r="E27" s="293" t="s">
        <v>872</v>
      </c>
      <c r="F27" s="322">
        <f>SUM(L9*25%)</f>
        <v>1322233.5</v>
      </c>
      <c r="G27" s="322"/>
      <c r="H27" s="324">
        <f>SUM(C28*0.25)</f>
        <v>1407695.6950000001</v>
      </c>
      <c r="I27" s="278"/>
      <c r="J27" s="278"/>
      <c r="K27" s="278"/>
      <c r="L27" s="275"/>
      <c r="M27" s="275"/>
    </row>
    <row r="28" spans="1:19" ht="18" x14ac:dyDescent="0.25">
      <c r="A28" s="294"/>
      <c r="B28" s="276"/>
      <c r="C28" s="293">
        <f>SUM(C26:C27)</f>
        <v>5630782.7800000003</v>
      </c>
      <c r="D28" s="294"/>
      <c r="E28" s="293"/>
      <c r="F28" s="293">
        <f>SUM(F26:F27)</f>
        <v>5288934</v>
      </c>
      <c r="G28" s="293"/>
      <c r="H28" s="293">
        <f>SUM(H26:H27)</f>
        <v>5630782.7800000003</v>
      </c>
      <c r="I28" s="278"/>
      <c r="J28" s="278"/>
      <c r="K28" s="278"/>
      <c r="L28" s="275"/>
      <c r="M28" s="275"/>
    </row>
    <row r="29" spans="1:19" ht="18" x14ac:dyDescent="0.25">
      <c r="A29" s="275"/>
      <c r="B29" s="276"/>
      <c r="C29" s="275"/>
      <c r="D29" s="275"/>
      <c r="E29" s="278"/>
      <c r="F29" s="278"/>
      <c r="G29" s="278"/>
      <c r="H29" s="278"/>
      <c r="I29" s="278"/>
      <c r="J29" s="278"/>
      <c r="K29" s="278"/>
      <c r="L29" s="275"/>
      <c r="M29" s="275"/>
    </row>
    <row r="30" spans="1:19" ht="18" x14ac:dyDescent="0.25">
      <c r="A30" s="275"/>
      <c r="B30" s="276"/>
      <c r="C30" s="275"/>
      <c r="D30" s="275"/>
      <c r="E30" s="278"/>
      <c r="F30" s="278"/>
      <c r="G30" s="278"/>
      <c r="H30" s="278"/>
      <c r="I30" s="278"/>
      <c r="J30" s="278"/>
      <c r="K30" s="278"/>
      <c r="L30" s="275"/>
      <c r="M30" s="275"/>
    </row>
    <row r="31" spans="1:19" ht="18" x14ac:dyDescent="0.25">
      <c r="A31" s="275"/>
      <c r="B31" s="276"/>
      <c r="C31" s="275"/>
      <c r="D31" s="275"/>
      <c r="E31" s="278"/>
      <c r="F31" s="275"/>
      <c r="G31" s="275"/>
      <c r="H31" s="278"/>
      <c r="I31" s="278"/>
      <c r="J31" s="278"/>
      <c r="K31" s="278"/>
      <c r="L31" s="278"/>
      <c r="M31" s="275"/>
    </row>
    <row r="32" spans="1:19" ht="18" x14ac:dyDescent="0.25">
      <c r="A32" s="275"/>
      <c r="B32" s="276"/>
      <c r="C32" s="275"/>
      <c r="D32" s="275"/>
      <c r="E32" s="278"/>
      <c r="F32" s="275"/>
      <c r="G32" s="275"/>
      <c r="H32" s="278"/>
      <c r="I32" s="278"/>
      <c r="J32" s="278"/>
      <c r="K32" s="278"/>
      <c r="L32" s="278"/>
      <c r="M32" s="275"/>
    </row>
    <row r="33" spans="1:13" ht="18" x14ac:dyDescent="0.25">
      <c r="A33" s="275"/>
      <c r="B33" s="276"/>
      <c r="C33" s="275"/>
      <c r="D33" s="275"/>
      <c r="E33" s="278"/>
      <c r="F33" s="275"/>
      <c r="G33" s="275"/>
      <c r="H33" s="278"/>
      <c r="I33" s="278"/>
      <c r="J33" s="278"/>
      <c r="K33" s="278"/>
      <c r="L33" s="278"/>
      <c r="M33" s="275"/>
    </row>
    <row r="37" spans="1:13" ht="21" x14ac:dyDescent="0.25">
      <c r="A37" s="332"/>
      <c r="B37" s="333"/>
      <c r="C37" s="334"/>
      <c r="D37" s="334" t="s">
        <v>873</v>
      </c>
      <c r="E37" s="334"/>
      <c r="F37" s="334"/>
      <c r="G37" s="334"/>
      <c r="H37" s="335"/>
    </row>
    <row r="38" spans="1:13" x14ac:dyDescent="0.25">
      <c r="A38" s="522" t="s">
        <v>874</v>
      </c>
      <c r="B38" s="523"/>
      <c r="C38" s="523"/>
      <c r="D38" s="523"/>
      <c r="E38" s="523"/>
      <c r="F38" s="523"/>
      <c r="G38" s="523"/>
      <c r="H38" s="524"/>
    </row>
    <row r="39" spans="1:13" ht="60" x14ac:dyDescent="0.25">
      <c r="A39" s="331" t="s">
        <v>727</v>
      </c>
      <c r="B39" s="331" t="s">
        <v>728</v>
      </c>
      <c r="C39" s="331" t="s">
        <v>729</v>
      </c>
      <c r="D39" s="331" t="s">
        <v>875</v>
      </c>
      <c r="E39" s="331" t="s">
        <v>876</v>
      </c>
      <c r="F39" s="331" t="s">
        <v>877</v>
      </c>
      <c r="G39" s="331" t="s">
        <v>878</v>
      </c>
      <c r="H39" s="331" t="s">
        <v>368</v>
      </c>
    </row>
    <row r="40" spans="1:13" x14ac:dyDescent="0.25">
      <c r="A40" s="336">
        <v>1</v>
      </c>
      <c r="B40" s="337">
        <v>43814</v>
      </c>
      <c r="C40" s="337">
        <v>43827</v>
      </c>
      <c r="D40" s="337">
        <v>43825</v>
      </c>
      <c r="E40" s="337">
        <v>43829</v>
      </c>
      <c r="F40" s="338">
        <v>43829</v>
      </c>
      <c r="G40" s="338">
        <v>43830</v>
      </c>
      <c r="H40" s="337">
        <v>43833</v>
      </c>
    </row>
    <row r="41" spans="1:13" x14ac:dyDescent="0.25">
      <c r="A41" s="336">
        <v>2</v>
      </c>
      <c r="B41" s="337">
        <v>43828</v>
      </c>
      <c r="C41" s="337">
        <v>43841</v>
      </c>
      <c r="D41" s="337">
        <v>43839</v>
      </c>
      <c r="E41" s="337">
        <v>43843</v>
      </c>
      <c r="F41" s="339">
        <v>43844</v>
      </c>
      <c r="G41" s="337">
        <v>43845</v>
      </c>
      <c r="H41" s="337">
        <v>43847</v>
      </c>
    </row>
    <row r="42" spans="1:13" x14ac:dyDescent="0.25">
      <c r="A42" s="336" t="s">
        <v>879</v>
      </c>
      <c r="B42" s="337">
        <v>43842</v>
      </c>
      <c r="C42" s="337">
        <v>43855</v>
      </c>
      <c r="D42" s="337">
        <v>43853</v>
      </c>
      <c r="E42" s="337">
        <v>43857</v>
      </c>
      <c r="F42" s="337">
        <v>43858</v>
      </c>
      <c r="G42" s="337">
        <v>43859</v>
      </c>
      <c r="H42" s="337">
        <v>43861</v>
      </c>
    </row>
    <row r="43" spans="1:13" x14ac:dyDescent="0.25">
      <c r="A43" s="336">
        <v>4</v>
      </c>
      <c r="B43" s="337">
        <v>43856</v>
      </c>
      <c r="C43" s="337">
        <v>43869</v>
      </c>
      <c r="D43" s="337">
        <v>43867</v>
      </c>
      <c r="E43" s="337">
        <v>43871</v>
      </c>
      <c r="F43" s="339">
        <v>43872</v>
      </c>
      <c r="G43" s="337">
        <v>43873</v>
      </c>
      <c r="H43" s="337">
        <v>43875</v>
      </c>
    </row>
    <row r="44" spans="1:13" x14ac:dyDescent="0.25">
      <c r="A44" s="336">
        <v>5</v>
      </c>
      <c r="B44" s="337">
        <v>43870</v>
      </c>
      <c r="C44" s="337">
        <v>43883</v>
      </c>
      <c r="D44" s="337">
        <v>43881</v>
      </c>
      <c r="E44" s="337">
        <v>43885</v>
      </c>
      <c r="F44" s="337">
        <v>43886</v>
      </c>
      <c r="G44" s="337">
        <v>43887</v>
      </c>
      <c r="H44" s="337">
        <v>43889</v>
      </c>
    </row>
    <row r="45" spans="1:13" x14ac:dyDescent="0.25">
      <c r="A45" s="336">
        <v>6</v>
      </c>
      <c r="B45" s="337">
        <v>43884</v>
      </c>
      <c r="C45" s="337">
        <v>43897</v>
      </c>
      <c r="D45" s="337">
        <v>43895</v>
      </c>
      <c r="E45" s="337">
        <v>43899</v>
      </c>
      <c r="F45" s="339">
        <v>43900</v>
      </c>
      <c r="G45" s="337">
        <v>43901</v>
      </c>
      <c r="H45" s="337">
        <v>43903</v>
      </c>
    </row>
    <row r="46" spans="1:13" x14ac:dyDescent="0.25">
      <c r="A46" s="336">
        <v>7</v>
      </c>
      <c r="B46" s="337">
        <v>43898</v>
      </c>
      <c r="C46" s="337">
        <v>43911</v>
      </c>
      <c r="D46" s="337">
        <v>43909</v>
      </c>
      <c r="E46" s="337">
        <v>43913</v>
      </c>
      <c r="F46" s="337">
        <v>43914</v>
      </c>
      <c r="G46" s="337">
        <v>43915</v>
      </c>
      <c r="H46" s="337">
        <v>43917</v>
      </c>
    </row>
    <row r="47" spans="1:13" x14ac:dyDescent="0.25">
      <c r="A47" s="336">
        <v>8</v>
      </c>
      <c r="B47" s="337">
        <v>43912</v>
      </c>
      <c r="C47" s="337">
        <v>43925</v>
      </c>
      <c r="D47" s="337">
        <v>43923</v>
      </c>
      <c r="E47" s="337">
        <v>43927</v>
      </c>
      <c r="F47" s="338">
        <v>43927</v>
      </c>
      <c r="G47" s="338">
        <v>43928</v>
      </c>
      <c r="H47" s="338">
        <v>43930</v>
      </c>
    </row>
    <row r="48" spans="1:13" x14ac:dyDescent="0.25">
      <c r="A48" s="336">
        <v>9</v>
      </c>
      <c r="B48" s="337">
        <v>43926</v>
      </c>
      <c r="C48" s="337">
        <v>43939</v>
      </c>
      <c r="D48" s="337">
        <v>43937</v>
      </c>
      <c r="E48" s="337">
        <v>43941</v>
      </c>
      <c r="F48" s="337">
        <v>43942</v>
      </c>
      <c r="G48" s="337">
        <v>43943</v>
      </c>
      <c r="H48" s="337">
        <v>43945</v>
      </c>
    </row>
    <row r="49" spans="1:8" x14ac:dyDescent="0.25">
      <c r="A49" s="336">
        <v>10</v>
      </c>
      <c r="B49" s="337">
        <v>43940</v>
      </c>
      <c r="C49" s="337">
        <v>43953</v>
      </c>
      <c r="D49" s="337">
        <v>43951</v>
      </c>
      <c r="E49" s="337">
        <v>43955</v>
      </c>
      <c r="F49" s="339">
        <v>43956</v>
      </c>
      <c r="G49" s="337">
        <v>43957</v>
      </c>
      <c r="H49" s="337">
        <v>43959</v>
      </c>
    </row>
    <row r="50" spans="1:8" x14ac:dyDescent="0.25">
      <c r="A50" s="336">
        <v>11</v>
      </c>
      <c r="B50" s="337">
        <v>43954</v>
      </c>
      <c r="C50" s="337">
        <v>43967</v>
      </c>
      <c r="D50" s="337">
        <v>43965</v>
      </c>
      <c r="E50" s="337">
        <v>43969</v>
      </c>
      <c r="F50" s="337">
        <v>43970</v>
      </c>
      <c r="G50" s="337">
        <v>43971</v>
      </c>
      <c r="H50" s="337">
        <v>43973</v>
      </c>
    </row>
    <row r="51" spans="1:8" x14ac:dyDescent="0.25">
      <c r="A51" s="336">
        <v>12</v>
      </c>
      <c r="B51" s="337">
        <v>43968</v>
      </c>
      <c r="C51" s="337">
        <v>43981</v>
      </c>
      <c r="D51" s="337">
        <v>43979</v>
      </c>
      <c r="E51" s="337">
        <v>43983</v>
      </c>
      <c r="F51" s="339">
        <v>43984</v>
      </c>
      <c r="G51" s="337">
        <v>43985</v>
      </c>
      <c r="H51" s="337">
        <v>43987</v>
      </c>
    </row>
    <row r="52" spans="1:8" x14ac:dyDescent="0.25">
      <c r="A52" s="336">
        <v>13</v>
      </c>
      <c r="B52" s="337">
        <v>43982</v>
      </c>
      <c r="C52" s="337">
        <v>43995</v>
      </c>
      <c r="D52" s="337">
        <v>43993</v>
      </c>
      <c r="E52" s="337">
        <v>43997</v>
      </c>
      <c r="F52" s="337">
        <v>43998</v>
      </c>
      <c r="G52" s="337">
        <v>43999</v>
      </c>
      <c r="H52" s="337">
        <v>44001</v>
      </c>
    </row>
    <row r="53" spans="1:8" x14ac:dyDescent="0.25">
      <c r="A53" s="336">
        <v>14</v>
      </c>
      <c r="B53" s="337">
        <v>43996</v>
      </c>
      <c r="C53" s="337">
        <v>44009</v>
      </c>
      <c r="D53" s="337">
        <v>44007</v>
      </c>
      <c r="E53" s="337">
        <v>44011</v>
      </c>
      <c r="F53" s="338">
        <v>43645</v>
      </c>
      <c r="G53" s="338">
        <v>43646</v>
      </c>
      <c r="H53" s="338">
        <v>43648</v>
      </c>
    </row>
    <row r="54" spans="1:8" x14ac:dyDescent="0.25">
      <c r="A54" s="336">
        <v>15</v>
      </c>
      <c r="B54" s="337">
        <v>44010</v>
      </c>
      <c r="C54" s="337">
        <v>44023</v>
      </c>
      <c r="D54" s="337">
        <v>44021</v>
      </c>
      <c r="E54" s="337">
        <v>44025</v>
      </c>
      <c r="F54" s="337">
        <v>44026</v>
      </c>
      <c r="G54" s="337">
        <v>44027</v>
      </c>
      <c r="H54" s="337">
        <v>44029</v>
      </c>
    </row>
    <row r="55" spans="1:8" x14ac:dyDescent="0.25">
      <c r="A55" s="336" t="s">
        <v>880</v>
      </c>
      <c r="B55" s="337">
        <v>44024</v>
      </c>
      <c r="C55" s="337">
        <v>44037</v>
      </c>
      <c r="D55" s="337">
        <v>44035</v>
      </c>
      <c r="E55" s="337">
        <v>44039</v>
      </c>
      <c r="F55" s="339">
        <v>44040</v>
      </c>
      <c r="G55" s="337">
        <v>44041</v>
      </c>
      <c r="H55" s="337">
        <v>44043</v>
      </c>
    </row>
    <row r="56" spans="1:8" x14ac:dyDescent="0.25">
      <c r="A56" s="336">
        <v>17</v>
      </c>
      <c r="B56" s="337">
        <v>44038</v>
      </c>
      <c r="C56" s="337">
        <v>44051</v>
      </c>
      <c r="D56" s="337">
        <v>44049</v>
      </c>
      <c r="E56" s="337">
        <v>44053</v>
      </c>
      <c r="F56" s="337">
        <v>44054</v>
      </c>
      <c r="G56" s="337">
        <v>44055</v>
      </c>
      <c r="H56" s="337">
        <v>44057</v>
      </c>
    </row>
    <row r="57" spans="1:8" x14ac:dyDescent="0.25">
      <c r="A57" s="336">
        <v>18</v>
      </c>
      <c r="B57" s="337">
        <v>44052</v>
      </c>
      <c r="C57" s="337">
        <v>44065</v>
      </c>
      <c r="D57" s="337">
        <v>44063</v>
      </c>
      <c r="E57" s="337">
        <v>44067</v>
      </c>
      <c r="F57" s="339">
        <v>44068</v>
      </c>
      <c r="G57" s="337">
        <v>44069</v>
      </c>
      <c r="H57" s="337">
        <v>44071</v>
      </c>
    </row>
    <row r="58" spans="1:8" x14ac:dyDescent="0.25">
      <c r="A58" s="336">
        <v>19</v>
      </c>
      <c r="B58" s="337">
        <v>44066</v>
      </c>
      <c r="C58" s="337">
        <v>44079</v>
      </c>
      <c r="D58" s="337">
        <v>44077</v>
      </c>
      <c r="E58" s="338">
        <v>44078</v>
      </c>
      <c r="F58" s="337">
        <v>44082</v>
      </c>
      <c r="G58" s="337">
        <v>44083</v>
      </c>
      <c r="H58" s="337">
        <v>44085</v>
      </c>
    </row>
    <row r="59" spans="1:8" x14ac:dyDescent="0.25">
      <c r="A59" s="336">
        <v>20</v>
      </c>
      <c r="B59" s="337">
        <v>44080</v>
      </c>
      <c r="C59" s="337">
        <v>44093</v>
      </c>
      <c r="D59" s="337">
        <v>44091</v>
      </c>
      <c r="E59" s="337">
        <v>44095</v>
      </c>
      <c r="F59" s="339">
        <v>44096</v>
      </c>
      <c r="G59" s="337">
        <v>44097</v>
      </c>
      <c r="H59" s="337">
        <v>44099</v>
      </c>
    </row>
    <row r="60" spans="1:8" x14ac:dyDescent="0.25">
      <c r="A60" s="336">
        <v>21</v>
      </c>
      <c r="B60" s="337">
        <v>44094</v>
      </c>
      <c r="C60" s="337">
        <v>44107</v>
      </c>
      <c r="D60" s="337">
        <v>44105</v>
      </c>
      <c r="E60" s="337">
        <v>44109</v>
      </c>
      <c r="F60" s="337">
        <v>44110</v>
      </c>
      <c r="G60" s="337">
        <v>44111</v>
      </c>
      <c r="H60" s="337">
        <v>44113</v>
      </c>
    </row>
    <row r="61" spans="1:8" x14ac:dyDescent="0.25">
      <c r="A61" s="336">
        <v>22</v>
      </c>
      <c r="B61" s="337">
        <v>44108</v>
      </c>
      <c r="C61" s="337">
        <v>44121</v>
      </c>
      <c r="D61" s="337">
        <v>44119</v>
      </c>
      <c r="E61" s="337">
        <v>44123</v>
      </c>
      <c r="F61" s="339">
        <v>44124</v>
      </c>
      <c r="G61" s="337">
        <v>44125</v>
      </c>
      <c r="H61" s="337">
        <v>44127</v>
      </c>
    </row>
    <row r="62" spans="1:8" x14ac:dyDescent="0.25">
      <c r="A62" s="336">
        <v>23</v>
      </c>
      <c r="B62" s="337">
        <v>44122</v>
      </c>
      <c r="C62" s="337">
        <v>44135</v>
      </c>
      <c r="D62" s="337">
        <v>44133</v>
      </c>
      <c r="E62" s="337">
        <v>44137</v>
      </c>
      <c r="F62" s="337">
        <v>44138</v>
      </c>
      <c r="G62" s="337">
        <v>44139</v>
      </c>
      <c r="H62" s="337">
        <v>44141</v>
      </c>
    </row>
    <row r="63" spans="1:8" x14ac:dyDescent="0.25">
      <c r="A63" s="336">
        <v>24</v>
      </c>
      <c r="B63" s="337">
        <v>44136</v>
      </c>
      <c r="C63" s="337">
        <v>44149</v>
      </c>
      <c r="D63" s="337">
        <v>44147</v>
      </c>
      <c r="E63" s="337">
        <v>44151</v>
      </c>
      <c r="F63" s="339">
        <v>44152</v>
      </c>
      <c r="G63" s="337">
        <v>44153</v>
      </c>
      <c r="H63" s="337">
        <v>44155</v>
      </c>
    </row>
    <row r="64" spans="1:8" x14ac:dyDescent="0.25">
      <c r="A64" s="336">
        <v>25</v>
      </c>
      <c r="B64" s="337">
        <v>44150</v>
      </c>
      <c r="C64" s="337">
        <v>44163</v>
      </c>
      <c r="D64" s="337">
        <v>44160</v>
      </c>
      <c r="E64" s="337">
        <v>44165</v>
      </c>
      <c r="F64" s="337">
        <v>44166</v>
      </c>
      <c r="G64" s="337">
        <v>44167</v>
      </c>
      <c r="H64" s="337">
        <v>44169</v>
      </c>
    </row>
    <row r="65" spans="1:8" x14ac:dyDescent="0.25">
      <c r="A65" s="336">
        <v>26</v>
      </c>
      <c r="B65" s="337">
        <v>44164</v>
      </c>
      <c r="C65" s="337">
        <v>44177</v>
      </c>
      <c r="D65" s="337">
        <v>44175</v>
      </c>
      <c r="E65" s="337">
        <v>44179</v>
      </c>
      <c r="F65" s="339">
        <v>44180</v>
      </c>
      <c r="G65" s="337">
        <v>44181</v>
      </c>
      <c r="H65" s="337">
        <v>44183</v>
      </c>
    </row>
    <row r="66" spans="1:8" x14ac:dyDescent="0.25">
      <c r="A66" s="336">
        <v>27</v>
      </c>
      <c r="B66" s="337">
        <v>44178</v>
      </c>
      <c r="C66" s="337">
        <v>44191</v>
      </c>
      <c r="D66" s="337">
        <v>44188</v>
      </c>
      <c r="E66" s="337">
        <v>44193</v>
      </c>
      <c r="F66" s="338">
        <v>44193</v>
      </c>
      <c r="G66" s="338">
        <v>44194</v>
      </c>
      <c r="H66" s="338">
        <v>44196</v>
      </c>
    </row>
    <row r="67" spans="1:8" x14ac:dyDescent="0.25">
      <c r="A67" s="330"/>
      <c r="B67" s="330"/>
      <c r="C67" s="330"/>
      <c r="D67" s="330"/>
      <c r="E67" s="330"/>
      <c r="F67" s="330"/>
      <c r="G67" s="340" t="s">
        <v>881</v>
      </c>
      <c r="H67" s="340"/>
    </row>
  </sheetData>
  <mergeCells count="1">
    <mergeCell ref="A38:H38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V537"/>
  <sheetViews>
    <sheetView showGridLines="0" topLeftCell="A14" zoomScale="87" zoomScaleNormal="87" workbookViewId="0">
      <pane xSplit="7" ySplit="2" topLeftCell="H16" activePane="bottomRight" state="frozen"/>
      <selection activeCell="A14" sqref="A14"/>
      <selection pane="topRight" activeCell="H14" sqref="H14"/>
      <selection pane="bottomLeft" activeCell="A16" sqref="A16"/>
      <selection pane="bottomRight" activeCell="J65" sqref="J65"/>
    </sheetView>
  </sheetViews>
  <sheetFormatPr defaultColWidth="8" defaultRowHeight="11.25" x14ac:dyDescent="0.2"/>
  <cols>
    <col min="1" max="1" width="2.7109375" style="343" customWidth="1"/>
    <col min="2" max="2" width="1.140625" style="343" customWidth="1"/>
    <col min="3" max="3" width="16.28515625" style="343" customWidth="1"/>
    <col min="4" max="4" width="13.140625" style="343" customWidth="1"/>
    <col min="5" max="5" width="7.5703125" style="343" hidden="1" customWidth="1"/>
    <col min="6" max="6" width="7.5703125" style="343" customWidth="1"/>
    <col min="7" max="7" width="30.140625" style="343" customWidth="1"/>
    <col min="8" max="8" width="11.140625" style="343" bestFit="1" customWidth="1"/>
    <col min="9" max="9" width="18" style="343" bestFit="1" customWidth="1"/>
    <col min="10" max="21" width="9.140625" style="343" bestFit="1" customWidth="1"/>
    <col min="22" max="22" width="10" style="343" bestFit="1" customWidth="1"/>
    <col min="23" max="23" width="8.7109375" style="343" customWidth="1"/>
    <col min="24" max="24" width="9.140625" style="343" customWidth="1"/>
    <col min="25" max="25" width="8.7109375" style="343" customWidth="1"/>
    <col min="26" max="26" width="9.140625" style="343" customWidth="1"/>
    <col min="27" max="27" width="8.7109375" style="343" customWidth="1"/>
    <col min="28" max="28" width="9.140625" style="343" customWidth="1"/>
    <col min="29" max="29" width="8.7109375" style="343" customWidth="1"/>
    <col min="30" max="30" width="9.140625" style="343" customWidth="1"/>
    <col min="31" max="31" width="8.7109375" style="343" customWidth="1"/>
    <col min="32" max="32" width="10" style="343" customWidth="1"/>
    <col min="33" max="33" width="13.28515625" style="343" bestFit="1" customWidth="1"/>
    <col min="34" max="16384" width="8" style="343"/>
  </cols>
  <sheetData>
    <row r="1" spans="1:22" ht="24" customHeight="1" x14ac:dyDescent="0.2">
      <c r="E1" s="344"/>
      <c r="F1" s="345" t="s">
        <v>883</v>
      </c>
    </row>
    <row r="2" spans="1:22" s="346" customFormat="1" ht="33.75" customHeight="1" x14ac:dyDescent="0.2">
      <c r="D2" s="347"/>
      <c r="E2" s="347"/>
      <c r="F2" s="347"/>
      <c r="G2" s="347"/>
      <c r="H2" s="348" t="s">
        <v>884</v>
      </c>
      <c r="I2" s="349" t="s">
        <v>885</v>
      </c>
      <c r="J2" s="347"/>
      <c r="K2" s="348" t="s">
        <v>886</v>
      </c>
      <c r="L2" s="349" t="s">
        <v>887</v>
      </c>
      <c r="M2" s="347"/>
      <c r="N2" s="347"/>
      <c r="O2" s="347"/>
      <c r="P2" s="347"/>
      <c r="Q2" s="347"/>
      <c r="R2" s="347"/>
      <c r="S2" s="347"/>
    </row>
    <row r="3" spans="1:22" s="346" customFormat="1" ht="18" customHeight="1" x14ac:dyDescent="0.2">
      <c r="A3" s="350"/>
    </row>
    <row r="5" spans="1:22" ht="12.75" hidden="1" x14ac:dyDescent="0.2">
      <c r="G5" s="351" t="s">
        <v>888</v>
      </c>
      <c r="H5" s="352"/>
      <c r="I5" s="352"/>
      <c r="J5" s="352"/>
      <c r="K5" s="353"/>
    </row>
    <row r="6" spans="1:22" hidden="1" x14ac:dyDescent="0.2">
      <c r="C6" s="354"/>
      <c r="D6" s="354"/>
      <c r="E6" s="355"/>
      <c r="F6" s="355"/>
      <c r="G6" s="356" t="s">
        <v>884</v>
      </c>
      <c r="H6" s="357" t="s">
        <v>885</v>
      </c>
      <c r="I6" s="358"/>
      <c r="J6" s="358" t="s">
        <v>889</v>
      </c>
      <c r="K6" s="359" t="s">
        <v>890</v>
      </c>
    </row>
    <row r="7" spans="1:22" hidden="1" x14ac:dyDescent="0.2">
      <c r="C7" s="354"/>
      <c r="D7" s="354"/>
      <c r="E7" s="355"/>
      <c r="F7" s="355"/>
      <c r="G7" s="360" t="s">
        <v>891</v>
      </c>
      <c r="H7" s="361" t="s">
        <v>892</v>
      </c>
      <c r="I7" s="362"/>
      <c r="J7" s="362" t="s">
        <v>893</v>
      </c>
      <c r="K7" s="363" t="s">
        <v>894</v>
      </c>
    </row>
    <row r="8" spans="1:22" hidden="1" x14ac:dyDescent="0.2">
      <c r="C8" s="354"/>
      <c r="D8" s="354"/>
      <c r="E8" s="355"/>
      <c r="F8" s="355"/>
      <c r="G8" s="360" t="s">
        <v>895</v>
      </c>
      <c r="H8" s="361" t="s">
        <v>896</v>
      </c>
      <c r="I8" s="362"/>
      <c r="J8" s="362" t="s">
        <v>897</v>
      </c>
      <c r="K8" s="363" t="s">
        <v>898</v>
      </c>
    </row>
    <row r="9" spans="1:22" hidden="1" x14ac:dyDescent="0.2">
      <c r="C9" s="354"/>
      <c r="D9" s="354"/>
      <c r="E9" s="355"/>
      <c r="F9" s="355"/>
      <c r="G9" s="360" t="s">
        <v>899</v>
      </c>
      <c r="H9" s="361" t="s">
        <v>900</v>
      </c>
      <c r="I9" s="362"/>
      <c r="J9" s="362" t="s">
        <v>886</v>
      </c>
      <c r="K9" s="363" t="s">
        <v>887</v>
      </c>
    </row>
    <row r="10" spans="1:22" hidden="1" x14ac:dyDescent="0.2">
      <c r="C10" s="354"/>
      <c r="E10" s="355"/>
      <c r="F10" s="355"/>
      <c r="G10" s="360" t="s">
        <v>901</v>
      </c>
      <c r="H10" s="361" t="s">
        <v>902</v>
      </c>
      <c r="I10" s="362"/>
      <c r="J10" s="362" t="s">
        <v>903</v>
      </c>
      <c r="K10" s="363" t="s">
        <v>894</v>
      </c>
    </row>
    <row r="11" spans="1:22" hidden="1" x14ac:dyDescent="0.2">
      <c r="D11" s="354"/>
      <c r="E11" s="355"/>
      <c r="F11" s="355"/>
      <c r="G11" s="364" t="s">
        <v>904</v>
      </c>
      <c r="H11" s="365" t="s">
        <v>883</v>
      </c>
      <c r="I11" s="366"/>
      <c r="J11" s="366" t="s">
        <v>905</v>
      </c>
      <c r="K11" s="367" t="s">
        <v>906</v>
      </c>
    </row>
    <row r="14" spans="1:22" ht="12.75" x14ac:dyDescent="0.2">
      <c r="C14" s="368" t="s">
        <v>746</v>
      </c>
      <c r="D14" s="368"/>
      <c r="G14" s="368" t="s">
        <v>747</v>
      </c>
      <c r="H14" s="368"/>
      <c r="I14" s="368"/>
      <c r="J14" s="368"/>
      <c r="K14" s="368"/>
      <c r="L14" s="368"/>
      <c r="M14" s="368"/>
      <c r="N14" s="368"/>
      <c r="O14" s="368"/>
      <c r="P14" s="368"/>
      <c r="Q14" s="368"/>
      <c r="R14" s="368"/>
      <c r="S14" s="368"/>
      <c r="T14" s="368"/>
      <c r="U14" s="368"/>
      <c r="V14" s="368"/>
    </row>
    <row r="15" spans="1:22" ht="22.5" x14ac:dyDescent="0.2">
      <c r="C15" s="369" t="s">
        <v>748</v>
      </c>
      <c r="D15" s="369" t="s">
        <v>54</v>
      </c>
      <c r="G15" s="42" t="s">
        <v>54</v>
      </c>
      <c r="H15" s="42" t="s">
        <v>749</v>
      </c>
      <c r="I15" s="42" t="s">
        <v>54</v>
      </c>
      <c r="J15" s="89" t="s">
        <v>907</v>
      </c>
      <c r="K15" s="89" t="s">
        <v>908</v>
      </c>
      <c r="L15" s="89" t="s">
        <v>909</v>
      </c>
      <c r="M15" s="89" t="s">
        <v>910</v>
      </c>
      <c r="N15" s="89" t="s">
        <v>911</v>
      </c>
      <c r="O15" s="89" t="s">
        <v>912</v>
      </c>
      <c r="P15" s="89" t="s">
        <v>913</v>
      </c>
      <c r="Q15" s="89" t="s">
        <v>914</v>
      </c>
      <c r="R15" s="89" t="s">
        <v>915</v>
      </c>
      <c r="S15" s="89" t="s">
        <v>916</v>
      </c>
      <c r="T15" s="89" t="s">
        <v>917</v>
      </c>
      <c r="U15" s="89" t="s">
        <v>918</v>
      </c>
      <c r="V15" s="88" t="s">
        <v>919</v>
      </c>
    </row>
    <row r="16" spans="1:22" x14ac:dyDescent="0.2">
      <c r="C16" s="370" t="s">
        <v>763</v>
      </c>
      <c r="D16" s="370" t="s">
        <v>54</v>
      </c>
      <c r="G16" s="371" t="s">
        <v>35</v>
      </c>
      <c r="H16" s="39" t="s">
        <v>764</v>
      </c>
      <c r="I16" s="39" t="s">
        <v>765</v>
      </c>
      <c r="J16" s="14">
        <v>50910</v>
      </c>
      <c r="K16" s="14">
        <v>44270</v>
      </c>
      <c r="L16" s="14">
        <v>50160</v>
      </c>
      <c r="M16" s="14">
        <v>50160</v>
      </c>
      <c r="N16" s="14">
        <v>47880</v>
      </c>
      <c r="O16" s="14">
        <v>50160</v>
      </c>
      <c r="P16" s="14">
        <v>52440</v>
      </c>
      <c r="Q16" s="14">
        <v>47880</v>
      </c>
      <c r="R16" s="14">
        <v>50160</v>
      </c>
      <c r="S16" s="14">
        <v>50160</v>
      </c>
      <c r="T16" s="14">
        <v>47880</v>
      </c>
      <c r="U16" s="14">
        <v>50160</v>
      </c>
      <c r="V16" s="14">
        <v>592220</v>
      </c>
    </row>
    <row r="17" spans="3:22" x14ac:dyDescent="0.2">
      <c r="C17" s="370" t="s">
        <v>766</v>
      </c>
      <c r="D17" s="370" t="s">
        <v>54</v>
      </c>
      <c r="G17" s="39" t="s">
        <v>54</v>
      </c>
      <c r="H17" s="39" t="s">
        <v>767</v>
      </c>
      <c r="I17" s="39" t="s">
        <v>768</v>
      </c>
      <c r="J17" s="14">
        <v>12591</v>
      </c>
      <c r="K17" s="14">
        <v>10951</v>
      </c>
      <c r="L17" s="14">
        <v>12414</v>
      </c>
      <c r="M17" s="14">
        <v>12420</v>
      </c>
      <c r="N17" s="14">
        <v>11958</v>
      </c>
      <c r="O17" s="14">
        <v>12652</v>
      </c>
      <c r="P17" s="14">
        <v>13234</v>
      </c>
      <c r="Q17" s="14">
        <v>11953</v>
      </c>
      <c r="R17" s="14">
        <v>12450</v>
      </c>
      <c r="S17" s="14">
        <v>12455</v>
      </c>
      <c r="T17" s="14">
        <v>11900</v>
      </c>
      <c r="U17" s="14">
        <v>13033</v>
      </c>
      <c r="V17" s="14">
        <v>148011</v>
      </c>
    </row>
    <row r="18" spans="3:22" x14ac:dyDescent="0.2">
      <c r="C18" s="370" t="s">
        <v>769</v>
      </c>
      <c r="D18" s="370" t="s">
        <v>770</v>
      </c>
      <c r="G18" s="39" t="s">
        <v>54</v>
      </c>
      <c r="H18" s="39" t="s">
        <v>771</v>
      </c>
      <c r="I18" s="39" t="s">
        <v>772</v>
      </c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</row>
    <row r="19" spans="3:22" x14ac:dyDescent="0.2">
      <c r="C19" s="370" t="s">
        <v>773</v>
      </c>
      <c r="D19" s="370" t="s">
        <v>54</v>
      </c>
      <c r="G19" s="39" t="s">
        <v>54</v>
      </c>
      <c r="H19" s="39" t="s">
        <v>774</v>
      </c>
      <c r="I19" s="39" t="s">
        <v>775</v>
      </c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</row>
    <row r="20" spans="3:22" x14ac:dyDescent="0.2">
      <c r="C20" s="370" t="s">
        <v>749</v>
      </c>
      <c r="D20" s="370" t="s">
        <v>776</v>
      </c>
      <c r="G20" s="39" t="s">
        <v>54</v>
      </c>
      <c r="H20" s="39" t="s">
        <v>777</v>
      </c>
      <c r="I20" s="39" t="s">
        <v>778</v>
      </c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87">
        <v>0</v>
      </c>
    </row>
    <row r="21" spans="3:22" x14ac:dyDescent="0.2">
      <c r="C21" s="370" t="s">
        <v>779</v>
      </c>
      <c r="D21" s="370" t="s">
        <v>54</v>
      </c>
      <c r="G21" s="39" t="s">
        <v>54</v>
      </c>
      <c r="H21" s="39" t="s">
        <v>780</v>
      </c>
      <c r="I21" s="39" t="s">
        <v>781</v>
      </c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87">
        <v>0</v>
      </c>
    </row>
    <row r="22" spans="3:22" x14ac:dyDescent="0.2">
      <c r="C22" s="370" t="s">
        <v>782</v>
      </c>
      <c r="D22" s="370" t="s">
        <v>54</v>
      </c>
      <c r="G22" s="39" t="s">
        <v>54</v>
      </c>
      <c r="H22" s="39" t="s">
        <v>783</v>
      </c>
      <c r="I22" s="39" t="s">
        <v>784</v>
      </c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87">
        <v>0</v>
      </c>
    </row>
    <row r="23" spans="3:22" x14ac:dyDescent="0.2">
      <c r="C23" s="370" t="s">
        <v>785</v>
      </c>
      <c r="D23" s="370" t="s">
        <v>54</v>
      </c>
      <c r="G23" s="39" t="s">
        <v>54</v>
      </c>
      <c r="H23" s="39" t="s">
        <v>920</v>
      </c>
      <c r="I23" s="39" t="s">
        <v>921</v>
      </c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87">
        <v>0</v>
      </c>
    </row>
    <row r="24" spans="3:22" x14ac:dyDescent="0.2">
      <c r="C24" s="370" t="s">
        <v>788</v>
      </c>
      <c r="D24" s="370" t="s">
        <v>54</v>
      </c>
      <c r="G24" s="39" t="s">
        <v>54</v>
      </c>
      <c r="H24" s="39" t="s">
        <v>786</v>
      </c>
      <c r="I24" s="39" t="s">
        <v>787</v>
      </c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</row>
    <row r="25" spans="3:22" x14ac:dyDescent="0.2">
      <c r="C25" s="370" t="s">
        <v>791</v>
      </c>
      <c r="D25" s="370" t="s">
        <v>922</v>
      </c>
      <c r="G25" s="39" t="s">
        <v>54</v>
      </c>
      <c r="H25" s="39" t="s">
        <v>789</v>
      </c>
      <c r="I25" s="39" t="s">
        <v>790</v>
      </c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</row>
    <row r="26" spans="3:22" x14ac:dyDescent="0.2">
      <c r="C26" s="370" t="s">
        <v>795</v>
      </c>
      <c r="D26" s="370" t="s">
        <v>54</v>
      </c>
      <c r="G26" s="39" t="s">
        <v>54</v>
      </c>
      <c r="H26" s="39" t="s">
        <v>793</v>
      </c>
      <c r="I26" s="39" t="s">
        <v>794</v>
      </c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</row>
    <row r="27" spans="3:22" x14ac:dyDescent="0.2">
      <c r="C27" s="370" t="s">
        <v>798</v>
      </c>
      <c r="D27" s="370" t="s">
        <v>54</v>
      </c>
      <c r="G27" s="39" t="s">
        <v>54</v>
      </c>
      <c r="H27" s="39" t="s">
        <v>796</v>
      </c>
      <c r="I27" s="39" t="s">
        <v>797</v>
      </c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</row>
    <row r="28" spans="3:22" x14ac:dyDescent="0.2">
      <c r="C28" s="370" t="s">
        <v>801</v>
      </c>
      <c r="D28" s="370" t="s">
        <v>54</v>
      </c>
      <c r="G28" s="39" t="s">
        <v>54</v>
      </c>
      <c r="H28" s="39" t="s">
        <v>799</v>
      </c>
      <c r="I28" s="39" t="s">
        <v>800</v>
      </c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</row>
    <row r="29" spans="3:22" x14ac:dyDescent="0.2">
      <c r="C29" s="370" t="s">
        <v>804</v>
      </c>
      <c r="D29" s="370" t="s">
        <v>54</v>
      </c>
      <c r="G29" s="39" t="s">
        <v>54</v>
      </c>
      <c r="H29" s="39" t="s">
        <v>923</v>
      </c>
      <c r="I29" s="39" t="s">
        <v>924</v>
      </c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</row>
    <row r="30" spans="3:22" x14ac:dyDescent="0.2">
      <c r="C30" s="370" t="s">
        <v>807</v>
      </c>
      <c r="D30" s="370" t="s">
        <v>54</v>
      </c>
      <c r="G30" s="39" t="s">
        <v>54</v>
      </c>
      <c r="H30" s="39" t="s">
        <v>925</v>
      </c>
      <c r="I30" s="39" t="s">
        <v>926</v>
      </c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</row>
    <row r="31" spans="3:22" x14ac:dyDescent="0.2">
      <c r="C31" s="370" t="s">
        <v>810</v>
      </c>
      <c r="D31" s="370" t="s">
        <v>54</v>
      </c>
      <c r="G31" s="39" t="s">
        <v>54</v>
      </c>
      <c r="H31" s="39" t="s">
        <v>802</v>
      </c>
      <c r="I31" s="39" t="s">
        <v>803</v>
      </c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</row>
    <row r="32" spans="3:22" x14ac:dyDescent="0.2">
      <c r="C32" s="370" t="s">
        <v>813</v>
      </c>
      <c r="D32" s="370" t="s">
        <v>54</v>
      </c>
      <c r="G32" s="39" t="s">
        <v>54</v>
      </c>
      <c r="H32" s="39" t="s">
        <v>808</v>
      </c>
      <c r="I32" s="39" t="s">
        <v>809</v>
      </c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</row>
    <row r="33" spans="3:22" x14ac:dyDescent="0.2">
      <c r="C33" s="370" t="s">
        <v>816</v>
      </c>
      <c r="D33" s="370" t="s">
        <v>54</v>
      </c>
      <c r="G33" s="39" t="s">
        <v>54</v>
      </c>
      <c r="H33" s="39" t="s">
        <v>814</v>
      </c>
      <c r="I33" s="39" t="s">
        <v>815</v>
      </c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</row>
    <row r="34" spans="3:22" x14ac:dyDescent="0.2">
      <c r="C34" s="370" t="s">
        <v>817</v>
      </c>
      <c r="D34" s="370" t="s">
        <v>54</v>
      </c>
      <c r="G34" s="371" t="s">
        <v>34</v>
      </c>
      <c r="H34" s="39" t="s">
        <v>764</v>
      </c>
      <c r="I34" s="39" t="s">
        <v>765</v>
      </c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</row>
    <row r="35" spans="3:22" x14ac:dyDescent="0.2">
      <c r="C35" s="372" t="s">
        <v>818</v>
      </c>
      <c r="D35" s="372" t="s">
        <v>54</v>
      </c>
      <c r="G35" s="39" t="s">
        <v>54</v>
      </c>
      <c r="H35" s="39" t="s">
        <v>767</v>
      </c>
      <c r="I35" s="39" t="s">
        <v>768</v>
      </c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</row>
    <row r="36" spans="3:22" x14ac:dyDescent="0.2">
      <c r="G36" s="39" t="s">
        <v>54</v>
      </c>
      <c r="H36" s="39" t="s">
        <v>771</v>
      </c>
      <c r="I36" s="39" t="s">
        <v>772</v>
      </c>
      <c r="J36" s="14">
        <v>11590</v>
      </c>
      <c r="K36" s="14">
        <v>4660</v>
      </c>
      <c r="L36" s="14">
        <v>4700</v>
      </c>
      <c r="M36" s="14">
        <v>4230</v>
      </c>
      <c r="N36" s="14">
        <v>4790</v>
      </c>
      <c r="O36" s="14">
        <v>2460</v>
      </c>
      <c r="P36" s="14">
        <v>2800</v>
      </c>
      <c r="Q36" s="14">
        <v>2850</v>
      </c>
      <c r="R36" s="14">
        <v>4350</v>
      </c>
      <c r="S36" s="14">
        <v>5040</v>
      </c>
      <c r="T36" s="14">
        <v>7670</v>
      </c>
      <c r="U36" s="14">
        <v>8140</v>
      </c>
      <c r="V36" s="14">
        <v>63280</v>
      </c>
    </row>
    <row r="37" spans="3:22" x14ac:dyDescent="0.2">
      <c r="G37" s="39" t="s">
        <v>54</v>
      </c>
      <c r="H37" s="39" t="s">
        <v>774</v>
      </c>
      <c r="I37" s="39" t="s">
        <v>775</v>
      </c>
      <c r="J37" s="14">
        <v>265</v>
      </c>
      <c r="K37" s="14">
        <v>71</v>
      </c>
      <c r="L37" s="14">
        <v>86</v>
      </c>
      <c r="M37" s="14">
        <v>123</v>
      </c>
      <c r="N37" s="14">
        <v>135</v>
      </c>
      <c r="O37" s="14">
        <v>108</v>
      </c>
      <c r="P37" s="14">
        <v>166</v>
      </c>
      <c r="Q37" s="14">
        <v>79</v>
      </c>
      <c r="R37" s="14">
        <v>119</v>
      </c>
      <c r="S37" s="14">
        <v>72</v>
      </c>
      <c r="T37" s="14">
        <v>182</v>
      </c>
      <c r="U37" s="14">
        <v>106</v>
      </c>
      <c r="V37" s="14">
        <v>1512</v>
      </c>
    </row>
    <row r="38" spans="3:22" x14ac:dyDescent="0.2">
      <c r="G38" s="39" t="s">
        <v>54</v>
      </c>
      <c r="H38" s="39" t="s">
        <v>777</v>
      </c>
      <c r="I38" s="39" t="s">
        <v>778</v>
      </c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</row>
    <row r="39" spans="3:22" x14ac:dyDescent="0.2">
      <c r="G39" s="39" t="s">
        <v>54</v>
      </c>
      <c r="H39" s="39" t="s">
        <v>780</v>
      </c>
      <c r="I39" s="39" t="s">
        <v>781</v>
      </c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</row>
    <row r="40" spans="3:22" x14ac:dyDescent="0.2">
      <c r="G40" s="39" t="s">
        <v>54</v>
      </c>
      <c r="H40" s="39" t="s">
        <v>783</v>
      </c>
      <c r="I40" s="39" t="s">
        <v>784</v>
      </c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</row>
    <row r="41" spans="3:22" x14ac:dyDescent="0.2">
      <c r="G41" s="39" t="s">
        <v>54</v>
      </c>
      <c r="H41" s="39" t="s">
        <v>920</v>
      </c>
      <c r="I41" s="39" t="s">
        <v>921</v>
      </c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</row>
    <row r="42" spans="3:22" x14ac:dyDescent="0.2">
      <c r="G42" s="39" t="s">
        <v>54</v>
      </c>
      <c r="H42" s="39" t="s">
        <v>786</v>
      </c>
      <c r="I42" s="39" t="s">
        <v>787</v>
      </c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</row>
    <row r="43" spans="3:22" x14ac:dyDescent="0.2">
      <c r="G43" s="39" t="s">
        <v>54</v>
      </c>
      <c r="H43" s="39" t="s">
        <v>789</v>
      </c>
      <c r="I43" s="39" t="s">
        <v>790</v>
      </c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</row>
    <row r="44" spans="3:22" x14ac:dyDescent="0.2">
      <c r="G44" s="39" t="s">
        <v>54</v>
      </c>
      <c r="H44" s="39" t="s">
        <v>793</v>
      </c>
      <c r="I44" s="39" t="s">
        <v>794</v>
      </c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</row>
    <row r="45" spans="3:22" x14ac:dyDescent="0.2">
      <c r="G45" s="39" t="s">
        <v>54</v>
      </c>
      <c r="H45" s="39" t="s">
        <v>796</v>
      </c>
      <c r="I45" s="39" t="s">
        <v>797</v>
      </c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</row>
    <row r="46" spans="3:22" x14ac:dyDescent="0.2">
      <c r="G46" s="39" t="s">
        <v>54</v>
      </c>
      <c r="H46" s="39" t="s">
        <v>799</v>
      </c>
      <c r="I46" s="39" t="s">
        <v>800</v>
      </c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</row>
    <row r="47" spans="3:22" x14ac:dyDescent="0.2">
      <c r="G47" s="39" t="s">
        <v>54</v>
      </c>
      <c r="H47" s="39" t="s">
        <v>923</v>
      </c>
      <c r="I47" s="39" t="s">
        <v>924</v>
      </c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</row>
    <row r="48" spans="3:22" x14ac:dyDescent="0.2">
      <c r="G48" s="39" t="s">
        <v>54</v>
      </c>
      <c r="H48" s="39" t="s">
        <v>925</v>
      </c>
      <c r="I48" s="39" t="s">
        <v>926</v>
      </c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</row>
    <row r="49" spans="7:22" x14ac:dyDescent="0.2">
      <c r="G49" s="39" t="s">
        <v>54</v>
      </c>
      <c r="H49" s="39" t="s">
        <v>802</v>
      </c>
      <c r="I49" s="39" t="s">
        <v>803</v>
      </c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</row>
    <row r="50" spans="7:22" x14ac:dyDescent="0.2">
      <c r="G50" s="39" t="s">
        <v>54</v>
      </c>
      <c r="H50" s="39" t="s">
        <v>808</v>
      </c>
      <c r="I50" s="39" t="s">
        <v>809</v>
      </c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</row>
    <row r="51" spans="7:22" x14ac:dyDescent="0.2">
      <c r="G51" s="39" t="s">
        <v>54</v>
      </c>
      <c r="H51" s="39" t="s">
        <v>814</v>
      </c>
      <c r="I51" s="39" t="s">
        <v>815</v>
      </c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</row>
    <row r="52" spans="7:22" x14ac:dyDescent="0.2">
      <c r="G52" s="371" t="s">
        <v>33</v>
      </c>
      <c r="H52" s="39" t="s">
        <v>764</v>
      </c>
      <c r="I52" s="39" t="s">
        <v>765</v>
      </c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</row>
    <row r="53" spans="7:22" x14ac:dyDescent="0.2">
      <c r="G53" s="39" t="s">
        <v>54</v>
      </c>
      <c r="H53" s="39" t="s">
        <v>767</v>
      </c>
      <c r="I53" s="39" t="s">
        <v>768</v>
      </c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</row>
    <row r="54" spans="7:22" x14ac:dyDescent="0.2">
      <c r="G54" s="39" t="s">
        <v>54</v>
      </c>
      <c r="H54" s="39" t="s">
        <v>771</v>
      </c>
      <c r="I54" s="39" t="s">
        <v>772</v>
      </c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</row>
    <row r="55" spans="7:22" x14ac:dyDescent="0.2">
      <c r="G55" s="39" t="s">
        <v>54</v>
      </c>
      <c r="H55" s="39" t="s">
        <v>774</v>
      </c>
      <c r="I55" s="39" t="s">
        <v>775</v>
      </c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</row>
    <row r="56" spans="7:22" x14ac:dyDescent="0.2">
      <c r="G56" s="39" t="s">
        <v>54</v>
      </c>
      <c r="H56" s="39" t="s">
        <v>777</v>
      </c>
      <c r="I56" s="39" t="s">
        <v>778</v>
      </c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</row>
    <row r="57" spans="7:22" x14ac:dyDescent="0.2">
      <c r="G57" s="39" t="s">
        <v>54</v>
      </c>
      <c r="H57" s="39" t="s">
        <v>780</v>
      </c>
      <c r="I57" s="39" t="s">
        <v>781</v>
      </c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</row>
    <row r="58" spans="7:22" x14ac:dyDescent="0.2">
      <c r="G58" s="39" t="s">
        <v>54</v>
      </c>
      <c r="H58" s="39" t="s">
        <v>783</v>
      </c>
      <c r="I58" s="39" t="s">
        <v>784</v>
      </c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</row>
    <row r="59" spans="7:22" x14ac:dyDescent="0.2">
      <c r="G59" s="39" t="s">
        <v>54</v>
      </c>
      <c r="H59" s="39" t="s">
        <v>920</v>
      </c>
      <c r="I59" s="39" t="s">
        <v>921</v>
      </c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</row>
    <row r="60" spans="7:22" x14ac:dyDescent="0.2">
      <c r="G60" s="39" t="s">
        <v>54</v>
      </c>
      <c r="H60" s="39" t="s">
        <v>786</v>
      </c>
      <c r="I60" s="39" t="s">
        <v>787</v>
      </c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</row>
    <row r="61" spans="7:22" x14ac:dyDescent="0.2">
      <c r="G61" s="39" t="s">
        <v>54</v>
      </c>
      <c r="H61" s="39" t="s">
        <v>789</v>
      </c>
      <c r="I61" s="39" t="s">
        <v>790</v>
      </c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</row>
    <row r="62" spans="7:22" x14ac:dyDescent="0.2">
      <c r="G62" s="39" t="s">
        <v>54</v>
      </c>
      <c r="H62" s="39" t="s">
        <v>793</v>
      </c>
      <c r="I62" s="39" t="s">
        <v>794</v>
      </c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</row>
    <row r="63" spans="7:22" x14ac:dyDescent="0.2">
      <c r="G63" s="39" t="s">
        <v>54</v>
      </c>
      <c r="H63" s="39" t="s">
        <v>796</v>
      </c>
      <c r="I63" s="39" t="s">
        <v>797</v>
      </c>
      <c r="J63" s="14">
        <v>1686</v>
      </c>
      <c r="K63" s="14">
        <v>1460</v>
      </c>
      <c r="L63" s="14">
        <v>1666</v>
      </c>
      <c r="M63" s="14">
        <v>1672</v>
      </c>
      <c r="N63" s="14">
        <v>1594</v>
      </c>
      <c r="O63" s="14">
        <v>1672</v>
      </c>
      <c r="P63" s="14">
        <v>1749</v>
      </c>
      <c r="Q63" s="14">
        <v>1594</v>
      </c>
      <c r="R63" s="14">
        <v>1672</v>
      </c>
      <c r="S63" s="14">
        <v>1672</v>
      </c>
      <c r="T63" s="14">
        <v>1594</v>
      </c>
      <c r="U63" s="14">
        <v>1749</v>
      </c>
      <c r="V63" s="14">
        <v>19780</v>
      </c>
    </row>
    <row r="64" spans="7:22" x14ac:dyDescent="0.2">
      <c r="G64" s="39" t="s">
        <v>54</v>
      </c>
      <c r="H64" s="39" t="s">
        <v>799</v>
      </c>
      <c r="I64" s="39" t="s">
        <v>800</v>
      </c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</row>
    <row r="65" spans="7:22" x14ac:dyDescent="0.2">
      <c r="G65" s="39" t="s">
        <v>54</v>
      </c>
      <c r="H65" s="39" t="s">
        <v>923</v>
      </c>
      <c r="I65" s="39" t="s">
        <v>924</v>
      </c>
      <c r="J65" s="79"/>
      <c r="K65" s="14">
        <v>1</v>
      </c>
      <c r="L65" s="14">
        <v>1</v>
      </c>
      <c r="M65" s="14">
        <v>2</v>
      </c>
      <c r="N65" s="14">
        <v>5</v>
      </c>
      <c r="O65" s="14">
        <v>6</v>
      </c>
      <c r="P65" s="14">
        <v>12</v>
      </c>
      <c r="Q65" s="14">
        <v>14</v>
      </c>
      <c r="R65" s="14">
        <v>14</v>
      </c>
      <c r="S65" s="14">
        <v>16</v>
      </c>
      <c r="T65" s="14">
        <v>28</v>
      </c>
      <c r="U65" s="14">
        <v>28</v>
      </c>
      <c r="V65" s="14">
        <v>127</v>
      </c>
    </row>
    <row r="66" spans="7:22" x14ac:dyDescent="0.2">
      <c r="G66" s="39" t="s">
        <v>54</v>
      </c>
      <c r="H66" s="39" t="s">
        <v>925</v>
      </c>
      <c r="I66" s="39" t="s">
        <v>926</v>
      </c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87">
        <v>0</v>
      </c>
    </row>
    <row r="67" spans="7:22" x14ac:dyDescent="0.2">
      <c r="G67" s="39" t="s">
        <v>54</v>
      </c>
      <c r="H67" s="39" t="s">
        <v>802</v>
      </c>
      <c r="I67" s="39" t="s">
        <v>803</v>
      </c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87">
        <v>0</v>
      </c>
    </row>
    <row r="68" spans="7:22" x14ac:dyDescent="0.2">
      <c r="G68" s="39" t="s">
        <v>54</v>
      </c>
      <c r="H68" s="39" t="s">
        <v>808</v>
      </c>
      <c r="I68" s="39" t="s">
        <v>809</v>
      </c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</row>
    <row r="69" spans="7:22" x14ac:dyDescent="0.2">
      <c r="G69" s="39" t="s">
        <v>54</v>
      </c>
      <c r="H69" s="39" t="s">
        <v>814</v>
      </c>
      <c r="I69" s="39" t="s">
        <v>815</v>
      </c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</row>
    <row r="70" spans="7:22" x14ac:dyDescent="0.2">
      <c r="G70" s="371" t="s">
        <v>32</v>
      </c>
      <c r="H70" s="39" t="s">
        <v>764</v>
      </c>
      <c r="I70" s="39" t="s">
        <v>765</v>
      </c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</row>
    <row r="71" spans="7:22" x14ac:dyDescent="0.2">
      <c r="G71" s="39" t="s">
        <v>54</v>
      </c>
      <c r="H71" s="39" t="s">
        <v>767</v>
      </c>
      <c r="I71" s="39" t="s">
        <v>768</v>
      </c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</row>
    <row r="72" spans="7:22" x14ac:dyDescent="0.2">
      <c r="G72" s="39" t="s">
        <v>54</v>
      </c>
      <c r="H72" s="39" t="s">
        <v>771</v>
      </c>
      <c r="I72" s="39" t="s">
        <v>772</v>
      </c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</row>
    <row r="73" spans="7:22" x14ac:dyDescent="0.2">
      <c r="G73" s="39" t="s">
        <v>54</v>
      </c>
      <c r="H73" s="39" t="s">
        <v>774</v>
      </c>
      <c r="I73" s="39" t="s">
        <v>775</v>
      </c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</row>
    <row r="74" spans="7:22" x14ac:dyDescent="0.2">
      <c r="G74" s="39" t="s">
        <v>54</v>
      </c>
      <c r="H74" s="39" t="s">
        <v>777</v>
      </c>
      <c r="I74" s="39" t="s">
        <v>778</v>
      </c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</row>
    <row r="75" spans="7:22" x14ac:dyDescent="0.2">
      <c r="G75" s="39" t="s">
        <v>54</v>
      </c>
      <c r="H75" s="39" t="s">
        <v>780</v>
      </c>
      <c r="I75" s="39" t="s">
        <v>781</v>
      </c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</row>
    <row r="76" spans="7:22" x14ac:dyDescent="0.2">
      <c r="G76" s="39" t="s">
        <v>54</v>
      </c>
      <c r="H76" s="39" t="s">
        <v>783</v>
      </c>
      <c r="I76" s="39" t="s">
        <v>784</v>
      </c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</row>
    <row r="77" spans="7:22" x14ac:dyDescent="0.2">
      <c r="G77" s="39" t="s">
        <v>54</v>
      </c>
      <c r="H77" s="39" t="s">
        <v>920</v>
      </c>
      <c r="I77" s="39" t="s">
        <v>921</v>
      </c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</row>
    <row r="78" spans="7:22" x14ac:dyDescent="0.2">
      <c r="G78" s="39" t="s">
        <v>54</v>
      </c>
      <c r="H78" s="39" t="s">
        <v>786</v>
      </c>
      <c r="I78" s="39" t="s">
        <v>787</v>
      </c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</row>
    <row r="79" spans="7:22" x14ac:dyDescent="0.2">
      <c r="G79" s="39" t="s">
        <v>54</v>
      </c>
      <c r="H79" s="39" t="s">
        <v>789</v>
      </c>
      <c r="I79" s="39" t="s">
        <v>790</v>
      </c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</row>
    <row r="80" spans="7:22" x14ac:dyDescent="0.2">
      <c r="G80" s="39" t="s">
        <v>54</v>
      </c>
      <c r="H80" s="39" t="s">
        <v>793</v>
      </c>
      <c r="I80" s="39" t="s">
        <v>794</v>
      </c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</row>
    <row r="81" spans="7:22" x14ac:dyDescent="0.2">
      <c r="G81" s="39" t="s">
        <v>54</v>
      </c>
      <c r="H81" s="39" t="s">
        <v>796</v>
      </c>
      <c r="I81" s="39" t="s">
        <v>797</v>
      </c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</row>
    <row r="82" spans="7:22" x14ac:dyDescent="0.2">
      <c r="G82" s="39" t="s">
        <v>54</v>
      </c>
      <c r="H82" s="39" t="s">
        <v>799</v>
      </c>
      <c r="I82" s="39" t="s">
        <v>800</v>
      </c>
      <c r="J82" s="14">
        <v>61</v>
      </c>
      <c r="K82" s="14">
        <v>35</v>
      </c>
      <c r="L82" s="14">
        <v>61</v>
      </c>
      <c r="M82" s="14">
        <v>104</v>
      </c>
      <c r="N82" s="14">
        <v>90</v>
      </c>
      <c r="O82" s="14">
        <v>74</v>
      </c>
      <c r="P82" s="14">
        <v>53</v>
      </c>
      <c r="Q82" s="14">
        <v>56</v>
      </c>
      <c r="R82" s="14">
        <v>58</v>
      </c>
      <c r="S82" s="14">
        <v>66</v>
      </c>
      <c r="T82" s="14">
        <v>63</v>
      </c>
      <c r="U82" s="14">
        <v>39</v>
      </c>
      <c r="V82" s="14">
        <v>760</v>
      </c>
    </row>
    <row r="83" spans="7:22" x14ac:dyDescent="0.2">
      <c r="G83" s="39" t="s">
        <v>54</v>
      </c>
      <c r="H83" s="39" t="s">
        <v>923</v>
      </c>
      <c r="I83" s="39" t="s">
        <v>924</v>
      </c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</row>
    <row r="84" spans="7:22" x14ac:dyDescent="0.2">
      <c r="G84" s="39" t="s">
        <v>54</v>
      </c>
      <c r="H84" s="39" t="s">
        <v>925</v>
      </c>
      <c r="I84" s="39" t="s">
        <v>926</v>
      </c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</row>
    <row r="85" spans="7:22" x14ac:dyDescent="0.2">
      <c r="G85" s="39" t="s">
        <v>54</v>
      </c>
      <c r="H85" s="39" t="s">
        <v>802</v>
      </c>
      <c r="I85" s="39" t="s">
        <v>803</v>
      </c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</row>
    <row r="86" spans="7:22" x14ac:dyDescent="0.2">
      <c r="G86" s="39" t="s">
        <v>54</v>
      </c>
      <c r="H86" s="39" t="s">
        <v>808</v>
      </c>
      <c r="I86" s="39" t="s">
        <v>809</v>
      </c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</row>
    <row r="87" spans="7:22" x14ac:dyDescent="0.2">
      <c r="G87" s="39" t="s">
        <v>54</v>
      </c>
      <c r="H87" s="39" t="s">
        <v>814</v>
      </c>
      <c r="I87" s="39" t="s">
        <v>815</v>
      </c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</row>
    <row r="88" spans="7:22" x14ac:dyDescent="0.2">
      <c r="G88" s="39" t="s">
        <v>40</v>
      </c>
      <c r="H88" s="39" t="s">
        <v>764</v>
      </c>
      <c r="I88" s="39" t="s">
        <v>765</v>
      </c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</row>
    <row r="89" spans="7:22" x14ac:dyDescent="0.2">
      <c r="G89" s="39" t="s">
        <v>54</v>
      </c>
      <c r="H89" s="39" t="s">
        <v>767</v>
      </c>
      <c r="I89" s="39" t="s">
        <v>768</v>
      </c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</row>
    <row r="90" spans="7:22" x14ac:dyDescent="0.2">
      <c r="G90" s="39" t="s">
        <v>54</v>
      </c>
      <c r="H90" s="39" t="s">
        <v>771</v>
      </c>
      <c r="I90" s="39" t="s">
        <v>772</v>
      </c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</row>
    <row r="91" spans="7:22" x14ac:dyDescent="0.2">
      <c r="G91" s="39" t="s">
        <v>54</v>
      </c>
      <c r="H91" s="39" t="s">
        <v>774</v>
      </c>
      <c r="I91" s="39" t="s">
        <v>775</v>
      </c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</row>
    <row r="92" spans="7:22" x14ac:dyDescent="0.2">
      <c r="G92" s="39" t="s">
        <v>54</v>
      </c>
      <c r="H92" s="39" t="s">
        <v>777</v>
      </c>
      <c r="I92" s="39" t="s">
        <v>778</v>
      </c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</row>
    <row r="93" spans="7:22" x14ac:dyDescent="0.2">
      <c r="G93" s="39" t="s">
        <v>54</v>
      </c>
      <c r="H93" s="39" t="s">
        <v>780</v>
      </c>
      <c r="I93" s="39" t="s">
        <v>781</v>
      </c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</row>
    <row r="94" spans="7:22" x14ac:dyDescent="0.2">
      <c r="G94" s="39" t="s">
        <v>54</v>
      </c>
      <c r="H94" s="39" t="s">
        <v>783</v>
      </c>
      <c r="I94" s="39" t="s">
        <v>784</v>
      </c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</row>
    <row r="95" spans="7:22" x14ac:dyDescent="0.2">
      <c r="G95" s="39" t="s">
        <v>54</v>
      </c>
      <c r="H95" s="39" t="s">
        <v>920</v>
      </c>
      <c r="I95" s="39" t="s">
        <v>921</v>
      </c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</row>
    <row r="96" spans="7:22" x14ac:dyDescent="0.2">
      <c r="G96" s="39" t="s">
        <v>54</v>
      </c>
      <c r="H96" s="39" t="s">
        <v>786</v>
      </c>
      <c r="I96" s="39" t="s">
        <v>787</v>
      </c>
      <c r="J96" s="14">
        <v>274</v>
      </c>
      <c r="K96" s="14">
        <v>274</v>
      </c>
      <c r="L96" s="14">
        <v>274</v>
      </c>
      <c r="M96" s="14">
        <v>274</v>
      </c>
      <c r="N96" s="14">
        <v>274</v>
      </c>
      <c r="O96" s="14">
        <v>274</v>
      </c>
      <c r="P96" s="14">
        <v>274</v>
      </c>
      <c r="Q96" s="14">
        <v>274</v>
      </c>
      <c r="R96" s="14">
        <v>274</v>
      </c>
      <c r="S96" s="14">
        <v>274</v>
      </c>
      <c r="T96" s="14">
        <v>274</v>
      </c>
      <c r="U96" s="14">
        <v>274</v>
      </c>
      <c r="V96" s="14">
        <v>3288</v>
      </c>
    </row>
    <row r="97" spans="7:22" x14ac:dyDescent="0.2">
      <c r="G97" s="39" t="s">
        <v>54</v>
      </c>
      <c r="H97" s="39" t="s">
        <v>789</v>
      </c>
      <c r="I97" s="39" t="s">
        <v>790</v>
      </c>
      <c r="J97" s="14">
        <v>3480</v>
      </c>
      <c r="K97" s="14">
        <v>3480</v>
      </c>
      <c r="L97" s="14">
        <v>3480</v>
      </c>
      <c r="M97" s="14">
        <v>3480</v>
      </c>
      <c r="N97" s="14">
        <v>3480</v>
      </c>
      <c r="O97" s="14">
        <v>3480</v>
      </c>
      <c r="P97" s="14">
        <v>3480</v>
      </c>
      <c r="Q97" s="14">
        <v>3480</v>
      </c>
      <c r="R97" s="14">
        <v>3480</v>
      </c>
      <c r="S97" s="14">
        <v>3480</v>
      </c>
      <c r="T97" s="14">
        <v>3480</v>
      </c>
      <c r="U97" s="14">
        <v>3480</v>
      </c>
      <c r="V97" s="14">
        <v>41760</v>
      </c>
    </row>
    <row r="98" spans="7:22" x14ac:dyDescent="0.2">
      <c r="G98" s="39" t="s">
        <v>54</v>
      </c>
      <c r="H98" s="39" t="s">
        <v>793</v>
      </c>
      <c r="I98" s="39" t="s">
        <v>794</v>
      </c>
      <c r="J98" s="14">
        <v>2507</v>
      </c>
      <c r="K98" s="14">
        <v>2507</v>
      </c>
      <c r="L98" s="14">
        <v>2507</v>
      </c>
      <c r="M98" s="14">
        <v>2507</v>
      </c>
      <c r="N98" s="14">
        <v>2507</v>
      </c>
      <c r="O98" s="14">
        <v>2507</v>
      </c>
      <c r="P98" s="14">
        <v>2507</v>
      </c>
      <c r="Q98" s="14">
        <v>2507</v>
      </c>
      <c r="R98" s="14">
        <v>2507</v>
      </c>
      <c r="S98" s="14">
        <v>2507</v>
      </c>
      <c r="T98" s="14">
        <v>2507</v>
      </c>
      <c r="U98" s="14">
        <v>2507</v>
      </c>
      <c r="V98" s="14">
        <v>30084</v>
      </c>
    </row>
    <row r="99" spans="7:22" x14ac:dyDescent="0.2">
      <c r="G99" s="39" t="s">
        <v>54</v>
      </c>
      <c r="H99" s="39" t="s">
        <v>796</v>
      </c>
      <c r="I99" s="39" t="s">
        <v>797</v>
      </c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</row>
    <row r="100" spans="7:22" x14ac:dyDescent="0.2">
      <c r="G100" s="39" t="s">
        <v>54</v>
      </c>
      <c r="H100" s="39" t="s">
        <v>799</v>
      </c>
      <c r="I100" s="39" t="s">
        <v>800</v>
      </c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</row>
    <row r="101" spans="7:22" x14ac:dyDescent="0.2">
      <c r="G101" s="39" t="s">
        <v>54</v>
      </c>
      <c r="H101" s="39" t="s">
        <v>923</v>
      </c>
      <c r="I101" s="39" t="s">
        <v>924</v>
      </c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</row>
    <row r="102" spans="7:22" x14ac:dyDescent="0.2">
      <c r="G102" s="39" t="s">
        <v>54</v>
      </c>
      <c r="H102" s="39" t="s">
        <v>925</v>
      </c>
      <c r="I102" s="39" t="s">
        <v>926</v>
      </c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</row>
    <row r="103" spans="7:22" x14ac:dyDescent="0.2">
      <c r="G103" s="39" t="s">
        <v>54</v>
      </c>
      <c r="H103" s="39" t="s">
        <v>802</v>
      </c>
      <c r="I103" s="39" t="s">
        <v>803</v>
      </c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</row>
    <row r="104" spans="7:22" x14ac:dyDescent="0.2">
      <c r="G104" s="39" t="s">
        <v>54</v>
      </c>
      <c r="H104" s="39" t="s">
        <v>808</v>
      </c>
      <c r="I104" s="39" t="s">
        <v>809</v>
      </c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87">
        <v>0</v>
      </c>
    </row>
    <row r="105" spans="7:22" x14ac:dyDescent="0.2">
      <c r="G105" s="39" t="s">
        <v>54</v>
      </c>
      <c r="H105" s="39" t="s">
        <v>814</v>
      </c>
      <c r="I105" s="39" t="s">
        <v>815</v>
      </c>
      <c r="J105" s="14">
        <v>147</v>
      </c>
      <c r="K105" s="14">
        <v>147</v>
      </c>
      <c r="L105" s="14">
        <v>147</v>
      </c>
      <c r="M105" s="14">
        <v>147</v>
      </c>
      <c r="N105" s="14">
        <v>147</v>
      </c>
      <c r="O105" s="14">
        <v>147</v>
      </c>
      <c r="P105" s="14">
        <v>147</v>
      </c>
      <c r="Q105" s="14">
        <v>147</v>
      </c>
      <c r="R105" s="14">
        <v>147</v>
      </c>
      <c r="S105" s="14">
        <v>147</v>
      </c>
      <c r="T105" s="14">
        <v>147</v>
      </c>
      <c r="U105" s="14">
        <v>147</v>
      </c>
      <c r="V105" s="14">
        <v>1764</v>
      </c>
    </row>
    <row r="106" spans="7:22" x14ac:dyDescent="0.2">
      <c r="G106" s="39" t="s">
        <v>39</v>
      </c>
      <c r="H106" s="39" t="s">
        <v>764</v>
      </c>
      <c r="I106" s="39" t="s">
        <v>765</v>
      </c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</row>
    <row r="107" spans="7:22" x14ac:dyDescent="0.2">
      <c r="G107" s="39" t="s">
        <v>54</v>
      </c>
      <c r="H107" s="39" t="s">
        <v>767</v>
      </c>
      <c r="I107" s="39" t="s">
        <v>768</v>
      </c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</row>
    <row r="108" spans="7:22" x14ac:dyDescent="0.2">
      <c r="G108" s="39" t="s">
        <v>54</v>
      </c>
      <c r="H108" s="39" t="s">
        <v>771</v>
      </c>
      <c r="I108" s="39" t="s">
        <v>772</v>
      </c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</row>
    <row r="109" spans="7:22" x14ac:dyDescent="0.2">
      <c r="G109" s="39" t="s">
        <v>54</v>
      </c>
      <c r="H109" s="39" t="s">
        <v>774</v>
      </c>
      <c r="I109" s="39" t="s">
        <v>775</v>
      </c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</row>
    <row r="110" spans="7:22" x14ac:dyDescent="0.2">
      <c r="G110" s="39" t="s">
        <v>54</v>
      </c>
      <c r="H110" s="39" t="s">
        <v>777</v>
      </c>
      <c r="I110" s="39" t="s">
        <v>778</v>
      </c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</row>
    <row r="111" spans="7:22" x14ac:dyDescent="0.2">
      <c r="G111" s="39" t="s">
        <v>54</v>
      </c>
      <c r="H111" s="39" t="s">
        <v>780</v>
      </c>
      <c r="I111" s="39" t="s">
        <v>781</v>
      </c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</row>
    <row r="112" spans="7:22" x14ac:dyDescent="0.2">
      <c r="G112" s="39" t="s">
        <v>54</v>
      </c>
      <c r="H112" s="39" t="s">
        <v>783</v>
      </c>
      <c r="I112" s="39" t="s">
        <v>784</v>
      </c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</row>
    <row r="113" spans="7:22" x14ac:dyDescent="0.2">
      <c r="G113" s="39" t="s">
        <v>54</v>
      </c>
      <c r="H113" s="39" t="s">
        <v>920</v>
      </c>
      <c r="I113" s="39" t="s">
        <v>921</v>
      </c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</row>
    <row r="114" spans="7:22" x14ac:dyDescent="0.2">
      <c r="G114" s="39" t="s">
        <v>54</v>
      </c>
      <c r="H114" s="39" t="s">
        <v>786</v>
      </c>
      <c r="I114" s="39" t="s">
        <v>787</v>
      </c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</row>
    <row r="115" spans="7:22" x14ac:dyDescent="0.2">
      <c r="G115" s="39" t="s">
        <v>54</v>
      </c>
      <c r="H115" s="39" t="s">
        <v>789</v>
      </c>
      <c r="I115" s="39" t="s">
        <v>790</v>
      </c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</row>
    <row r="116" spans="7:22" x14ac:dyDescent="0.2">
      <c r="G116" s="39" t="s">
        <v>54</v>
      </c>
      <c r="H116" s="39" t="s">
        <v>793</v>
      </c>
      <c r="I116" s="39" t="s">
        <v>794</v>
      </c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</row>
    <row r="117" spans="7:22" x14ac:dyDescent="0.2">
      <c r="G117" s="39" t="s">
        <v>54</v>
      </c>
      <c r="H117" s="39" t="s">
        <v>796</v>
      </c>
      <c r="I117" s="39" t="s">
        <v>797</v>
      </c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</row>
    <row r="118" spans="7:22" x14ac:dyDescent="0.2">
      <c r="G118" s="39" t="s">
        <v>54</v>
      </c>
      <c r="H118" s="39" t="s">
        <v>799</v>
      </c>
      <c r="I118" s="39" t="s">
        <v>800</v>
      </c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</row>
    <row r="119" spans="7:22" x14ac:dyDescent="0.2">
      <c r="G119" s="39" t="s">
        <v>54</v>
      </c>
      <c r="H119" s="39" t="s">
        <v>923</v>
      </c>
      <c r="I119" s="39" t="s">
        <v>924</v>
      </c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</row>
    <row r="120" spans="7:22" x14ac:dyDescent="0.2">
      <c r="G120" s="39" t="s">
        <v>54</v>
      </c>
      <c r="H120" s="39" t="s">
        <v>925</v>
      </c>
      <c r="I120" s="39" t="s">
        <v>926</v>
      </c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</row>
    <row r="121" spans="7:22" x14ac:dyDescent="0.2">
      <c r="G121" s="39" t="s">
        <v>54</v>
      </c>
      <c r="H121" s="39" t="s">
        <v>802</v>
      </c>
      <c r="I121" s="39" t="s">
        <v>803</v>
      </c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</row>
    <row r="122" spans="7:22" x14ac:dyDescent="0.2">
      <c r="G122" s="39" t="s">
        <v>54</v>
      </c>
      <c r="H122" s="39" t="s">
        <v>808</v>
      </c>
      <c r="I122" s="39" t="s">
        <v>809</v>
      </c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</row>
    <row r="123" spans="7:22" x14ac:dyDescent="0.2">
      <c r="G123" s="39" t="s">
        <v>54</v>
      </c>
      <c r="H123" s="39" t="s">
        <v>814</v>
      </c>
      <c r="I123" s="39" t="s">
        <v>815</v>
      </c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</row>
    <row r="124" spans="7:22" x14ac:dyDescent="0.2">
      <c r="G124" s="39" t="s">
        <v>38</v>
      </c>
      <c r="H124" s="39" t="s">
        <v>764</v>
      </c>
      <c r="I124" s="39" t="s">
        <v>765</v>
      </c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</row>
    <row r="125" spans="7:22" x14ac:dyDescent="0.2">
      <c r="G125" s="39" t="s">
        <v>54</v>
      </c>
      <c r="H125" s="39" t="s">
        <v>767</v>
      </c>
      <c r="I125" s="39" t="s">
        <v>768</v>
      </c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</row>
    <row r="126" spans="7:22" x14ac:dyDescent="0.2">
      <c r="G126" s="39" t="s">
        <v>54</v>
      </c>
      <c r="H126" s="39" t="s">
        <v>771</v>
      </c>
      <c r="I126" s="39" t="s">
        <v>772</v>
      </c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</row>
    <row r="127" spans="7:22" x14ac:dyDescent="0.2">
      <c r="G127" s="39" t="s">
        <v>54</v>
      </c>
      <c r="H127" s="39" t="s">
        <v>774</v>
      </c>
      <c r="I127" s="39" t="s">
        <v>775</v>
      </c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</row>
    <row r="128" spans="7:22" x14ac:dyDescent="0.2">
      <c r="G128" s="39" t="s">
        <v>54</v>
      </c>
      <c r="H128" s="39" t="s">
        <v>777</v>
      </c>
      <c r="I128" s="39" t="s">
        <v>778</v>
      </c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</row>
    <row r="129" spans="7:22" x14ac:dyDescent="0.2">
      <c r="G129" s="39" t="s">
        <v>54</v>
      </c>
      <c r="H129" s="39" t="s">
        <v>780</v>
      </c>
      <c r="I129" s="39" t="s">
        <v>781</v>
      </c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</row>
    <row r="130" spans="7:22" x14ac:dyDescent="0.2">
      <c r="G130" s="39" t="s">
        <v>54</v>
      </c>
      <c r="H130" s="39" t="s">
        <v>783</v>
      </c>
      <c r="I130" s="39" t="s">
        <v>784</v>
      </c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</row>
    <row r="131" spans="7:22" x14ac:dyDescent="0.2">
      <c r="G131" s="39" t="s">
        <v>54</v>
      </c>
      <c r="H131" s="39" t="s">
        <v>920</v>
      </c>
      <c r="I131" s="39" t="s">
        <v>921</v>
      </c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</row>
    <row r="132" spans="7:22" x14ac:dyDescent="0.2">
      <c r="G132" s="39" t="s">
        <v>54</v>
      </c>
      <c r="H132" s="39" t="s">
        <v>786</v>
      </c>
      <c r="I132" s="39" t="s">
        <v>787</v>
      </c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</row>
    <row r="133" spans="7:22" x14ac:dyDescent="0.2">
      <c r="G133" s="39" t="s">
        <v>54</v>
      </c>
      <c r="H133" s="39" t="s">
        <v>789</v>
      </c>
      <c r="I133" s="39" t="s">
        <v>790</v>
      </c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</row>
    <row r="134" spans="7:22" x14ac:dyDescent="0.2">
      <c r="G134" s="39" t="s">
        <v>54</v>
      </c>
      <c r="H134" s="39" t="s">
        <v>793</v>
      </c>
      <c r="I134" s="39" t="s">
        <v>794</v>
      </c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</row>
    <row r="135" spans="7:22" x14ac:dyDescent="0.2">
      <c r="G135" s="39" t="s">
        <v>54</v>
      </c>
      <c r="H135" s="39" t="s">
        <v>796</v>
      </c>
      <c r="I135" s="39" t="s">
        <v>797</v>
      </c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</row>
    <row r="136" spans="7:22" x14ac:dyDescent="0.2">
      <c r="G136" s="39" t="s">
        <v>54</v>
      </c>
      <c r="H136" s="39" t="s">
        <v>799</v>
      </c>
      <c r="I136" s="39" t="s">
        <v>800</v>
      </c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</row>
    <row r="137" spans="7:22" x14ac:dyDescent="0.2">
      <c r="G137" s="39" t="s">
        <v>54</v>
      </c>
      <c r="H137" s="39" t="s">
        <v>923</v>
      </c>
      <c r="I137" s="39" t="s">
        <v>924</v>
      </c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</row>
    <row r="138" spans="7:22" x14ac:dyDescent="0.2">
      <c r="G138" s="39" t="s">
        <v>54</v>
      </c>
      <c r="H138" s="39" t="s">
        <v>925</v>
      </c>
      <c r="I138" s="39" t="s">
        <v>926</v>
      </c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</row>
    <row r="139" spans="7:22" x14ac:dyDescent="0.2">
      <c r="G139" s="39" t="s">
        <v>54</v>
      </c>
      <c r="H139" s="39" t="s">
        <v>802</v>
      </c>
      <c r="I139" s="39" t="s">
        <v>803</v>
      </c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</row>
    <row r="140" spans="7:22" x14ac:dyDescent="0.2">
      <c r="G140" s="39" t="s">
        <v>54</v>
      </c>
      <c r="H140" s="39" t="s">
        <v>808</v>
      </c>
      <c r="I140" s="39" t="s">
        <v>809</v>
      </c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</row>
    <row r="141" spans="7:22" x14ac:dyDescent="0.2">
      <c r="G141" s="39" t="s">
        <v>54</v>
      </c>
      <c r="H141" s="39" t="s">
        <v>814</v>
      </c>
      <c r="I141" s="39" t="s">
        <v>815</v>
      </c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</row>
    <row r="142" spans="7:22" x14ac:dyDescent="0.2">
      <c r="G142" s="39" t="s">
        <v>37</v>
      </c>
      <c r="H142" s="39" t="s">
        <v>764</v>
      </c>
      <c r="I142" s="39" t="s">
        <v>765</v>
      </c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</row>
    <row r="143" spans="7:22" x14ac:dyDescent="0.2">
      <c r="G143" s="39" t="s">
        <v>54</v>
      </c>
      <c r="H143" s="39" t="s">
        <v>767</v>
      </c>
      <c r="I143" s="39" t="s">
        <v>768</v>
      </c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</row>
    <row r="144" spans="7:22" x14ac:dyDescent="0.2">
      <c r="G144" s="39" t="s">
        <v>54</v>
      </c>
      <c r="H144" s="39" t="s">
        <v>771</v>
      </c>
      <c r="I144" s="39" t="s">
        <v>772</v>
      </c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</row>
    <row r="145" spans="7:22" x14ac:dyDescent="0.2">
      <c r="G145" s="39" t="s">
        <v>54</v>
      </c>
      <c r="H145" s="39" t="s">
        <v>774</v>
      </c>
      <c r="I145" s="39" t="s">
        <v>775</v>
      </c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</row>
    <row r="146" spans="7:22" x14ac:dyDescent="0.2">
      <c r="G146" s="39" t="s">
        <v>54</v>
      </c>
      <c r="H146" s="39" t="s">
        <v>777</v>
      </c>
      <c r="I146" s="39" t="s">
        <v>778</v>
      </c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</row>
    <row r="147" spans="7:22" x14ac:dyDescent="0.2">
      <c r="G147" s="39" t="s">
        <v>54</v>
      </c>
      <c r="H147" s="39" t="s">
        <v>780</v>
      </c>
      <c r="I147" s="39" t="s">
        <v>781</v>
      </c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</row>
    <row r="148" spans="7:22" x14ac:dyDescent="0.2">
      <c r="G148" s="39" t="s">
        <v>54</v>
      </c>
      <c r="H148" s="39" t="s">
        <v>783</v>
      </c>
      <c r="I148" s="39" t="s">
        <v>784</v>
      </c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</row>
    <row r="149" spans="7:22" x14ac:dyDescent="0.2">
      <c r="G149" s="39" t="s">
        <v>54</v>
      </c>
      <c r="H149" s="39" t="s">
        <v>920</v>
      </c>
      <c r="I149" s="39" t="s">
        <v>921</v>
      </c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</row>
    <row r="150" spans="7:22" x14ac:dyDescent="0.2">
      <c r="G150" s="39" t="s">
        <v>54</v>
      </c>
      <c r="H150" s="39" t="s">
        <v>786</v>
      </c>
      <c r="I150" s="39" t="s">
        <v>787</v>
      </c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</row>
    <row r="151" spans="7:22" x14ac:dyDescent="0.2">
      <c r="G151" s="39" t="s">
        <v>54</v>
      </c>
      <c r="H151" s="39" t="s">
        <v>789</v>
      </c>
      <c r="I151" s="39" t="s">
        <v>790</v>
      </c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</row>
    <row r="152" spans="7:22" x14ac:dyDescent="0.2">
      <c r="G152" s="39" t="s">
        <v>54</v>
      </c>
      <c r="H152" s="39" t="s">
        <v>793</v>
      </c>
      <c r="I152" s="39" t="s">
        <v>794</v>
      </c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</row>
    <row r="153" spans="7:22" x14ac:dyDescent="0.2">
      <c r="G153" s="39" t="s">
        <v>54</v>
      </c>
      <c r="H153" s="39" t="s">
        <v>796</v>
      </c>
      <c r="I153" s="39" t="s">
        <v>797</v>
      </c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</row>
    <row r="154" spans="7:22" x14ac:dyDescent="0.2">
      <c r="G154" s="39" t="s">
        <v>54</v>
      </c>
      <c r="H154" s="39" t="s">
        <v>799</v>
      </c>
      <c r="I154" s="39" t="s">
        <v>800</v>
      </c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</row>
    <row r="155" spans="7:22" x14ac:dyDescent="0.2">
      <c r="G155" s="39" t="s">
        <v>54</v>
      </c>
      <c r="H155" s="39" t="s">
        <v>923</v>
      </c>
      <c r="I155" s="39" t="s">
        <v>924</v>
      </c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</row>
    <row r="156" spans="7:22" x14ac:dyDescent="0.2">
      <c r="G156" s="39" t="s">
        <v>54</v>
      </c>
      <c r="H156" s="39" t="s">
        <v>925</v>
      </c>
      <c r="I156" s="39" t="s">
        <v>926</v>
      </c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</row>
    <row r="157" spans="7:22" x14ac:dyDescent="0.2">
      <c r="G157" s="39" t="s">
        <v>54</v>
      </c>
      <c r="H157" s="39" t="s">
        <v>802</v>
      </c>
      <c r="I157" s="39" t="s">
        <v>803</v>
      </c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</row>
    <row r="158" spans="7:22" x14ac:dyDescent="0.2">
      <c r="G158" s="39" t="s">
        <v>54</v>
      </c>
      <c r="H158" s="39" t="s">
        <v>808</v>
      </c>
      <c r="I158" s="39" t="s">
        <v>809</v>
      </c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</row>
    <row r="159" spans="7:22" x14ac:dyDescent="0.2">
      <c r="G159" s="39" t="s">
        <v>54</v>
      </c>
      <c r="H159" s="39" t="s">
        <v>814</v>
      </c>
      <c r="I159" s="39" t="s">
        <v>815</v>
      </c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</row>
    <row r="160" spans="7:22" x14ac:dyDescent="0.2">
      <c r="G160" s="39" t="s">
        <v>36</v>
      </c>
      <c r="H160" s="39" t="s">
        <v>764</v>
      </c>
      <c r="I160" s="39" t="s">
        <v>765</v>
      </c>
      <c r="J160" s="37">
        <v>50910</v>
      </c>
      <c r="K160" s="37">
        <v>44270</v>
      </c>
      <c r="L160" s="37">
        <v>50160</v>
      </c>
      <c r="M160" s="37">
        <v>50160</v>
      </c>
      <c r="N160" s="37">
        <v>47880</v>
      </c>
      <c r="O160" s="37">
        <v>50160</v>
      </c>
      <c r="P160" s="37">
        <v>52440</v>
      </c>
      <c r="Q160" s="37">
        <v>47880</v>
      </c>
      <c r="R160" s="37">
        <v>50160</v>
      </c>
      <c r="S160" s="37">
        <v>50160</v>
      </c>
      <c r="T160" s="37">
        <v>47880</v>
      </c>
      <c r="U160" s="37">
        <v>50160</v>
      </c>
      <c r="V160" s="37">
        <v>592220</v>
      </c>
    </row>
    <row r="161" spans="7:22" x14ac:dyDescent="0.2">
      <c r="G161" s="39" t="s">
        <v>54</v>
      </c>
      <c r="H161" s="39" t="s">
        <v>767</v>
      </c>
      <c r="I161" s="39" t="s">
        <v>768</v>
      </c>
      <c r="J161" s="37">
        <v>12591</v>
      </c>
      <c r="K161" s="37">
        <v>10951</v>
      </c>
      <c r="L161" s="37">
        <v>12414</v>
      </c>
      <c r="M161" s="37">
        <v>12420</v>
      </c>
      <c r="N161" s="37">
        <v>11958</v>
      </c>
      <c r="O161" s="37">
        <v>12652</v>
      </c>
      <c r="P161" s="37">
        <v>13234</v>
      </c>
      <c r="Q161" s="37">
        <v>11953</v>
      </c>
      <c r="R161" s="37">
        <v>12450</v>
      </c>
      <c r="S161" s="37">
        <v>12455</v>
      </c>
      <c r="T161" s="37">
        <v>11900</v>
      </c>
      <c r="U161" s="37">
        <v>13033</v>
      </c>
      <c r="V161" s="37">
        <v>148011</v>
      </c>
    </row>
    <row r="162" spans="7:22" x14ac:dyDescent="0.2">
      <c r="G162" s="39" t="s">
        <v>54</v>
      </c>
      <c r="H162" s="39" t="s">
        <v>771</v>
      </c>
      <c r="I162" s="39" t="s">
        <v>772</v>
      </c>
      <c r="J162" s="37">
        <v>11590</v>
      </c>
      <c r="K162" s="37">
        <v>4660</v>
      </c>
      <c r="L162" s="37">
        <v>4700</v>
      </c>
      <c r="M162" s="37">
        <v>4230</v>
      </c>
      <c r="N162" s="37">
        <v>4790</v>
      </c>
      <c r="O162" s="37">
        <v>2460</v>
      </c>
      <c r="P162" s="37">
        <v>2800</v>
      </c>
      <c r="Q162" s="37">
        <v>2850</v>
      </c>
      <c r="R162" s="37">
        <v>4350</v>
      </c>
      <c r="S162" s="37">
        <v>5040</v>
      </c>
      <c r="T162" s="37">
        <v>7670</v>
      </c>
      <c r="U162" s="37">
        <v>8140</v>
      </c>
      <c r="V162" s="37">
        <v>63280</v>
      </c>
    </row>
    <row r="163" spans="7:22" x14ac:dyDescent="0.2">
      <c r="G163" s="39" t="s">
        <v>54</v>
      </c>
      <c r="H163" s="39" t="s">
        <v>774</v>
      </c>
      <c r="I163" s="39" t="s">
        <v>775</v>
      </c>
      <c r="J163" s="37">
        <v>265</v>
      </c>
      <c r="K163" s="37">
        <v>71</v>
      </c>
      <c r="L163" s="37">
        <v>86</v>
      </c>
      <c r="M163" s="37">
        <v>123</v>
      </c>
      <c r="N163" s="37">
        <v>135</v>
      </c>
      <c r="O163" s="37">
        <v>108</v>
      </c>
      <c r="P163" s="37">
        <v>166</v>
      </c>
      <c r="Q163" s="37">
        <v>79</v>
      </c>
      <c r="R163" s="37">
        <v>119</v>
      </c>
      <c r="S163" s="37">
        <v>72</v>
      </c>
      <c r="T163" s="37">
        <v>182</v>
      </c>
      <c r="U163" s="37">
        <v>106</v>
      </c>
      <c r="V163" s="37">
        <v>1512</v>
      </c>
    </row>
    <row r="164" spans="7:22" x14ac:dyDescent="0.2">
      <c r="G164" s="39" t="s">
        <v>54</v>
      </c>
      <c r="H164" s="39" t="s">
        <v>777</v>
      </c>
      <c r="I164" s="39" t="s">
        <v>778</v>
      </c>
      <c r="J164" s="373"/>
      <c r="K164" s="373"/>
      <c r="L164" s="373"/>
      <c r="M164" s="373"/>
      <c r="N164" s="373"/>
      <c r="O164" s="373"/>
      <c r="P164" s="373"/>
      <c r="Q164" s="373"/>
      <c r="R164" s="373"/>
      <c r="S164" s="373"/>
      <c r="T164" s="373"/>
      <c r="U164" s="373"/>
      <c r="V164" s="374">
        <v>0</v>
      </c>
    </row>
    <row r="165" spans="7:22" x14ac:dyDescent="0.2">
      <c r="G165" s="39" t="s">
        <v>54</v>
      </c>
      <c r="H165" s="39" t="s">
        <v>780</v>
      </c>
      <c r="I165" s="39" t="s">
        <v>781</v>
      </c>
      <c r="J165" s="373"/>
      <c r="K165" s="373"/>
      <c r="L165" s="373"/>
      <c r="M165" s="373"/>
      <c r="N165" s="373"/>
      <c r="O165" s="373"/>
      <c r="P165" s="373"/>
      <c r="Q165" s="373"/>
      <c r="R165" s="373"/>
      <c r="S165" s="373"/>
      <c r="T165" s="373"/>
      <c r="U165" s="373"/>
      <c r="V165" s="374">
        <v>0</v>
      </c>
    </row>
    <row r="166" spans="7:22" x14ac:dyDescent="0.2">
      <c r="G166" s="39" t="s">
        <v>54</v>
      </c>
      <c r="H166" s="39" t="s">
        <v>783</v>
      </c>
      <c r="I166" s="39" t="s">
        <v>784</v>
      </c>
      <c r="J166" s="373"/>
      <c r="K166" s="373"/>
      <c r="L166" s="373"/>
      <c r="M166" s="373"/>
      <c r="N166" s="373"/>
      <c r="O166" s="373"/>
      <c r="P166" s="373"/>
      <c r="Q166" s="373"/>
      <c r="R166" s="373"/>
      <c r="S166" s="373"/>
      <c r="T166" s="373"/>
      <c r="U166" s="373"/>
      <c r="V166" s="374">
        <v>0</v>
      </c>
    </row>
    <row r="167" spans="7:22" x14ac:dyDescent="0.2">
      <c r="G167" s="39" t="s">
        <v>54</v>
      </c>
      <c r="H167" s="39" t="s">
        <v>920</v>
      </c>
      <c r="I167" s="39" t="s">
        <v>921</v>
      </c>
      <c r="J167" s="373"/>
      <c r="K167" s="373"/>
      <c r="L167" s="373"/>
      <c r="M167" s="373"/>
      <c r="N167" s="373"/>
      <c r="O167" s="373"/>
      <c r="P167" s="373"/>
      <c r="Q167" s="373"/>
      <c r="R167" s="373"/>
      <c r="S167" s="373"/>
      <c r="T167" s="373"/>
      <c r="U167" s="373"/>
      <c r="V167" s="374">
        <v>0</v>
      </c>
    </row>
    <row r="168" spans="7:22" x14ac:dyDescent="0.2">
      <c r="G168" s="39" t="s">
        <v>54</v>
      </c>
      <c r="H168" s="39" t="s">
        <v>786</v>
      </c>
      <c r="I168" s="39" t="s">
        <v>787</v>
      </c>
      <c r="J168" s="37">
        <v>274</v>
      </c>
      <c r="K168" s="37">
        <v>274</v>
      </c>
      <c r="L168" s="37">
        <v>274</v>
      </c>
      <c r="M168" s="37">
        <v>274</v>
      </c>
      <c r="N168" s="37">
        <v>274</v>
      </c>
      <c r="O168" s="37">
        <v>274</v>
      </c>
      <c r="P168" s="37">
        <v>274</v>
      </c>
      <c r="Q168" s="37">
        <v>274</v>
      </c>
      <c r="R168" s="37">
        <v>274</v>
      </c>
      <c r="S168" s="37">
        <v>274</v>
      </c>
      <c r="T168" s="37">
        <v>274</v>
      </c>
      <c r="U168" s="37">
        <v>274</v>
      </c>
      <c r="V168" s="37">
        <v>3288</v>
      </c>
    </row>
    <row r="169" spans="7:22" x14ac:dyDescent="0.2">
      <c r="G169" s="39" t="s">
        <v>54</v>
      </c>
      <c r="H169" s="39" t="s">
        <v>789</v>
      </c>
      <c r="I169" s="39" t="s">
        <v>790</v>
      </c>
      <c r="J169" s="37">
        <v>3480</v>
      </c>
      <c r="K169" s="37">
        <v>3480</v>
      </c>
      <c r="L169" s="37">
        <v>3480</v>
      </c>
      <c r="M169" s="37">
        <v>3480</v>
      </c>
      <c r="N169" s="37">
        <v>3480</v>
      </c>
      <c r="O169" s="37">
        <v>3480</v>
      </c>
      <c r="P169" s="37">
        <v>3480</v>
      </c>
      <c r="Q169" s="37">
        <v>3480</v>
      </c>
      <c r="R169" s="37">
        <v>3480</v>
      </c>
      <c r="S169" s="37">
        <v>3480</v>
      </c>
      <c r="T169" s="37">
        <v>3480</v>
      </c>
      <c r="U169" s="37">
        <v>3480</v>
      </c>
      <c r="V169" s="37">
        <v>41760</v>
      </c>
    </row>
    <row r="170" spans="7:22" x14ac:dyDescent="0.2">
      <c r="G170" s="39" t="s">
        <v>54</v>
      </c>
      <c r="H170" s="39" t="s">
        <v>793</v>
      </c>
      <c r="I170" s="39" t="s">
        <v>794</v>
      </c>
      <c r="J170" s="37">
        <v>2507</v>
      </c>
      <c r="K170" s="37">
        <v>2507</v>
      </c>
      <c r="L170" s="37">
        <v>2507</v>
      </c>
      <c r="M170" s="37">
        <v>2507</v>
      </c>
      <c r="N170" s="37">
        <v>2507</v>
      </c>
      <c r="O170" s="37">
        <v>2507</v>
      </c>
      <c r="P170" s="37">
        <v>2507</v>
      </c>
      <c r="Q170" s="37">
        <v>2507</v>
      </c>
      <c r="R170" s="37">
        <v>2507</v>
      </c>
      <c r="S170" s="37">
        <v>2507</v>
      </c>
      <c r="T170" s="37">
        <v>2507</v>
      </c>
      <c r="U170" s="37">
        <v>2507</v>
      </c>
      <c r="V170" s="37">
        <v>30084</v>
      </c>
    </row>
    <row r="171" spans="7:22" x14ac:dyDescent="0.2">
      <c r="G171" s="39" t="s">
        <v>54</v>
      </c>
      <c r="H171" s="39" t="s">
        <v>796</v>
      </c>
      <c r="I171" s="39" t="s">
        <v>797</v>
      </c>
      <c r="J171" s="37">
        <v>1686</v>
      </c>
      <c r="K171" s="37">
        <v>1460</v>
      </c>
      <c r="L171" s="37">
        <v>1666</v>
      </c>
      <c r="M171" s="37">
        <v>1672</v>
      </c>
      <c r="N171" s="37">
        <v>1594</v>
      </c>
      <c r="O171" s="37">
        <v>1672</v>
      </c>
      <c r="P171" s="37">
        <v>1749</v>
      </c>
      <c r="Q171" s="37">
        <v>1594</v>
      </c>
      <c r="R171" s="37">
        <v>1672</v>
      </c>
      <c r="S171" s="37">
        <v>1672</v>
      </c>
      <c r="T171" s="37">
        <v>1594</v>
      </c>
      <c r="U171" s="37">
        <v>1749</v>
      </c>
      <c r="V171" s="37">
        <v>19780</v>
      </c>
    </row>
    <row r="172" spans="7:22" x14ac:dyDescent="0.2">
      <c r="G172" s="39" t="s">
        <v>54</v>
      </c>
      <c r="H172" s="39" t="s">
        <v>799</v>
      </c>
      <c r="I172" s="39" t="s">
        <v>800</v>
      </c>
      <c r="J172" s="37">
        <v>61</v>
      </c>
      <c r="K172" s="37">
        <v>35</v>
      </c>
      <c r="L172" s="37">
        <v>61</v>
      </c>
      <c r="M172" s="37">
        <v>104</v>
      </c>
      <c r="N172" s="37">
        <v>90</v>
      </c>
      <c r="O172" s="37">
        <v>74</v>
      </c>
      <c r="P172" s="37">
        <v>53</v>
      </c>
      <c r="Q172" s="37">
        <v>56</v>
      </c>
      <c r="R172" s="37">
        <v>58</v>
      </c>
      <c r="S172" s="37">
        <v>66</v>
      </c>
      <c r="T172" s="37">
        <v>63</v>
      </c>
      <c r="U172" s="37">
        <v>39</v>
      </c>
      <c r="V172" s="37">
        <v>760</v>
      </c>
    </row>
    <row r="173" spans="7:22" x14ac:dyDescent="0.2">
      <c r="G173" s="39" t="s">
        <v>54</v>
      </c>
      <c r="H173" s="39" t="s">
        <v>923</v>
      </c>
      <c r="I173" s="39" t="s">
        <v>924</v>
      </c>
      <c r="J173" s="373"/>
      <c r="K173" s="37">
        <v>1</v>
      </c>
      <c r="L173" s="37">
        <v>1</v>
      </c>
      <c r="M173" s="37">
        <v>2</v>
      </c>
      <c r="N173" s="37">
        <v>5</v>
      </c>
      <c r="O173" s="37">
        <v>6</v>
      </c>
      <c r="P173" s="37">
        <v>12</v>
      </c>
      <c r="Q173" s="37">
        <v>14</v>
      </c>
      <c r="R173" s="37">
        <v>14</v>
      </c>
      <c r="S173" s="37">
        <v>16</v>
      </c>
      <c r="T173" s="37">
        <v>28</v>
      </c>
      <c r="U173" s="37">
        <v>28</v>
      </c>
      <c r="V173" s="37">
        <v>127</v>
      </c>
    </row>
    <row r="174" spans="7:22" x14ac:dyDescent="0.2">
      <c r="G174" s="39" t="s">
        <v>54</v>
      </c>
      <c r="H174" s="39" t="s">
        <v>925</v>
      </c>
      <c r="I174" s="39" t="s">
        <v>926</v>
      </c>
      <c r="J174" s="373"/>
      <c r="K174" s="373"/>
      <c r="L174" s="373"/>
      <c r="M174" s="373"/>
      <c r="N174" s="373"/>
      <c r="O174" s="373"/>
      <c r="P174" s="373"/>
      <c r="Q174" s="373"/>
      <c r="R174" s="373"/>
      <c r="S174" s="373"/>
      <c r="T174" s="373"/>
      <c r="U174" s="373"/>
      <c r="V174" s="374">
        <v>0</v>
      </c>
    </row>
    <row r="175" spans="7:22" x14ac:dyDescent="0.2">
      <c r="G175" s="39" t="s">
        <v>54</v>
      </c>
      <c r="H175" s="39" t="s">
        <v>802</v>
      </c>
      <c r="I175" s="39" t="s">
        <v>803</v>
      </c>
      <c r="J175" s="373"/>
      <c r="K175" s="373"/>
      <c r="L175" s="373"/>
      <c r="M175" s="373"/>
      <c r="N175" s="373"/>
      <c r="O175" s="373"/>
      <c r="P175" s="373"/>
      <c r="Q175" s="373"/>
      <c r="R175" s="373"/>
      <c r="S175" s="373"/>
      <c r="T175" s="373"/>
      <c r="U175" s="373"/>
      <c r="V175" s="374">
        <v>0</v>
      </c>
    </row>
    <row r="176" spans="7:22" x14ac:dyDescent="0.2">
      <c r="G176" s="39" t="s">
        <v>54</v>
      </c>
      <c r="H176" s="39" t="s">
        <v>808</v>
      </c>
      <c r="I176" s="39" t="s">
        <v>809</v>
      </c>
      <c r="J176" s="373"/>
      <c r="K176" s="373"/>
      <c r="L176" s="373"/>
      <c r="M176" s="373"/>
      <c r="N176" s="373"/>
      <c r="O176" s="373"/>
      <c r="P176" s="373"/>
      <c r="Q176" s="373"/>
      <c r="R176" s="373"/>
      <c r="S176" s="373"/>
      <c r="T176" s="373"/>
      <c r="U176" s="373"/>
      <c r="V176" s="374">
        <v>0</v>
      </c>
    </row>
    <row r="177" spans="7:22" x14ac:dyDescent="0.2">
      <c r="G177" s="39" t="s">
        <v>54</v>
      </c>
      <c r="H177" s="39" t="s">
        <v>814</v>
      </c>
      <c r="I177" s="39" t="s">
        <v>815</v>
      </c>
      <c r="J177" s="37">
        <v>147</v>
      </c>
      <c r="K177" s="37">
        <v>147</v>
      </c>
      <c r="L177" s="37">
        <v>147</v>
      </c>
      <c r="M177" s="37">
        <v>147</v>
      </c>
      <c r="N177" s="37">
        <v>147</v>
      </c>
      <c r="O177" s="37">
        <v>147</v>
      </c>
      <c r="P177" s="37">
        <v>147</v>
      </c>
      <c r="Q177" s="37">
        <v>147</v>
      </c>
      <c r="R177" s="37">
        <v>147</v>
      </c>
      <c r="S177" s="37">
        <v>147</v>
      </c>
      <c r="T177" s="37">
        <v>147</v>
      </c>
      <c r="U177" s="37">
        <v>147</v>
      </c>
      <c r="V177" s="37">
        <v>1764</v>
      </c>
    </row>
    <row r="178" spans="7:22" x14ac:dyDescent="0.2">
      <c r="G178" s="39" t="s">
        <v>651</v>
      </c>
      <c r="H178" s="39" t="s">
        <v>764</v>
      </c>
      <c r="I178" s="39" t="s">
        <v>765</v>
      </c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</row>
    <row r="179" spans="7:22" x14ac:dyDescent="0.2">
      <c r="G179" s="39" t="s">
        <v>54</v>
      </c>
      <c r="H179" s="39" t="s">
        <v>767</v>
      </c>
      <c r="I179" s="39" t="s">
        <v>768</v>
      </c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</row>
    <row r="180" spans="7:22" x14ac:dyDescent="0.2">
      <c r="G180" s="39" t="s">
        <v>54</v>
      </c>
      <c r="H180" s="39" t="s">
        <v>771</v>
      </c>
      <c r="I180" s="39" t="s">
        <v>772</v>
      </c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</row>
    <row r="181" spans="7:22" x14ac:dyDescent="0.2">
      <c r="G181" s="39" t="s">
        <v>54</v>
      </c>
      <c r="H181" s="39" t="s">
        <v>774</v>
      </c>
      <c r="I181" s="39" t="s">
        <v>775</v>
      </c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</row>
    <row r="182" spans="7:22" x14ac:dyDescent="0.2">
      <c r="G182" s="39" t="s">
        <v>54</v>
      </c>
      <c r="H182" s="39" t="s">
        <v>777</v>
      </c>
      <c r="I182" s="39" t="s">
        <v>778</v>
      </c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</row>
    <row r="183" spans="7:22" x14ac:dyDescent="0.2">
      <c r="G183" s="39" t="s">
        <v>54</v>
      </c>
      <c r="H183" s="39" t="s">
        <v>780</v>
      </c>
      <c r="I183" s="39" t="s">
        <v>781</v>
      </c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</row>
    <row r="184" spans="7:22" x14ac:dyDescent="0.2">
      <c r="G184" s="39" t="s">
        <v>54</v>
      </c>
      <c r="H184" s="39" t="s">
        <v>783</v>
      </c>
      <c r="I184" s="39" t="s">
        <v>784</v>
      </c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</row>
    <row r="185" spans="7:22" x14ac:dyDescent="0.2">
      <c r="G185" s="39" t="s">
        <v>54</v>
      </c>
      <c r="H185" s="39" t="s">
        <v>920</v>
      </c>
      <c r="I185" s="39" t="s">
        <v>921</v>
      </c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</row>
    <row r="186" spans="7:22" x14ac:dyDescent="0.2">
      <c r="G186" s="39" t="s">
        <v>54</v>
      </c>
      <c r="H186" s="39" t="s">
        <v>786</v>
      </c>
      <c r="I186" s="39" t="s">
        <v>787</v>
      </c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</row>
    <row r="187" spans="7:22" x14ac:dyDescent="0.2">
      <c r="G187" s="39" t="s">
        <v>54</v>
      </c>
      <c r="H187" s="39" t="s">
        <v>789</v>
      </c>
      <c r="I187" s="39" t="s">
        <v>790</v>
      </c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</row>
    <row r="188" spans="7:22" x14ac:dyDescent="0.2">
      <c r="G188" s="39" t="s">
        <v>54</v>
      </c>
      <c r="H188" s="39" t="s">
        <v>793</v>
      </c>
      <c r="I188" s="39" t="s">
        <v>794</v>
      </c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</row>
    <row r="189" spans="7:22" x14ac:dyDescent="0.2">
      <c r="G189" s="39" t="s">
        <v>54</v>
      </c>
      <c r="H189" s="39" t="s">
        <v>796</v>
      </c>
      <c r="I189" s="39" t="s">
        <v>797</v>
      </c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</row>
    <row r="190" spans="7:22" x14ac:dyDescent="0.2">
      <c r="G190" s="39" t="s">
        <v>54</v>
      </c>
      <c r="H190" s="39" t="s">
        <v>799</v>
      </c>
      <c r="I190" s="39" t="s">
        <v>800</v>
      </c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</row>
    <row r="191" spans="7:22" x14ac:dyDescent="0.2">
      <c r="G191" s="39" t="s">
        <v>54</v>
      </c>
      <c r="H191" s="39" t="s">
        <v>923</v>
      </c>
      <c r="I191" s="39" t="s">
        <v>924</v>
      </c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</row>
    <row r="192" spans="7:22" x14ac:dyDescent="0.2">
      <c r="G192" s="39" t="s">
        <v>54</v>
      </c>
      <c r="H192" s="39" t="s">
        <v>925</v>
      </c>
      <c r="I192" s="39" t="s">
        <v>926</v>
      </c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</row>
    <row r="193" spans="7:22" x14ac:dyDescent="0.2">
      <c r="G193" s="39" t="s">
        <v>54</v>
      </c>
      <c r="H193" s="39" t="s">
        <v>802</v>
      </c>
      <c r="I193" s="39" t="s">
        <v>803</v>
      </c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</row>
    <row r="194" spans="7:22" x14ac:dyDescent="0.2">
      <c r="G194" s="39" t="s">
        <v>54</v>
      </c>
      <c r="H194" s="39" t="s">
        <v>808</v>
      </c>
      <c r="I194" s="39" t="s">
        <v>809</v>
      </c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</row>
    <row r="195" spans="7:22" x14ac:dyDescent="0.2">
      <c r="G195" s="39" t="s">
        <v>54</v>
      </c>
      <c r="H195" s="39" t="s">
        <v>814</v>
      </c>
      <c r="I195" s="39" t="s">
        <v>815</v>
      </c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</row>
    <row r="196" spans="7:22" x14ac:dyDescent="0.2">
      <c r="G196" s="39" t="s">
        <v>650</v>
      </c>
      <c r="H196" s="39" t="s">
        <v>764</v>
      </c>
      <c r="I196" s="39" t="s">
        <v>765</v>
      </c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</row>
    <row r="197" spans="7:22" x14ac:dyDescent="0.2">
      <c r="G197" s="39" t="s">
        <v>54</v>
      </c>
      <c r="H197" s="39" t="s">
        <v>767</v>
      </c>
      <c r="I197" s="39" t="s">
        <v>768</v>
      </c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</row>
    <row r="198" spans="7:22" x14ac:dyDescent="0.2">
      <c r="G198" s="39" t="s">
        <v>54</v>
      </c>
      <c r="H198" s="39" t="s">
        <v>771</v>
      </c>
      <c r="I198" s="39" t="s">
        <v>772</v>
      </c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</row>
    <row r="199" spans="7:22" x14ac:dyDescent="0.2">
      <c r="G199" s="39" t="s">
        <v>54</v>
      </c>
      <c r="H199" s="39" t="s">
        <v>774</v>
      </c>
      <c r="I199" s="39" t="s">
        <v>775</v>
      </c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</row>
    <row r="200" spans="7:22" x14ac:dyDescent="0.2">
      <c r="G200" s="39" t="s">
        <v>54</v>
      </c>
      <c r="H200" s="39" t="s">
        <v>777</v>
      </c>
      <c r="I200" s="39" t="s">
        <v>778</v>
      </c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</row>
    <row r="201" spans="7:22" x14ac:dyDescent="0.2">
      <c r="G201" s="39" t="s">
        <v>54</v>
      </c>
      <c r="H201" s="39" t="s">
        <v>780</v>
      </c>
      <c r="I201" s="39" t="s">
        <v>781</v>
      </c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</row>
    <row r="202" spans="7:22" x14ac:dyDescent="0.2">
      <c r="G202" s="39" t="s">
        <v>54</v>
      </c>
      <c r="H202" s="39" t="s">
        <v>783</v>
      </c>
      <c r="I202" s="39" t="s">
        <v>784</v>
      </c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</row>
    <row r="203" spans="7:22" x14ac:dyDescent="0.2">
      <c r="G203" s="39" t="s">
        <v>54</v>
      </c>
      <c r="H203" s="39" t="s">
        <v>920</v>
      </c>
      <c r="I203" s="39" t="s">
        <v>921</v>
      </c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</row>
    <row r="204" spans="7:22" x14ac:dyDescent="0.2">
      <c r="G204" s="39" t="s">
        <v>54</v>
      </c>
      <c r="H204" s="39" t="s">
        <v>786</v>
      </c>
      <c r="I204" s="39" t="s">
        <v>787</v>
      </c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</row>
    <row r="205" spans="7:22" x14ac:dyDescent="0.2">
      <c r="G205" s="39" t="s">
        <v>54</v>
      </c>
      <c r="H205" s="39" t="s">
        <v>789</v>
      </c>
      <c r="I205" s="39" t="s">
        <v>790</v>
      </c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</row>
    <row r="206" spans="7:22" x14ac:dyDescent="0.2">
      <c r="G206" s="39" t="s">
        <v>54</v>
      </c>
      <c r="H206" s="39" t="s">
        <v>793</v>
      </c>
      <c r="I206" s="39" t="s">
        <v>794</v>
      </c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</row>
    <row r="207" spans="7:22" x14ac:dyDescent="0.2">
      <c r="G207" s="39" t="s">
        <v>54</v>
      </c>
      <c r="H207" s="39" t="s">
        <v>796</v>
      </c>
      <c r="I207" s="39" t="s">
        <v>797</v>
      </c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</row>
    <row r="208" spans="7:22" x14ac:dyDescent="0.2">
      <c r="G208" s="39" t="s">
        <v>54</v>
      </c>
      <c r="H208" s="39" t="s">
        <v>799</v>
      </c>
      <c r="I208" s="39" t="s">
        <v>800</v>
      </c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</row>
    <row r="209" spans="7:22" x14ac:dyDescent="0.2">
      <c r="G209" s="39" t="s">
        <v>54</v>
      </c>
      <c r="H209" s="39" t="s">
        <v>923</v>
      </c>
      <c r="I209" s="39" t="s">
        <v>924</v>
      </c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</row>
    <row r="210" spans="7:22" x14ac:dyDescent="0.2">
      <c r="G210" s="39" t="s">
        <v>54</v>
      </c>
      <c r="H210" s="39" t="s">
        <v>925</v>
      </c>
      <c r="I210" s="39" t="s">
        <v>926</v>
      </c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</row>
    <row r="211" spans="7:22" x14ac:dyDescent="0.2">
      <c r="G211" s="39" t="s">
        <v>54</v>
      </c>
      <c r="H211" s="39" t="s">
        <v>802</v>
      </c>
      <c r="I211" s="39" t="s">
        <v>803</v>
      </c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</row>
    <row r="212" spans="7:22" x14ac:dyDescent="0.2">
      <c r="G212" s="39" t="s">
        <v>54</v>
      </c>
      <c r="H212" s="39" t="s">
        <v>808</v>
      </c>
      <c r="I212" s="39" t="s">
        <v>809</v>
      </c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</row>
    <row r="213" spans="7:22" x14ac:dyDescent="0.2">
      <c r="G213" s="39" t="s">
        <v>54</v>
      </c>
      <c r="H213" s="39" t="s">
        <v>814</v>
      </c>
      <c r="I213" s="39" t="s">
        <v>815</v>
      </c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</row>
    <row r="214" spans="7:22" x14ac:dyDescent="0.2">
      <c r="G214" s="39" t="s">
        <v>649</v>
      </c>
      <c r="H214" s="39" t="s">
        <v>764</v>
      </c>
      <c r="I214" s="39" t="s">
        <v>765</v>
      </c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</row>
    <row r="215" spans="7:22" x14ac:dyDescent="0.2">
      <c r="G215" s="39" t="s">
        <v>54</v>
      </c>
      <c r="H215" s="39" t="s">
        <v>767</v>
      </c>
      <c r="I215" s="39" t="s">
        <v>768</v>
      </c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</row>
    <row r="216" spans="7:22" x14ac:dyDescent="0.2">
      <c r="G216" s="39" t="s">
        <v>54</v>
      </c>
      <c r="H216" s="39" t="s">
        <v>771</v>
      </c>
      <c r="I216" s="39" t="s">
        <v>772</v>
      </c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</row>
    <row r="217" spans="7:22" x14ac:dyDescent="0.2">
      <c r="G217" s="39" t="s">
        <v>54</v>
      </c>
      <c r="H217" s="39" t="s">
        <v>774</v>
      </c>
      <c r="I217" s="39" t="s">
        <v>775</v>
      </c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</row>
    <row r="218" spans="7:22" x14ac:dyDescent="0.2">
      <c r="G218" s="39" t="s">
        <v>54</v>
      </c>
      <c r="H218" s="39" t="s">
        <v>777</v>
      </c>
      <c r="I218" s="39" t="s">
        <v>778</v>
      </c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</row>
    <row r="219" spans="7:22" x14ac:dyDescent="0.2">
      <c r="G219" s="39" t="s">
        <v>54</v>
      </c>
      <c r="H219" s="39" t="s">
        <v>780</v>
      </c>
      <c r="I219" s="39" t="s">
        <v>781</v>
      </c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</row>
    <row r="220" spans="7:22" x14ac:dyDescent="0.2">
      <c r="G220" s="39" t="s">
        <v>54</v>
      </c>
      <c r="H220" s="39" t="s">
        <v>783</v>
      </c>
      <c r="I220" s="39" t="s">
        <v>784</v>
      </c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</row>
    <row r="221" spans="7:22" x14ac:dyDescent="0.2">
      <c r="G221" s="39" t="s">
        <v>54</v>
      </c>
      <c r="H221" s="39" t="s">
        <v>920</v>
      </c>
      <c r="I221" s="39" t="s">
        <v>921</v>
      </c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</row>
    <row r="222" spans="7:22" x14ac:dyDescent="0.2">
      <c r="G222" s="39" t="s">
        <v>54</v>
      </c>
      <c r="H222" s="39" t="s">
        <v>786</v>
      </c>
      <c r="I222" s="39" t="s">
        <v>787</v>
      </c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</row>
    <row r="223" spans="7:22" x14ac:dyDescent="0.2">
      <c r="G223" s="39" t="s">
        <v>54</v>
      </c>
      <c r="H223" s="39" t="s">
        <v>789</v>
      </c>
      <c r="I223" s="39" t="s">
        <v>790</v>
      </c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</row>
    <row r="224" spans="7:22" x14ac:dyDescent="0.2">
      <c r="G224" s="39" t="s">
        <v>54</v>
      </c>
      <c r="H224" s="39" t="s">
        <v>793</v>
      </c>
      <c r="I224" s="39" t="s">
        <v>794</v>
      </c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</row>
    <row r="225" spans="7:22" x14ac:dyDescent="0.2">
      <c r="G225" s="39" t="s">
        <v>54</v>
      </c>
      <c r="H225" s="39" t="s">
        <v>796</v>
      </c>
      <c r="I225" s="39" t="s">
        <v>797</v>
      </c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</row>
    <row r="226" spans="7:22" x14ac:dyDescent="0.2">
      <c r="G226" s="39" t="s">
        <v>54</v>
      </c>
      <c r="H226" s="39" t="s">
        <v>799</v>
      </c>
      <c r="I226" s="39" t="s">
        <v>800</v>
      </c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</row>
    <row r="227" spans="7:22" x14ac:dyDescent="0.2">
      <c r="G227" s="39" t="s">
        <v>54</v>
      </c>
      <c r="H227" s="39" t="s">
        <v>923</v>
      </c>
      <c r="I227" s="39" t="s">
        <v>924</v>
      </c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</row>
    <row r="228" spans="7:22" x14ac:dyDescent="0.2">
      <c r="G228" s="39" t="s">
        <v>54</v>
      </c>
      <c r="H228" s="39" t="s">
        <v>925</v>
      </c>
      <c r="I228" s="39" t="s">
        <v>926</v>
      </c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</row>
    <row r="229" spans="7:22" x14ac:dyDescent="0.2">
      <c r="G229" s="39" t="s">
        <v>54</v>
      </c>
      <c r="H229" s="39" t="s">
        <v>802</v>
      </c>
      <c r="I229" s="39" t="s">
        <v>803</v>
      </c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</row>
    <row r="230" spans="7:22" x14ac:dyDescent="0.2">
      <c r="G230" s="39" t="s">
        <v>54</v>
      </c>
      <c r="H230" s="39" t="s">
        <v>808</v>
      </c>
      <c r="I230" s="39" t="s">
        <v>809</v>
      </c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</row>
    <row r="231" spans="7:22" x14ac:dyDescent="0.2">
      <c r="G231" s="39" t="s">
        <v>54</v>
      </c>
      <c r="H231" s="39" t="s">
        <v>814</v>
      </c>
      <c r="I231" s="39" t="s">
        <v>815</v>
      </c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</row>
    <row r="232" spans="7:22" x14ac:dyDescent="0.2">
      <c r="G232" s="39" t="s">
        <v>648</v>
      </c>
      <c r="H232" s="39" t="s">
        <v>764</v>
      </c>
      <c r="I232" s="39" t="s">
        <v>765</v>
      </c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</row>
    <row r="233" spans="7:22" x14ac:dyDescent="0.2">
      <c r="G233" s="39" t="s">
        <v>54</v>
      </c>
      <c r="H233" s="39" t="s">
        <v>767</v>
      </c>
      <c r="I233" s="39" t="s">
        <v>768</v>
      </c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</row>
    <row r="234" spans="7:22" x14ac:dyDescent="0.2">
      <c r="G234" s="39" t="s">
        <v>54</v>
      </c>
      <c r="H234" s="39" t="s">
        <v>771</v>
      </c>
      <c r="I234" s="39" t="s">
        <v>772</v>
      </c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</row>
    <row r="235" spans="7:22" x14ac:dyDescent="0.2">
      <c r="G235" s="39" t="s">
        <v>54</v>
      </c>
      <c r="H235" s="39" t="s">
        <v>774</v>
      </c>
      <c r="I235" s="39" t="s">
        <v>775</v>
      </c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</row>
    <row r="236" spans="7:22" x14ac:dyDescent="0.2">
      <c r="G236" s="39" t="s">
        <v>54</v>
      </c>
      <c r="H236" s="39" t="s">
        <v>777</v>
      </c>
      <c r="I236" s="39" t="s">
        <v>778</v>
      </c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</row>
    <row r="237" spans="7:22" x14ac:dyDescent="0.2">
      <c r="G237" s="39" t="s">
        <v>54</v>
      </c>
      <c r="H237" s="39" t="s">
        <v>780</v>
      </c>
      <c r="I237" s="39" t="s">
        <v>781</v>
      </c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</row>
    <row r="238" spans="7:22" x14ac:dyDescent="0.2">
      <c r="G238" s="39" t="s">
        <v>54</v>
      </c>
      <c r="H238" s="39" t="s">
        <v>783</v>
      </c>
      <c r="I238" s="39" t="s">
        <v>784</v>
      </c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</row>
    <row r="239" spans="7:22" x14ac:dyDescent="0.2">
      <c r="G239" s="39" t="s">
        <v>54</v>
      </c>
      <c r="H239" s="39" t="s">
        <v>920</v>
      </c>
      <c r="I239" s="39" t="s">
        <v>921</v>
      </c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</row>
    <row r="240" spans="7:22" x14ac:dyDescent="0.2">
      <c r="G240" s="39" t="s">
        <v>54</v>
      </c>
      <c r="H240" s="39" t="s">
        <v>786</v>
      </c>
      <c r="I240" s="39" t="s">
        <v>787</v>
      </c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</row>
    <row r="241" spans="7:22" x14ac:dyDescent="0.2">
      <c r="G241" s="39" t="s">
        <v>54</v>
      </c>
      <c r="H241" s="39" t="s">
        <v>789</v>
      </c>
      <c r="I241" s="39" t="s">
        <v>790</v>
      </c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</row>
    <row r="242" spans="7:22" x14ac:dyDescent="0.2">
      <c r="G242" s="39" t="s">
        <v>54</v>
      </c>
      <c r="H242" s="39" t="s">
        <v>793</v>
      </c>
      <c r="I242" s="39" t="s">
        <v>794</v>
      </c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</row>
    <row r="243" spans="7:22" x14ac:dyDescent="0.2">
      <c r="G243" s="39" t="s">
        <v>54</v>
      </c>
      <c r="H243" s="39" t="s">
        <v>796</v>
      </c>
      <c r="I243" s="39" t="s">
        <v>797</v>
      </c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</row>
    <row r="244" spans="7:22" x14ac:dyDescent="0.2">
      <c r="G244" s="39" t="s">
        <v>54</v>
      </c>
      <c r="H244" s="39" t="s">
        <v>799</v>
      </c>
      <c r="I244" s="39" t="s">
        <v>800</v>
      </c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</row>
    <row r="245" spans="7:22" x14ac:dyDescent="0.2">
      <c r="G245" s="39" t="s">
        <v>54</v>
      </c>
      <c r="H245" s="39" t="s">
        <v>923</v>
      </c>
      <c r="I245" s="39" t="s">
        <v>924</v>
      </c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</row>
    <row r="246" spans="7:22" x14ac:dyDescent="0.2">
      <c r="G246" s="39" t="s">
        <v>54</v>
      </c>
      <c r="H246" s="39" t="s">
        <v>925</v>
      </c>
      <c r="I246" s="39" t="s">
        <v>926</v>
      </c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</row>
    <row r="247" spans="7:22" x14ac:dyDescent="0.2">
      <c r="G247" s="39" t="s">
        <v>54</v>
      </c>
      <c r="H247" s="39" t="s">
        <v>802</v>
      </c>
      <c r="I247" s="39" t="s">
        <v>803</v>
      </c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</row>
    <row r="248" spans="7:22" x14ac:dyDescent="0.2">
      <c r="G248" s="39" t="s">
        <v>54</v>
      </c>
      <c r="H248" s="39" t="s">
        <v>808</v>
      </c>
      <c r="I248" s="39" t="s">
        <v>809</v>
      </c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</row>
    <row r="249" spans="7:22" x14ac:dyDescent="0.2">
      <c r="G249" s="39" t="s">
        <v>54</v>
      </c>
      <c r="H249" s="39" t="s">
        <v>814</v>
      </c>
      <c r="I249" s="39" t="s">
        <v>815</v>
      </c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</row>
    <row r="250" spans="7:22" x14ac:dyDescent="0.2">
      <c r="G250" s="39" t="s">
        <v>647</v>
      </c>
      <c r="H250" s="39" t="s">
        <v>764</v>
      </c>
      <c r="I250" s="39" t="s">
        <v>765</v>
      </c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</row>
    <row r="251" spans="7:22" x14ac:dyDescent="0.2">
      <c r="G251" s="39" t="s">
        <v>54</v>
      </c>
      <c r="H251" s="39" t="s">
        <v>767</v>
      </c>
      <c r="I251" s="39" t="s">
        <v>768</v>
      </c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</row>
    <row r="252" spans="7:22" x14ac:dyDescent="0.2">
      <c r="G252" s="39" t="s">
        <v>54</v>
      </c>
      <c r="H252" s="39" t="s">
        <v>771</v>
      </c>
      <c r="I252" s="39" t="s">
        <v>772</v>
      </c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</row>
    <row r="253" spans="7:22" x14ac:dyDescent="0.2">
      <c r="G253" s="39" t="s">
        <v>54</v>
      </c>
      <c r="H253" s="39" t="s">
        <v>774</v>
      </c>
      <c r="I253" s="39" t="s">
        <v>775</v>
      </c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</row>
    <row r="254" spans="7:22" x14ac:dyDescent="0.2">
      <c r="G254" s="39" t="s">
        <v>54</v>
      </c>
      <c r="H254" s="39" t="s">
        <v>777</v>
      </c>
      <c r="I254" s="39" t="s">
        <v>778</v>
      </c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</row>
    <row r="255" spans="7:22" x14ac:dyDescent="0.2">
      <c r="G255" s="39" t="s">
        <v>54</v>
      </c>
      <c r="H255" s="39" t="s">
        <v>780</v>
      </c>
      <c r="I255" s="39" t="s">
        <v>781</v>
      </c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</row>
    <row r="256" spans="7:22" x14ac:dyDescent="0.2">
      <c r="G256" s="39" t="s">
        <v>54</v>
      </c>
      <c r="H256" s="39" t="s">
        <v>783</v>
      </c>
      <c r="I256" s="39" t="s">
        <v>784</v>
      </c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</row>
    <row r="257" spans="7:22" x14ac:dyDescent="0.2">
      <c r="G257" s="39" t="s">
        <v>54</v>
      </c>
      <c r="H257" s="39" t="s">
        <v>920</v>
      </c>
      <c r="I257" s="39" t="s">
        <v>921</v>
      </c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</row>
    <row r="258" spans="7:22" x14ac:dyDescent="0.2">
      <c r="G258" s="39" t="s">
        <v>54</v>
      </c>
      <c r="H258" s="39" t="s">
        <v>786</v>
      </c>
      <c r="I258" s="39" t="s">
        <v>787</v>
      </c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</row>
    <row r="259" spans="7:22" x14ac:dyDescent="0.2">
      <c r="G259" s="39" t="s">
        <v>54</v>
      </c>
      <c r="H259" s="39" t="s">
        <v>789</v>
      </c>
      <c r="I259" s="39" t="s">
        <v>790</v>
      </c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</row>
    <row r="260" spans="7:22" x14ac:dyDescent="0.2">
      <c r="G260" s="39" t="s">
        <v>54</v>
      </c>
      <c r="H260" s="39" t="s">
        <v>793</v>
      </c>
      <c r="I260" s="39" t="s">
        <v>794</v>
      </c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</row>
    <row r="261" spans="7:22" x14ac:dyDescent="0.2">
      <c r="G261" s="39" t="s">
        <v>54</v>
      </c>
      <c r="H261" s="39" t="s">
        <v>796</v>
      </c>
      <c r="I261" s="39" t="s">
        <v>797</v>
      </c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</row>
    <row r="262" spans="7:22" x14ac:dyDescent="0.2">
      <c r="G262" s="39" t="s">
        <v>54</v>
      </c>
      <c r="H262" s="39" t="s">
        <v>799</v>
      </c>
      <c r="I262" s="39" t="s">
        <v>800</v>
      </c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</row>
    <row r="263" spans="7:22" x14ac:dyDescent="0.2">
      <c r="G263" s="39" t="s">
        <v>54</v>
      </c>
      <c r="H263" s="39" t="s">
        <v>923</v>
      </c>
      <c r="I263" s="39" t="s">
        <v>924</v>
      </c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</row>
    <row r="264" spans="7:22" x14ac:dyDescent="0.2">
      <c r="G264" s="39" t="s">
        <v>54</v>
      </c>
      <c r="H264" s="39" t="s">
        <v>925</v>
      </c>
      <c r="I264" s="39" t="s">
        <v>926</v>
      </c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</row>
    <row r="265" spans="7:22" x14ac:dyDescent="0.2">
      <c r="G265" s="39" t="s">
        <v>54</v>
      </c>
      <c r="H265" s="39" t="s">
        <v>802</v>
      </c>
      <c r="I265" s="39" t="s">
        <v>803</v>
      </c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</row>
    <row r="266" spans="7:22" x14ac:dyDescent="0.2">
      <c r="G266" s="39" t="s">
        <v>54</v>
      </c>
      <c r="H266" s="39" t="s">
        <v>808</v>
      </c>
      <c r="I266" s="39" t="s">
        <v>809</v>
      </c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</row>
    <row r="267" spans="7:22" x14ac:dyDescent="0.2">
      <c r="G267" s="39" t="s">
        <v>54</v>
      </c>
      <c r="H267" s="39" t="s">
        <v>814</v>
      </c>
      <c r="I267" s="39" t="s">
        <v>815</v>
      </c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</row>
    <row r="268" spans="7:22" x14ac:dyDescent="0.2">
      <c r="G268" s="39" t="s">
        <v>646</v>
      </c>
      <c r="H268" s="39" t="s">
        <v>764</v>
      </c>
      <c r="I268" s="39" t="s">
        <v>765</v>
      </c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</row>
    <row r="269" spans="7:22" x14ac:dyDescent="0.2">
      <c r="G269" s="39" t="s">
        <v>54</v>
      </c>
      <c r="H269" s="39" t="s">
        <v>767</v>
      </c>
      <c r="I269" s="39" t="s">
        <v>768</v>
      </c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</row>
    <row r="270" spans="7:22" x14ac:dyDescent="0.2">
      <c r="G270" s="39" t="s">
        <v>54</v>
      </c>
      <c r="H270" s="39" t="s">
        <v>771</v>
      </c>
      <c r="I270" s="39" t="s">
        <v>772</v>
      </c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</row>
    <row r="271" spans="7:22" x14ac:dyDescent="0.2">
      <c r="G271" s="39" t="s">
        <v>54</v>
      </c>
      <c r="H271" s="39" t="s">
        <v>774</v>
      </c>
      <c r="I271" s="39" t="s">
        <v>775</v>
      </c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</row>
    <row r="272" spans="7:22" x14ac:dyDescent="0.2">
      <c r="G272" s="39" t="s">
        <v>54</v>
      </c>
      <c r="H272" s="39" t="s">
        <v>777</v>
      </c>
      <c r="I272" s="39" t="s">
        <v>778</v>
      </c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</row>
    <row r="273" spans="7:22" x14ac:dyDescent="0.2">
      <c r="G273" s="39" t="s">
        <v>54</v>
      </c>
      <c r="H273" s="39" t="s">
        <v>780</v>
      </c>
      <c r="I273" s="39" t="s">
        <v>781</v>
      </c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</row>
    <row r="274" spans="7:22" x14ac:dyDescent="0.2">
      <c r="G274" s="39" t="s">
        <v>54</v>
      </c>
      <c r="H274" s="39" t="s">
        <v>783</v>
      </c>
      <c r="I274" s="39" t="s">
        <v>784</v>
      </c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</row>
    <row r="275" spans="7:22" x14ac:dyDescent="0.2">
      <c r="G275" s="39" t="s">
        <v>54</v>
      </c>
      <c r="H275" s="39" t="s">
        <v>920</v>
      </c>
      <c r="I275" s="39" t="s">
        <v>921</v>
      </c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</row>
    <row r="276" spans="7:22" x14ac:dyDescent="0.2">
      <c r="G276" s="39" t="s">
        <v>54</v>
      </c>
      <c r="H276" s="39" t="s">
        <v>786</v>
      </c>
      <c r="I276" s="39" t="s">
        <v>787</v>
      </c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</row>
    <row r="277" spans="7:22" x14ac:dyDescent="0.2">
      <c r="G277" s="39" t="s">
        <v>54</v>
      </c>
      <c r="H277" s="39" t="s">
        <v>789</v>
      </c>
      <c r="I277" s="39" t="s">
        <v>790</v>
      </c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</row>
    <row r="278" spans="7:22" x14ac:dyDescent="0.2">
      <c r="G278" s="39" t="s">
        <v>54</v>
      </c>
      <c r="H278" s="39" t="s">
        <v>793</v>
      </c>
      <c r="I278" s="39" t="s">
        <v>794</v>
      </c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</row>
    <row r="279" spans="7:22" x14ac:dyDescent="0.2">
      <c r="G279" s="39" t="s">
        <v>54</v>
      </c>
      <c r="H279" s="39" t="s">
        <v>796</v>
      </c>
      <c r="I279" s="39" t="s">
        <v>797</v>
      </c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</row>
    <row r="280" spans="7:22" x14ac:dyDescent="0.2">
      <c r="G280" s="39" t="s">
        <v>54</v>
      </c>
      <c r="H280" s="39" t="s">
        <v>799</v>
      </c>
      <c r="I280" s="39" t="s">
        <v>800</v>
      </c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</row>
    <row r="281" spans="7:22" x14ac:dyDescent="0.2">
      <c r="G281" s="39" t="s">
        <v>54</v>
      </c>
      <c r="H281" s="39" t="s">
        <v>923</v>
      </c>
      <c r="I281" s="39" t="s">
        <v>924</v>
      </c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</row>
    <row r="282" spans="7:22" x14ac:dyDescent="0.2">
      <c r="G282" s="39" t="s">
        <v>54</v>
      </c>
      <c r="H282" s="39" t="s">
        <v>925</v>
      </c>
      <c r="I282" s="39" t="s">
        <v>926</v>
      </c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</row>
    <row r="283" spans="7:22" x14ac:dyDescent="0.2">
      <c r="G283" s="39" t="s">
        <v>54</v>
      </c>
      <c r="H283" s="39" t="s">
        <v>802</v>
      </c>
      <c r="I283" s="39" t="s">
        <v>803</v>
      </c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</row>
    <row r="284" spans="7:22" x14ac:dyDescent="0.2">
      <c r="G284" s="39" t="s">
        <v>54</v>
      </c>
      <c r="H284" s="39" t="s">
        <v>808</v>
      </c>
      <c r="I284" s="39" t="s">
        <v>809</v>
      </c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</row>
    <row r="285" spans="7:22" x14ac:dyDescent="0.2">
      <c r="G285" s="39" t="s">
        <v>54</v>
      </c>
      <c r="H285" s="39" t="s">
        <v>814</v>
      </c>
      <c r="I285" s="39" t="s">
        <v>815</v>
      </c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</row>
    <row r="286" spans="7:22" x14ac:dyDescent="0.2">
      <c r="G286" s="39" t="s">
        <v>645</v>
      </c>
      <c r="H286" s="39" t="s">
        <v>764</v>
      </c>
      <c r="I286" s="39" t="s">
        <v>765</v>
      </c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</row>
    <row r="287" spans="7:22" x14ac:dyDescent="0.2">
      <c r="G287" s="39" t="s">
        <v>54</v>
      </c>
      <c r="H287" s="39" t="s">
        <v>767</v>
      </c>
      <c r="I287" s="39" t="s">
        <v>768</v>
      </c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</row>
    <row r="288" spans="7:22" x14ac:dyDescent="0.2">
      <c r="G288" s="39" t="s">
        <v>54</v>
      </c>
      <c r="H288" s="39" t="s">
        <v>771</v>
      </c>
      <c r="I288" s="39" t="s">
        <v>772</v>
      </c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</row>
    <row r="289" spans="7:22" x14ac:dyDescent="0.2">
      <c r="G289" s="39" t="s">
        <v>54</v>
      </c>
      <c r="H289" s="39" t="s">
        <v>774</v>
      </c>
      <c r="I289" s="39" t="s">
        <v>775</v>
      </c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</row>
    <row r="290" spans="7:22" x14ac:dyDescent="0.2">
      <c r="G290" s="39" t="s">
        <v>54</v>
      </c>
      <c r="H290" s="39" t="s">
        <v>777</v>
      </c>
      <c r="I290" s="39" t="s">
        <v>778</v>
      </c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</row>
    <row r="291" spans="7:22" x14ac:dyDescent="0.2">
      <c r="G291" s="39" t="s">
        <v>54</v>
      </c>
      <c r="H291" s="39" t="s">
        <v>780</v>
      </c>
      <c r="I291" s="39" t="s">
        <v>781</v>
      </c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</row>
    <row r="292" spans="7:22" x14ac:dyDescent="0.2">
      <c r="G292" s="39" t="s">
        <v>54</v>
      </c>
      <c r="H292" s="39" t="s">
        <v>783</v>
      </c>
      <c r="I292" s="39" t="s">
        <v>784</v>
      </c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</row>
    <row r="293" spans="7:22" x14ac:dyDescent="0.2">
      <c r="G293" s="39" t="s">
        <v>54</v>
      </c>
      <c r="H293" s="39" t="s">
        <v>920</v>
      </c>
      <c r="I293" s="39" t="s">
        <v>921</v>
      </c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</row>
    <row r="294" spans="7:22" x14ac:dyDescent="0.2">
      <c r="G294" s="39" t="s">
        <v>54</v>
      </c>
      <c r="H294" s="39" t="s">
        <v>786</v>
      </c>
      <c r="I294" s="39" t="s">
        <v>787</v>
      </c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</row>
    <row r="295" spans="7:22" x14ac:dyDescent="0.2">
      <c r="G295" s="39" t="s">
        <v>54</v>
      </c>
      <c r="H295" s="39" t="s">
        <v>789</v>
      </c>
      <c r="I295" s="39" t="s">
        <v>790</v>
      </c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</row>
    <row r="296" spans="7:22" x14ac:dyDescent="0.2">
      <c r="G296" s="39" t="s">
        <v>54</v>
      </c>
      <c r="H296" s="39" t="s">
        <v>793</v>
      </c>
      <c r="I296" s="39" t="s">
        <v>794</v>
      </c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</row>
    <row r="297" spans="7:22" x14ac:dyDescent="0.2">
      <c r="G297" s="39" t="s">
        <v>54</v>
      </c>
      <c r="H297" s="39" t="s">
        <v>796</v>
      </c>
      <c r="I297" s="39" t="s">
        <v>797</v>
      </c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</row>
    <row r="298" spans="7:22" x14ac:dyDescent="0.2">
      <c r="G298" s="39" t="s">
        <v>54</v>
      </c>
      <c r="H298" s="39" t="s">
        <v>799</v>
      </c>
      <c r="I298" s="39" t="s">
        <v>800</v>
      </c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</row>
    <row r="299" spans="7:22" x14ac:dyDescent="0.2">
      <c r="G299" s="39" t="s">
        <v>54</v>
      </c>
      <c r="H299" s="39" t="s">
        <v>923</v>
      </c>
      <c r="I299" s="39" t="s">
        <v>924</v>
      </c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</row>
    <row r="300" spans="7:22" x14ac:dyDescent="0.2">
      <c r="G300" s="39" t="s">
        <v>54</v>
      </c>
      <c r="H300" s="39" t="s">
        <v>925</v>
      </c>
      <c r="I300" s="39" t="s">
        <v>926</v>
      </c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</row>
    <row r="301" spans="7:22" x14ac:dyDescent="0.2">
      <c r="G301" s="39" t="s">
        <v>54</v>
      </c>
      <c r="H301" s="39" t="s">
        <v>802</v>
      </c>
      <c r="I301" s="39" t="s">
        <v>803</v>
      </c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</row>
    <row r="302" spans="7:22" x14ac:dyDescent="0.2">
      <c r="G302" s="39" t="s">
        <v>54</v>
      </c>
      <c r="H302" s="39" t="s">
        <v>808</v>
      </c>
      <c r="I302" s="39" t="s">
        <v>809</v>
      </c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</row>
    <row r="303" spans="7:22" x14ac:dyDescent="0.2">
      <c r="G303" s="39" t="s">
        <v>54</v>
      </c>
      <c r="H303" s="39" t="s">
        <v>814</v>
      </c>
      <c r="I303" s="39" t="s">
        <v>815</v>
      </c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</row>
    <row r="304" spans="7:22" x14ac:dyDescent="0.2">
      <c r="G304" s="39" t="s">
        <v>644</v>
      </c>
      <c r="H304" s="39" t="s">
        <v>764</v>
      </c>
      <c r="I304" s="39" t="s">
        <v>765</v>
      </c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</row>
    <row r="305" spans="7:22" x14ac:dyDescent="0.2">
      <c r="G305" s="39" t="s">
        <v>54</v>
      </c>
      <c r="H305" s="39" t="s">
        <v>767</v>
      </c>
      <c r="I305" s="39" t="s">
        <v>768</v>
      </c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</row>
    <row r="306" spans="7:22" x14ac:dyDescent="0.2">
      <c r="G306" s="39" t="s">
        <v>54</v>
      </c>
      <c r="H306" s="39" t="s">
        <v>771</v>
      </c>
      <c r="I306" s="39" t="s">
        <v>772</v>
      </c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</row>
    <row r="307" spans="7:22" x14ac:dyDescent="0.2">
      <c r="G307" s="39" t="s">
        <v>54</v>
      </c>
      <c r="H307" s="39" t="s">
        <v>774</v>
      </c>
      <c r="I307" s="39" t="s">
        <v>775</v>
      </c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</row>
    <row r="308" spans="7:22" x14ac:dyDescent="0.2">
      <c r="G308" s="39" t="s">
        <v>54</v>
      </c>
      <c r="H308" s="39" t="s">
        <v>777</v>
      </c>
      <c r="I308" s="39" t="s">
        <v>778</v>
      </c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</row>
    <row r="309" spans="7:22" x14ac:dyDescent="0.2">
      <c r="G309" s="39" t="s">
        <v>54</v>
      </c>
      <c r="H309" s="39" t="s">
        <v>780</v>
      </c>
      <c r="I309" s="39" t="s">
        <v>781</v>
      </c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</row>
    <row r="310" spans="7:22" x14ac:dyDescent="0.2">
      <c r="G310" s="39" t="s">
        <v>54</v>
      </c>
      <c r="H310" s="39" t="s">
        <v>783</v>
      </c>
      <c r="I310" s="39" t="s">
        <v>784</v>
      </c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</row>
    <row r="311" spans="7:22" x14ac:dyDescent="0.2">
      <c r="G311" s="39" t="s">
        <v>54</v>
      </c>
      <c r="H311" s="39" t="s">
        <v>920</v>
      </c>
      <c r="I311" s="39" t="s">
        <v>921</v>
      </c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</row>
    <row r="312" spans="7:22" x14ac:dyDescent="0.2">
      <c r="G312" s="39" t="s">
        <v>54</v>
      </c>
      <c r="H312" s="39" t="s">
        <v>786</v>
      </c>
      <c r="I312" s="39" t="s">
        <v>787</v>
      </c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</row>
    <row r="313" spans="7:22" x14ac:dyDescent="0.2">
      <c r="G313" s="39" t="s">
        <v>54</v>
      </c>
      <c r="H313" s="39" t="s">
        <v>789</v>
      </c>
      <c r="I313" s="39" t="s">
        <v>790</v>
      </c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</row>
    <row r="314" spans="7:22" x14ac:dyDescent="0.2">
      <c r="G314" s="39" t="s">
        <v>54</v>
      </c>
      <c r="H314" s="39" t="s">
        <v>793</v>
      </c>
      <c r="I314" s="39" t="s">
        <v>794</v>
      </c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</row>
    <row r="315" spans="7:22" x14ac:dyDescent="0.2">
      <c r="G315" s="39" t="s">
        <v>54</v>
      </c>
      <c r="H315" s="39" t="s">
        <v>796</v>
      </c>
      <c r="I315" s="39" t="s">
        <v>797</v>
      </c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</row>
    <row r="316" spans="7:22" x14ac:dyDescent="0.2">
      <c r="G316" s="39" t="s">
        <v>54</v>
      </c>
      <c r="H316" s="39" t="s">
        <v>799</v>
      </c>
      <c r="I316" s="39" t="s">
        <v>800</v>
      </c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</row>
    <row r="317" spans="7:22" x14ac:dyDescent="0.2">
      <c r="G317" s="39" t="s">
        <v>54</v>
      </c>
      <c r="H317" s="39" t="s">
        <v>923</v>
      </c>
      <c r="I317" s="39" t="s">
        <v>924</v>
      </c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</row>
    <row r="318" spans="7:22" x14ac:dyDescent="0.2">
      <c r="G318" s="39" t="s">
        <v>54</v>
      </c>
      <c r="H318" s="39" t="s">
        <v>925</v>
      </c>
      <c r="I318" s="39" t="s">
        <v>926</v>
      </c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</row>
    <row r="319" spans="7:22" x14ac:dyDescent="0.2">
      <c r="G319" s="39" t="s">
        <v>54</v>
      </c>
      <c r="H319" s="39" t="s">
        <v>802</v>
      </c>
      <c r="I319" s="39" t="s">
        <v>803</v>
      </c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</row>
    <row r="320" spans="7:22" x14ac:dyDescent="0.2">
      <c r="G320" s="39" t="s">
        <v>54</v>
      </c>
      <c r="H320" s="39" t="s">
        <v>808</v>
      </c>
      <c r="I320" s="39" t="s">
        <v>809</v>
      </c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</row>
    <row r="321" spans="7:22" x14ac:dyDescent="0.2">
      <c r="G321" s="39" t="s">
        <v>54</v>
      </c>
      <c r="H321" s="39" t="s">
        <v>814</v>
      </c>
      <c r="I321" s="39" t="s">
        <v>815</v>
      </c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</row>
    <row r="322" spans="7:22" x14ac:dyDescent="0.2">
      <c r="G322" s="39" t="s">
        <v>643</v>
      </c>
      <c r="H322" s="39" t="s">
        <v>764</v>
      </c>
      <c r="I322" s="39" t="s">
        <v>765</v>
      </c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</row>
    <row r="323" spans="7:22" x14ac:dyDescent="0.2">
      <c r="G323" s="39" t="s">
        <v>54</v>
      </c>
      <c r="H323" s="39" t="s">
        <v>767</v>
      </c>
      <c r="I323" s="39" t="s">
        <v>768</v>
      </c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</row>
    <row r="324" spans="7:22" x14ac:dyDescent="0.2">
      <c r="G324" s="39" t="s">
        <v>54</v>
      </c>
      <c r="H324" s="39" t="s">
        <v>771</v>
      </c>
      <c r="I324" s="39" t="s">
        <v>772</v>
      </c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</row>
    <row r="325" spans="7:22" x14ac:dyDescent="0.2">
      <c r="G325" s="39" t="s">
        <v>54</v>
      </c>
      <c r="H325" s="39" t="s">
        <v>774</v>
      </c>
      <c r="I325" s="39" t="s">
        <v>775</v>
      </c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</row>
    <row r="326" spans="7:22" x14ac:dyDescent="0.2">
      <c r="G326" s="39" t="s">
        <v>54</v>
      </c>
      <c r="H326" s="39" t="s">
        <v>777</v>
      </c>
      <c r="I326" s="39" t="s">
        <v>778</v>
      </c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</row>
    <row r="327" spans="7:22" x14ac:dyDescent="0.2">
      <c r="G327" s="39" t="s">
        <v>54</v>
      </c>
      <c r="H327" s="39" t="s">
        <v>780</v>
      </c>
      <c r="I327" s="39" t="s">
        <v>781</v>
      </c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</row>
    <row r="328" spans="7:22" x14ac:dyDescent="0.2">
      <c r="G328" s="39" t="s">
        <v>54</v>
      </c>
      <c r="H328" s="39" t="s">
        <v>783</v>
      </c>
      <c r="I328" s="39" t="s">
        <v>784</v>
      </c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</row>
    <row r="329" spans="7:22" x14ac:dyDescent="0.2">
      <c r="G329" s="39" t="s">
        <v>54</v>
      </c>
      <c r="H329" s="39" t="s">
        <v>920</v>
      </c>
      <c r="I329" s="39" t="s">
        <v>921</v>
      </c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</row>
    <row r="330" spans="7:22" x14ac:dyDescent="0.2">
      <c r="G330" s="39" t="s">
        <v>54</v>
      </c>
      <c r="H330" s="39" t="s">
        <v>786</v>
      </c>
      <c r="I330" s="39" t="s">
        <v>787</v>
      </c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</row>
    <row r="331" spans="7:22" x14ac:dyDescent="0.2">
      <c r="G331" s="39" t="s">
        <v>54</v>
      </c>
      <c r="H331" s="39" t="s">
        <v>789</v>
      </c>
      <c r="I331" s="39" t="s">
        <v>790</v>
      </c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</row>
    <row r="332" spans="7:22" x14ac:dyDescent="0.2">
      <c r="G332" s="39" t="s">
        <v>54</v>
      </c>
      <c r="H332" s="39" t="s">
        <v>793</v>
      </c>
      <c r="I332" s="39" t="s">
        <v>794</v>
      </c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</row>
    <row r="333" spans="7:22" x14ac:dyDescent="0.2">
      <c r="G333" s="39" t="s">
        <v>54</v>
      </c>
      <c r="H333" s="39" t="s">
        <v>796</v>
      </c>
      <c r="I333" s="39" t="s">
        <v>797</v>
      </c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</row>
    <row r="334" spans="7:22" x14ac:dyDescent="0.2">
      <c r="G334" s="39" t="s">
        <v>54</v>
      </c>
      <c r="H334" s="39" t="s">
        <v>799</v>
      </c>
      <c r="I334" s="39" t="s">
        <v>800</v>
      </c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</row>
    <row r="335" spans="7:22" x14ac:dyDescent="0.2">
      <c r="G335" s="39" t="s">
        <v>54</v>
      </c>
      <c r="H335" s="39" t="s">
        <v>923</v>
      </c>
      <c r="I335" s="39" t="s">
        <v>924</v>
      </c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</row>
    <row r="336" spans="7:22" x14ac:dyDescent="0.2">
      <c r="G336" s="39" t="s">
        <v>54</v>
      </c>
      <c r="H336" s="39" t="s">
        <v>925</v>
      </c>
      <c r="I336" s="39" t="s">
        <v>926</v>
      </c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</row>
    <row r="337" spans="7:22" x14ac:dyDescent="0.2">
      <c r="G337" s="39" t="s">
        <v>54</v>
      </c>
      <c r="H337" s="39" t="s">
        <v>802</v>
      </c>
      <c r="I337" s="39" t="s">
        <v>803</v>
      </c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</row>
    <row r="338" spans="7:22" x14ac:dyDescent="0.2">
      <c r="G338" s="39" t="s">
        <v>54</v>
      </c>
      <c r="H338" s="39" t="s">
        <v>808</v>
      </c>
      <c r="I338" s="39" t="s">
        <v>809</v>
      </c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</row>
    <row r="339" spans="7:22" x14ac:dyDescent="0.2">
      <c r="G339" s="39" t="s">
        <v>54</v>
      </c>
      <c r="H339" s="39" t="s">
        <v>814</v>
      </c>
      <c r="I339" s="39" t="s">
        <v>815</v>
      </c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</row>
    <row r="340" spans="7:22" x14ac:dyDescent="0.2">
      <c r="G340" s="39" t="s">
        <v>642</v>
      </c>
      <c r="H340" s="39" t="s">
        <v>764</v>
      </c>
      <c r="I340" s="39" t="s">
        <v>765</v>
      </c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</row>
    <row r="341" spans="7:22" x14ac:dyDescent="0.2">
      <c r="G341" s="39" t="s">
        <v>54</v>
      </c>
      <c r="H341" s="39" t="s">
        <v>767</v>
      </c>
      <c r="I341" s="39" t="s">
        <v>768</v>
      </c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</row>
    <row r="342" spans="7:22" x14ac:dyDescent="0.2">
      <c r="G342" s="39" t="s">
        <v>54</v>
      </c>
      <c r="H342" s="39" t="s">
        <v>771</v>
      </c>
      <c r="I342" s="39" t="s">
        <v>772</v>
      </c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</row>
    <row r="343" spans="7:22" x14ac:dyDescent="0.2">
      <c r="G343" s="39" t="s">
        <v>54</v>
      </c>
      <c r="H343" s="39" t="s">
        <v>774</v>
      </c>
      <c r="I343" s="39" t="s">
        <v>775</v>
      </c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</row>
    <row r="344" spans="7:22" x14ac:dyDescent="0.2">
      <c r="G344" s="39" t="s">
        <v>54</v>
      </c>
      <c r="H344" s="39" t="s">
        <v>777</v>
      </c>
      <c r="I344" s="39" t="s">
        <v>778</v>
      </c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</row>
    <row r="345" spans="7:22" x14ac:dyDescent="0.2">
      <c r="G345" s="39" t="s">
        <v>54</v>
      </c>
      <c r="H345" s="39" t="s">
        <v>780</v>
      </c>
      <c r="I345" s="39" t="s">
        <v>781</v>
      </c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</row>
    <row r="346" spans="7:22" x14ac:dyDescent="0.2">
      <c r="G346" s="39" t="s">
        <v>54</v>
      </c>
      <c r="H346" s="39" t="s">
        <v>783</v>
      </c>
      <c r="I346" s="39" t="s">
        <v>784</v>
      </c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</row>
    <row r="347" spans="7:22" x14ac:dyDescent="0.2">
      <c r="G347" s="39" t="s">
        <v>54</v>
      </c>
      <c r="H347" s="39" t="s">
        <v>920</v>
      </c>
      <c r="I347" s="39" t="s">
        <v>921</v>
      </c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</row>
    <row r="348" spans="7:22" x14ac:dyDescent="0.2">
      <c r="G348" s="39" t="s">
        <v>54</v>
      </c>
      <c r="H348" s="39" t="s">
        <v>786</v>
      </c>
      <c r="I348" s="39" t="s">
        <v>787</v>
      </c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</row>
    <row r="349" spans="7:22" x14ac:dyDescent="0.2">
      <c r="G349" s="39" t="s">
        <v>54</v>
      </c>
      <c r="H349" s="39" t="s">
        <v>789</v>
      </c>
      <c r="I349" s="39" t="s">
        <v>790</v>
      </c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</row>
    <row r="350" spans="7:22" x14ac:dyDescent="0.2">
      <c r="G350" s="39" t="s">
        <v>54</v>
      </c>
      <c r="H350" s="39" t="s">
        <v>793</v>
      </c>
      <c r="I350" s="39" t="s">
        <v>794</v>
      </c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</row>
    <row r="351" spans="7:22" x14ac:dyDescent="0.2">
      <c r="G351" s="39" t="s">
        <v>54</v>
      </c>
      <c r="H351" s="39" t="s">
        <v>796</v>
      </c>
      <c r="I351" s="39" t="s">
        <v>797</v>
      </c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</row>
    <row r="352" spans="7:22" x14ac:dyDescent="0.2">
      <c r="G352" s="39" t="s">
        <v>54</v>
      </c>
      <c r="H352" s="39" t="s">
        <v>799</v>
      </c>
      <c r="I352" s="39" t="s">
        <v>800</v>
      </c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</row>
    <row r="353" spans="7:22" x14ac:dyDescent="0.2">
      <c r="G353" s="39" t="s">
        <v>54</v>
      </c>
      <c r="H353" s="39" t="s">
        <v>923</v>
      </c>
      <c r="I353" s="39" t="s">
        <v>924</v>
      </c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</row>
    <row r="354" spans="7:22" x14ac:dyDescent="0.2">
      <c r="G354" s="39" t="s">
        <v>54</v>
      </c>
      <c r="H354" s="39" t="s">
        <v>925</v>
      </c>
      <c r="I354" s="39" t="s">
        <v>926</v>
      </c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</row>
    <row r="355" spans="7:22" x14ac:dyDescent="0.2">
      <c r="G355" s="39" t="s">
        <v>54</v>
      </c>
      <c r="H355" s="39" t="s">
        <v>802</v>
      </c>
      <c r="I355" s="39" t="s">
        <v>803</v>
      </c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</row>
    <row r="356" spans="7:22" x14ac:dyDescent="0.2">
      <c r="G356" s="39" t="s">
        <v>54</v>
      </c>
      <c r="H356" s="39" t="s">
        <v>808</v>
      </c>
      <c r="I356" s="39" t="s">
        <v>809</v>
      </c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</row>
    <row r="357" spans="7:22" x14ac:dyDescent="0.2">
      <c r="G357" s="39" t="s">
        <v>54</v>
      </c>
      <c r="H357" s="39" t="s">
        <v>814</v>
      </c>
      <c r="I357" s="39" t="s">
        <v>815</v>
      </c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</row>
    <row r="358" spans="7:22" x14ac:dyDescent="0.2">
      <c r="G358" s="39" t="s">
        <v>641</v>
      </c>
      <c r="H358" s="39" t="s">
        <v>764</v>
      </c>
      <c r="I358" s="39" t="s">
        <v>765</v>
      </c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</row>
    <row r="359" spans="7:22" x14ac:dyDescent="0.2">
      <c r="G359" s="39" t="s">
        <v>54</v>
      </c>
      <c r="H359" s="39" t="s">
        <v>767</v>
      </c>
      <c r="I359" s="39" t="s">
        <v>768</v>
      </c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</row>
    <row r="360" spans="7:22" x14ac:dyDescent="0.2">
      <c r="G360" s="39" t="s">
        <v>54</v>
      </c>
      <c r="H360" s="39" t="s">
        <v>771</v>
      </c>
      <c r="I360" s="39" t="s">
        <v>772</v>
      </c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</row>
    <row r="361" spans="7:22" x14ac:dyDescent="0.2">
      <c r="G361" s="39" t="s">
        <v>54</v>
      </c>
      <c r="H361" s="39" t="s">
        <v>774</v>
      </c>
      <c r="I361" s="39" t="s">
        <v>775</v>
      </c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</row>
    <row r="362" spans="7:22" x14ac:dyDescent="0.2">
      <c r="G362" s="39" t="s">
        <v>54</v>
      </c>
      <c r="H362" s="39" t="s">
        <v>777</v>
      </c>
      <c r="I362" s="39" t="s">
        <v>778</v>
      </c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</row>
    <row r="363" spans="7:22" x14ac:dyDescent="0.2">
      <c r="G363" s="39" t="s">
        <v>54</v>
      </c>
      <c r="H363" s="39" t="s">
        <v>780</v>
      </c>
      <c r="I363" s="39" t="s">
        <v>781</v>
      </c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</row>
    <row r="364" spans="7:22" x14ac:dyDescent="0.2">
      <c r="G364" s="39" t="s">
        <v>54</v>
      </c>
      <c r="H364" s="39" t="s">
        <v>783</v>
      </c>
      <c r="I364" s="39" t="s">
        <v>784</v>
      </c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</row>
    <row r="365" spans="7:22" x14ac:dyDescent="0.2">
      <c r="G365" s="39" t="s">
        <v>54</v>
      </c>
      <c r="H365" s="39" t="s">
        <v>920</v>
      </c>
      <c r="I365" s="39" t="s">
        <v>921</v>
      </c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</row>
    <row r="366" spans="7:22" x14ac:dyDescent="0.2">
      <c r="G366" s="39" t="s">
        <v>54</v>
      </c>
      <c r="H366" s="39" t="s">
        <v>786</v>
      </c>
      <c r="I366" s="39" t="s">
        <v>787</v>
      </c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</row>
    <row r="367" spans="7:22" x14ac:dyDescent="0.2">
      <c r="G367" s="39" t="s">
        <v>54</v>
      </c>
      <c r="H367" s="39" t="s">
        <v>789</v>
      </c>
      <c r="I367" s="39" t="s">
        <v>790</v>
      </c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</row>
    <row r="368" spans="7:22" x14ac:dyDescent="0.2">
      <c r="G368" s="39" t="s">
        <v>54</v>
      </c>
      <c r="H368" s="39" t="s">
        <v>793</v>
      </c>
      <c r="I368" s="39" t="s">
        <v>794</v>
      </c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</row>
    <row r="369" spans="7:22" x14ac:dyDescent="0.2">
      <c r="G369" s="39" t="s">
        <v>54</v>
      </c>
      <c r="H369" s="39" t="s">
        <v>796</v>
      </c>
      <c r="I369" s="39" t="s">
        <v>797</v>
      </c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</row>
    <row r="370" spans="7:22" x14ac:dyDescent="0.2">
      <c r="G370" s="39" t="s">
        <v>54</v>
      </c>
      <c r="H370" s="39" t="s">
        <v>799</v>
      </c>
      <c r="I370" s="39" t="s">
        <v>800</v>
      </c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</row>
    <row r="371" spans="7:22" x14ac:dyDescent="0.2">
      <c r="G371" s="39" t="s">
        <v>54</v>
      </c>
      <c r="H371" s="39" t="s">
        <v>923</v>
      </c>
      <c r="I371" s="39" t="s">
        <v>924</v>
      </c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</row>
    <row r="372" spans="7:22" x14ac:dyDescent="0.2">
      <c r="G372" s="39" t="s">
        <v>54</v>
      </c>
      <c r="H372" s="39" t="s">
        <v>925</v>
      </c>
      <c r="I372" s="39" t="s">
        <v>926</v>
      </c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</row>
    <row r="373" spans="7:22" x14ac:dyDescent="0.2">
      <c r="G373" s="39" t="s">
        <v>54</v>
      </c>
      <c r="H373" s="39" t="s">
        <v>802</v>
      </c>
      <c r="I373" s="39" t="s">
        <v>803</v>
      </c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</row>
    <row r="374" spans="7:22" x14ac:dyDescent="0.2">
      <c r="G374" s="39" t="s">
        <v>54</v>
      </c>
      <c r="H374" s="39" t="s">
        <v>808</v>
      </c>
      <c r="I374" s="39" t="s">
        <v>809</v>
      </c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</row>
    <row r="375" spans="7:22" x14ac:dyDescent="0.2">
      <c r="G375" s="39" t="s">
        <v>54</v>
      </c>
      <c r="H375" s="39" t="s">
        <v>814</v>
      </c>
      <c r="I375" s="39" t="s">
        <v>815</v>
      </c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</row>
    <row r="376" spans="7:22" x14ac:dyDescent="0.2">
      <c r="G376" s="39" t="s">
        <v>640</v>
      </c>
      <c r="H376" s="39" t="s">
        <v>764</v>
      </c>
      <c r="I376" s="39" t="s">
        <v>765</v>
      </c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</row>
    <row r="377" spans="7:22" x14ac:dyDescent="0.2">
      <c r="G377" s="39" t="s">
        <v>54</v>
      </c>
      <c r="H377" s="39" t="s">
        <v>767</v>
      </c>
      <c r="I377" s="39" t="s">
        <v>768</v>
      </c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</row>
    <row r="378" spans="7:22" x14ac:dyDescent="0.2">
      <c r="G378" s="39" t="s">
        <v>54</v>
      </c>
      <c r="H378" s="39" t="s">
        <v>771</v>
      </c>
      <c r="I378" s="39" t="s">
        <v>772</v>
      </c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</row>
    <row r="379" spans="7:22" x14ac:dyDescent="0.2">
      <c r="G379" s="39" t="s">
        <v>54</v>
      </c>
      <c r="H379" s="39" t="s">
        <v>774</v>
      </c>
      <c r="I379" s="39" t="s">
        <v>775</v>
      </c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</row>
    <row r="380" spans="7:22" x14ac:dyDescent="0.2">
      <c r="G380" s="39" t="s">
        <v>54</v>
      </c>
      <c r="H380" s="39" t="s">
        <v>777</v>
      </c>
      <c r="I380" s="39" t="s">
        <v>778</v>
      </c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</row>
    <row r="381" spans="7:22" x14ac:dyDescent="0.2">
      <c r="G381" s="39" t="s">
        <v>54</v>
      </c>
      <c r="H381" s="39" t="s">
        <v>780</v>
      </c>
      <c r="I381" s="39" t="s">
        <v>781</v>
      </c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</row>
    <row r="382" spans="7:22" x14ac:dyDescent="0.2">
      <c r="G382" s="39" t="s">
        <v>54</v>
      </c>
      <c r="H382" s="39" t="s">
        <v>783</v>
      </c>
      <c r="I382" s="39" t="s">
        <v>784</v>
      </c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</row>
    <row r="383" spans="7:22" x14ac:dyDescent="0.2">
      <c r="G383" s="39" t="s">
        <v>54</v>
      </c>
      <c r="H383" s="39" t="s">
        <v>920</v>
      </c>
      <c r="I383" s="39" t="s">
        <v>921</v>
      </c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</row>
    <row r="384" spans="7:22" x14ac:dyDescent="0.2">
      <c r="G384" s="39" t="s">
        <v>54</v>
      </c>
      <c r="H384" s="39" t="s">
        <v>786</v>
      </c>
      <c r="I384" s="39" t="s">
        <v>787</v>
      </c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</row>
    <row r="385" spans="7:22" x14ac:dyDescent="0.2">
      <c r="G385" s="39" t="s">
        <v>54</v>
      </c>
      <c r="H385" s="39" t="s">
        <v>789</v>
      </c>
      <c r="I385" s="39" t="s">
        <v>790</v>
      </c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</row>
    <row r="386" spans="7:22" x14ac:dyDescent="0.2">
      <c r="G386" s="39" t="s">
        <v>54</v>
      </c>
      <c r="H386" s="39" t="s">
        <v>793</v>
      </c>
      <c r="I386" s="39" t="s">
        <v>794</v>
      </c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</row>
    <row r="387" spans="7:22" x14ac:dyDescent="0.2">
      <c r="G387" s="39" t="s">
        <v>54</v>
      </c>
      <c r="H387" s="39" t="s">
        <v>796</v>
      </c>
      <c r="I387" s="39" t="s">
        <v>797</v>
      </c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</row>
    <row r="388" spans="7:22" x14ac:dyDescent="0.2">
      <c r="G388" s="39" t="s">
        <v>54</v>
      </c>
      <c r="H388" s="39" t="s">
        <v>799</v>
      </c>
      <c r="I388" s="39" t="s">
        <v>800</v>
      </c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</row>
    <row r="389" spans="7:22" x14ac:dyDescent="0.2">
      <c r="G389" s="39" t="s">
        <v>54</v>
      </c>
      <c r="H389" s="39" t="s">
        <v>923</v>
      </c>
      <c r="I389" s="39" t="s">
        <v>924</v>
      </c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</row>
    <row r="390" spans="7:22" x14ac:dyDescent="0.2">
      <c r="G390" s="39" t="s">
        <v>54</v>
      </c>
      <c r="H390" s="39" t="s">
        <v>925</v>
      </c>
      <c r="I390" s="39" t="s">
        <v>926</v>
      </c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</row>
    <row r="391" spans="7:22" x14ac:dyDescent="0.2">
      <c r="G391" s="39" t="s">
        <v>54</v>
      </c>
      <c r="H391" s="39" t="s">
        <v>802</v>
      </c>
      <c r="I391" s="39" t="s">
        <v>803</v>
      </c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</row>
    <row r="392" spans="7:22" x14ac:dyDescent="0.2">
      <c r="G392" s="39" t="s">
        <v>54</v>
      </c>
      <c r="H392" s="39" t="s">
        <v>808</v>
      </c>
      <c r="I392" s="39" t="s">
        <v>809</v>
      </c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</row>
    <row r="393" spans="7:22" x14ac:dyDescent="0.2">
      <c r="G393" s="39" t="s">
        <v>54</v>
      </c>
      <c r="H393" s="39" t="s">
        <v>814</v>
      </c>
      <c r="I393" s="39" t="s">
        <v>815</v>
      </c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</row>
    <row r="394" spans="7:22" x14ac:dyDescent="0.2">
      <c r="G394" s="39" t="s">
        <v>639</v>
      </c>
      <c r="H394" s="39" t="s">
        <v>764</v>
      </c>
      <c r="I394" s="39" t="s">
        <v>765</v>
      </c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</row>
    <row r="395" spans="7:22" x14ac:dyDescent="0.2">
      <c r="G395" s="39" t="s">
        <v>54</v>
      </c>
      <c r="H395" s="39" t="s">
        <v>767</v>
      </c>
      <c r="I395" s="39" t="s">
        <v>768</v>
      </c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</row>
    <row r="396" spans="7:22" x14ac:dyDescent="0.2">
      <c r="G396" s="39" t="s">
        <v>54</v>
      </c>
      <c r="H396" s="39" t="s">
        <v>771</v>
      </c>
      <c r="I396" s="39" t="s">
        <v>772</v>
      </c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</row>
    <row r="397" spans="7:22" x14ac:dyDescent="0.2">
      <c r="G397" s="39" t="s">
        <v>54</v>
      </c>
      <c r="H397" s="39" t="s">
        <v>774</v>
      </c>
      <c r="I397" s="39" t="s">
        <v>775</v>
      </c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</row>
    <row r="398" spans="7:22" x14ac:dyDescent="0.2">
      <c r="G398" s="39" t="s">
        <v>54</v>
      </c>
      <c r="H398" s="39" t="s">
        <v>777</v>
      </c>
      <c r="I398" s="39" t="s">
        <v>778</v>
      </c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</row>
    <row r="399" spans="7:22" x14ac:dyDescent="0.2">
      <c r="G399" s="39" t="s">
        <v>54</v>
      </c>
      <c r="H399" s="39" t="s">
        <v>780</v>
      </c>
      <c r="I399" s="39" t="s">
        <v>781</v>
      </c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</row>
    <row r="400" spans="7:22" x14ac:dyDescent="0.2">
      <c r="G400" s="39" t="s">
        <v>54</v>
      </c>
      <c r="H400" s="39" t="s">
        <v>783</v>
      </c>
      <c r="I400" s="39" t="s">
        <v>784</v>
      </c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</row>
    <row r="401" spans="7:22" x14ac:dyDescent="0.2">
      <c r="G401" s="39" t="s">
        <v>54</v>
      </c>
      <c r="H401" s="39" t="s">
        <v>920</v>
      </c>
      <c r="I401" s="39" t="s">
        <v>921</v>
      </c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</row>
    <row r="402" spans="7:22" x14ac:dyDescent="0.2">
      <c r="G402" s="39" t="s">
        <v>54</v>
      </c>
      <c r="H402" s="39" t="s">
        <v>786</v>
      </c>
      <c r="I402" s="39" t="s">
        <v>787</v>
      </c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</row>
    <row r="403" spans="7:22" x14ac:dyDescent="0.2">
      <c r="G403" s="39" t="s">
        <v>54</v>
      </c>
      <c r="H403" s="39" t="s">
        <v>789</v>
      </c>
      <c r="I403" s="39" t="s">
        <v>790</v>
      </c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</row>
    <row r="404" spans="7:22" x14ac:dyDescent="0.2">
      <c r="G404" s="39" t="s">
        <v>54</v>
      </c>
      <c r="H404" s="39" t="s">
        <v>793</v>
      </c>
      <c r="I404" s="39" t="s">
        <v>794</v>
      </c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</row>
    <row r="405" spans="7:22" x14ac:dyDescent="0.2">
      <c r="G405" s="39" t="s">
        <v>54</v>
      </c>
      <c r="H405" s="39" t="s">
        <v>796</v>
      </c>
      <c r="I405" s="39" t="s">
        <v>797</v>
      </c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</row>
    <row r="406" spans="7:22" x14ac:dyDescent="0.2">
      <c r="G406" s="39" t="s">
        <v>54</v>
      </c>
      <c r="H406" s="39" t="s">
        <v>799</v>
      </c>
      <c r="I406" s="39" t="s">
        <v>800</v>
      </c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</row>
    <row r="407" spans="7:22" x14ac:dyDescent="0.2">
      <c r="G407" s="39" t="s">
        <v>54</v>
      </c>
      <c r="H407" s="39" t="s">
        <v>923</v>
      </c>
      <c r="I407" s="39" t="s">
        <v>924</v>
      </c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</row>
    <row r="408" spans="7:22" x14ac:dyDescent="0.2">
      <c r="G408" s="39" t="s">
        <v>54</v>
      </c>
      <c r="H408" s="39" t="s">
        <v>925</v>
      </c>
      <c r="I408" s="39" t="s">
        <v>926</v>
      </c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</row>
    <row r="409" spans="7:22" x14ac:dyDescent="0.2">
      <c r="G409" s="39" t="s">
        <v>54</v>
      </c>
      <c r="H409" s="39" t="s">
        <v>802</v>
      </c>
      <c r="I409" s="39" t="s">
        <v>803</v>
      </c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</row>
    <row r="410" spans="7:22" x14ac:dyDescent="0.2">
      <c r="G410" s="39" t="s">
        <v>54</v>
      </c>
      <c r="H410" s="39" t="s">
        <v>808</v>
      </c>
      <c r="I410" s="39" t="s">
        <v>809</v>
      </c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</row>
    <row r="411" spans="7:22" x14ac:dyDescent="0.2">
      <c r="G411" s="39" t="s">
        <v>54</v>
      </c>
      <c r="H411" s="39" t="s">
        <v>814</v>
      </c>
      <c r="I411" s="39" t="s">
        <v>815</v>
      </c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</row>
    <row r="412" spans="7:22" x14ac:dyDescent="0.2">
      <c r="G412" s="39" t="s">
        <v>638</v>
      </c>
      <c r="H412" s="39" t="s">
        <v>764</v>
      </c>
      <c r="I412" s="39" t="s">
        <v>765</v>
      </c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</row>
    <row r="413" spans="7:22" x14ac:dyDescent="0.2">
      <c r="G413" s="39" t="s">
        <v>54</v>
      </c>
      <c r="H413" s="39" t="s">
        <v>767</v>
      </c>
      <c r="I413" s="39" t="s">
        <v>768</v>
      </c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</row>
    <row r="414" spans="7:22" x14ac:dyDescent="0.2">
      <c r="G414" s="39" t="s">
        <v>54</v>
      </c>
      <c r="H414" s="39" t="s">
        <v>771</v>
      </c>
      <c r="I414" s="39" t="s">
        <v>772</v>
      </c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</row>
    <row r="415" spans="7:22" x14ac:dyDescent="0.2">
      <c r="G415" s="39" t="s">
        <v>54</v>
      </c>
      <c r="H415" s="39" t="s">
        <v>774</v>
      </c>
      <c r="I415" s="39" t="s">
        <v>775</v>
      </c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</row>
    <row r="416" spans="7:22" x14ac:dyDescent="0.2">
      <c r="G416" s="39" t="s">
        <v>54</v>
      </c>
      <c r="H416" s="39" t="s">
        <v>777</v>
      </c>
      <c r="I416" s="39" t="s">
        <v>778</v>
      </c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</row>
    <row r="417" spans="7:22" x14ac:dyDescent="0.2">
      <c r="G417" s="39" t="s">
        <v>54</v>
      </c>
      <c r="H417" s="39" t="s">
        <v>780</v>
      </c>
      <c r="I417" s="39" t="s">
        <v>781</v>
      </c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</row>
    <row r="418" spans="7:22" x14ac:dyDescent="0.2">
      <c r="G418" s="39" t="s">
        <v>54</v>
      </c>
      <c r="H418" s="39" t="s">
        <v>783</v>
      </c>
      <c r="I418" s="39" t="s">
        <v>784</v>
      </c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</row>
    <row r="419" spans="7:22" x14ac:dyDescent="0.2">
      <c r="G419" s="39" t="s">
        <v>54</v>
      </c>
      <c r="H419" s="39" t="s">
        <v>920</v>
      </c>
      <c r="I419" s="39" t="s">
        <v>921</v>
      </c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</row>
    <row r="420" spans="7:22" x14ac:dyDescent="0.2">
      <c r="G420" s="39" t="s">
        <v>54</v>
      </c>
      <c r="H420" s="39" t="s">
        <v>786</v>
      </c>
      <c r="I420" s="39" t="s">
        <v>787</v>
      </c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</row>
    <row r="421" spans="7:22" x14ac:dyDescent="0.2">
      <c r="G421" s="39" t="s">
        <v>54</v>
      </c>
      <c r="H421" s="39" t="s">
        <v>789</v>
      </c>
      <c r="I421" s="39" t="s">
        <v>790</v>
      </c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</row>
    <row r="422" spans="7:22" x14ac:dyDescent="0.2">
      <c r="G422" s="39" t="s">
        <v>54</v>
      </c>
      <c r="H422" s="39" t="s">
        <v>793</v>
      </c>
      <c r="I422" s="39" t="s">
        <v>794</v>
      </c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</row>
    <row r="423" spans="7:22" x14ac:dyDescent="0.2">
      <c r="G423" s="39" t="s">
        <v>54</v>
      </c>
      <c r="H423" s="39" t="s">
        <v>796</v>
      </c>
      <c r="I423" s="39" t="s">
        <v>797</v>
      </c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</row>
    <row r="424" spans="7:22" x14ac:dyDescent="0.2">
      <c r="G424" s="39" t="s">
        <v>54</v>
      </c>
      <c r="H424" s="39" t="s">
        <v>799</v>
      </c>
      <c r="I424" s="39" t="s">
        <v>800</v>
      </c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</row>
    <row r="425" spans="7:22" x14ac:dyDescent="0.2">
      <c r="G425" s="39" t="s">
        <v>54</v>
      </c>
      <c r="H425" s="39" t="s">
        <v>923</v>
      </c>
      <c r="I425" s="39" t="s">
        <v>924</v>
      </c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</row>
    <row r="426" spans="7:22" x14ac:dyDescent="0.2">
      <c r="G426" s="39" t="s">
        <v>54</v>
      </c>
      <c r="H426" s="39" t="s">
        <v>925</v>
      </c>
      <c r="I426" s="39" t="s">
        <v>926</v>
      </c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</row>
    <row r="427" spans="7:22" x14ac:dyDescent="0.2">
      <c r="G427" s="39" t="s">
        <v>54</v>
      </c>
      <c r="H427" s="39" t="s">
        <v>802</v>
      </c>
      <c r="I427" s="39" t="s">
        <v>803</v>
      </c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</row>
    <row r="428" spans="7:22" x14ac:dyDescent="0.2">
      <c r="G428" s="39" t="s">
        <v>54</v>
      </c>
      <c r="H428" s="39" t="s">
        <v>808</v>
      </c>
      <c r="I428" s="39" t="s">
        <v>809</v>
      </c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</row>
    <row r="429" spans="7:22" x14ac:dyDescent="0.2">
      <c r="G429" s="39" t="s">
        <v>54</v>
      </c>
      <c r="H429" s="39" t="s">
        <v>814</v>
      </c>
      <c r="I429" s="39" t="s">
        <v>815</v>
      </c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</row>
    <row r="430" spans="7:22" x14ac:dyDescent="0.2">
      <c r="G430" s="39" t="s">
        <v>637</v>
      </c>
      <c r="H430" s="39" t="s">
        <v>764</v>
      </c>
      <c r="I430" s="39" t="s">
        <v>765</v>
      </c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</row>
    <row r="431" spans="7:22" x14ac:dyDescent="0.2">
      <c r="G431" s="39" t="s">
        <v>54</v>
      </c>
      <c r="H431" s="39" t="s">
        <v>767</v>
      </c>
      <c r="I431" s="39" t="s">
        <v>768</v>
      </c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</row>
    <row r="432" spans="7:22" x14ac:dyDescent="0.2">
      <c r="G432" s="39" t="s">
        <v>54</v>
      </c>
      <c r="H432" s="39" t="s">
        <v>771</v>
      </c>
      <c r="I432" s="39" t="s">
        <v>772</v>
      </c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</row>
    <row r="433" spans="7:22" x14ac:dyDescent="0.2">
      <c r="G433" s="39" t="s">
        <v>54</v>
      </c>
      <c r="H433" s="39" t="s">
        <v>774</v>
      </c>
      <c r="I433" s="39" t="s">
        <v>775</v>
      </c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</row>
    <row r="434" spans="7:22" x14ac:dyDescent="0.2">
      <c r="G434" s="39" t="s">
        <v>54</v>
      </c>
      <c r="H434" s="39" t="s">
        <v>777</v>
      </c>
      <c r="I434" s="39" t="s">
        <v>778</v>
      </c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</row>
    <row r="435" spans="7:22" x14ac:dyDescent="0.2">
      <c r="G435" s="39" t="s">
        <v>54</v>
      </c>
      <c r="H435" s="39" t="s">
        <v>780</v>
      </c>
      <c r="I435" s="39" t="s">
        <v>781</v>
      </c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</row>
    <row r="436" spans="7:22" x14ac:dyDescent="0.2">
      <c r="G436" s="39" t="s">
        <v>54</v>
      </c>
      <c r="H436" s="39" t="s">
        <v>783</v>
      </c>
      <c r="I436" s="39" t="s">
        <v>784</v>
      </c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</row>
    <row r="437" spans="7:22" x14ac:dyDescent="0.2">
      <c r="G437" s="39" t="s">
        <v>54</v>
      </c>
      <c r="H437" s="39" t="s">
        <v>920</v>
      </c>
      <c r="I437" s="39" t="s">
        <v>921</v>
      </c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</row>
    <row r="438" spans="7:22" x14ac:dyDescent="0.2">
      <c r="G438" s="39" t="s">
        <v>54</v>
      </c>
      <c r="H438" s="39" t="s">
        <v>786</v>
      </c>
      <c r="I438" s="39" t="s">
        <v>787</v>
      </c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</row>
    <row r="439" spans="7:22" x14ac:dyDescent="0.2">
      <c r="G439" s="39" t="s">
        <v>54</v>
      </c>
      <c r="H439" s="39" t="s">
        <v>789</v>
      </c>
      <c r="I439" s="39" t="s">
        <v>790</v>
      </c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</row>
    <row r="440" spans="7:22" x14ac:dyDescent="0.2">
      <c r="G440" s="39" t="s">
        <v>54</v>
      </c>
      <c r="H440" s="39" t="s">
        <v>793</v>
      </c>
      <c r="I440" s="39" t="s">
        <v>794</v>
      </c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</row>
    <row r="441" spans="7:22" x14ac:dyDescent="0.2">
      <c r="G441" s="39" t="s">
        <v>54</v>
      </c>
      <c r="H441" s="39" t="s">
        <v>796</v>
      </c>
      <c r="I441" s="39" t="s">
        <v>797</v>
      </c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</row>
    <row r="442" spans="7:22" x14ac:dyDescent="0.2">
      <c r="G442" s="39" t="s">
        <v>54</v>
      </c>
      <c r="H442" s="39" t="s">
        <v>799</v>
      </c>
      <c r="I442" s="39" t="s">
        <v>800</v>
      </c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</row>
    <row r="443" spans="7:22" x14ac:dyDescent="0.2">
      <c r="G443" s="39" t="s">
        <v>54</v>
      </c>
      <c r="H443" s="39" t="s">
        <v>923</v>
      </c>
      <c r="I443" s="39" t="s">
        <v>924</v>
      </c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</row>
    <row r="444" spans="7:22" x14ac:dyDescent="0.2">
      <c r="G444" s="39" t="s">
        <v>54</v>
      </c>
      <c r="H444" s="39" t="s">
        <v>925</v>
      </c>
      <c r="I444" s="39" t="s">
        <v>926</v>
      </c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</row>
    <row r="445" spans="7:22" x14ac:dyDescent="0.2">
      <c r="G445" s="39" t="s">
        <v>54</v>
      </c>
      <c r="H445" s="39" t="s">
        <v>802</v>
      </c>
      <c r="I445" s="39" t="s">
        <v>803</v>
      </c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</row>
    <row r="446" spans="7:22" x14ac:dyDescent="0.2">
      <c r="G446" s="39" t="s">
        <v>54</v>
      </c>
      <c r="H446" s="39" t="s">
        <v>808</v>
      </c>
      <c r="I446" s="39" t="s">
        <v>809</v>
      </c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</row>
    <row r="447" spans="7:22" x14ac:dyDescent="0.2">
      <c r="G447" s="39" t="s">
        <v>54</v>
      </c>
      <c r="H447" s="39" t="s">
        <v>814</v>
      </c>
      <c r="I447" s="39" t="s">
        <v>815</v>
      </c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</row>
    <row r="448" spans="7:22" x14ac:dyDescent="0.2">
      <c r="G448" s="39" t="s">
        <v>636</v>
      </c>
      <c r="H448" s="39" t="s">
        <v>764</v>
      </c>
      <c r="I448" s="39" t="s">
        <v>765</v>
      </c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</row>
    <row r="449" spans="7:22" x14ac:dyDescent="0.2">
      <c r="G449" s="39" t="s">
        <v>54</v>
      </c>
      <c r="H449" s="39" t="s">
        <v>767</v>
      </c>
      <c r="I449" s="39" t="s">
        <v>768</v>
      </c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</row>
    <row r="450" spans="7:22" x14ac:dyDescent="0.2">
      <c r="G450" s="39" t="s">
        <v>54</v>
      </c>
      <c r="H450" s="39" t="s">
        <v>771</v>
      </c>
      <c r="I450" s="39" t="s">
        <v>772</v>
      </c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</row>
    <row r="451" spans="7:22" x14ac:dyDescent="0.2">
      <c r="G451" s="39" t="s">
        <v>54</v>
      </c>
      <c r="H451" s="39" t="s">
        <v>774</v>
      </c>
      <c r="I451" s="39" t="s">
        <v>775</v>
      </c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</row>
    <row r="452" spans="7:22" x14ac:dyDescent="0.2">
      <c r="G452" s="39" t="s">
        <v>54</v>
      </c>
      <c r="H452" s="39" t="s">
        <v>777</v>
      </c>
      <c r="I452" s="39" t="s">
        <v>778</v>
      </c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</row>
    <row r="453" spans="7:22" x14ac:dyDescent="0.2">
      <c r="G453" s="39" t="s">
        <v>54</v>
      </c>
      <c r="H453" s="39" t="s">
        <v>780</v>
      </c>
      <c r="I453" s="39" t="s">
        <v>781</v>
      </c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</row>
    <row r="454" spans="7:22" x14ac:dyDescent="0.2">
      <c r="G454" s="39" t="s">
        <v>54</v>
      </c>
      <c r="H454" s="39" t="s">
        <v>783</v>
      </c>
      <c r="I454" s="39" t="s">
        <v>784</v>
      </c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</row>
    <row r="455" spans="7:22" x14ac:dyDescent="0.2">
      <c r="G455" s="39" t="s">
        <v>54</v>
      </c>
      <c r="H455" s="39" t="s">
        <v>920</v>
      </c>
      <c r="I455" s="39" t="s">
        <v>921</v>
      </c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</row>
    <row r="456" spans="7:22" x14ac:dyDescent="0.2">
      <c r="G456" s="39" t="s">
        <v>54</v>
      </c>
      <c r="H456" s="39" t="s">
        <v>786</v>
      </c>
      <c r="I456" s="39" t="s">
        <v>787</v>
      </c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</row>
    <row r="457" spans="7:22" x14ac:dyDescent="0.2">
      <c r="G457" s="39" t="s">
        <v>54</v>
      </c>
      <c r="H457" s="39" t="s">
        <v>789</v>
      </c>
      <c r="I457" s="39" t="s">
        <v>790</v>
      </c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</row>
    <row r="458" spans="7:22" x14ac:dyDescent="0.2">
      <c r="G458" s="39" t="s">
        <v>54</v>
      </c>
      <c r="H458" s="39" t="s">
        <v>793</v>
      </c>
      <c r="I458" s="39" t="s">
        <v>794</v>
      </c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</row>
    <row r="459" spans="7:22" x14ac:dyDescent="0.2">
      <c r="G459" s="39" t="s">
        <v>54</v>
      </c>
      <c r="H459" s="39" t="s">
        <v>796</v>
      </c>
      <c r="I459" s="39" t="s">
        <v>797</v>
      </c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</row>
    <row r="460" spans="7:22" x14ac:dyDescent="0.2">
      <c r="G460" s="39" t="s">
        <v>54</v>
      </c>
      <c r="H460" s="39" t="s">
        <v>799</v>
      </c>
      <c r="I460" s="39" t="s">
        <v>800</v>
      </c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</row>
    <row r="461" spans="7:22" x14ac:dyDescent="0.2">
      <c r="G461" s="39" t="s">
        <v>54</v>
      </c>
      <c r="H461" s="39" t="s">
        <v>923</v>
      </c>
      <c r="I461" s="39" t="s">
        <v>924</v>
      </c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</row>
    <row r="462" spans="7:22" x14ac:dyDescent="0.2">
      <c r="G462" s="39" t="s">
        <v>54</v>
      </c>
      <c r="H462" s="39" t="s">
        <v>925</v>
      </c>
      <c r="I462" s="39" t="s">
        <v>926</v>
      </c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</row>
    <row r="463" spans="7:22" x14ac:dyDescent="0.2">
      <c r="G463" s="39" t="s">
        <v>54</v>
      </c>
      <c r="H463" s="39" t="s">
        <v>802</v>
      </c>
      <c r="I463" s="39" t="s">
        <v>803</v>
      </c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</row>
    <row r="464" spans="7:22" x14ac:dyDescent="0.2">
      <c r="G464" s="39" t="s">
        <v>54</v>
      </c>
      <c r="H464" s="39" t="s">
        <v>808</v>
      </c>
      <c r="I464" s="39" t="s">
        <v>809</v>
      </c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</row>
    <row r="465" spans="7:22" x14ac:dyDescent="0.2">
      <c r="G465" s="39" t="s">
        <v>54</v>
      </c>
      <c r="H465" s="39" t="s">
        <v>814</v>
      </c>
      <c r="I465" s="39" t="s">
        <v>815</v>
      </c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</row>
    <row r="466" spans="7:22" x14ac:dyDescent="0.2">
      <c r="G466" s="39" t="s">
        <v>635</v>
      </c>
      <c r="H466" s="39" t="s">
        <v>764</v>
      </c>
      <c r="I466" s="39" t="s">
        <v>765</v>
      </c>
      <c r="J466" s="373"/>
      <c r="K466" s="373"/>
      <c r="L466" s="373"/>
      <c r="M466" s="373"/>
      <c r="N466" s="373"/>
      <c r="O466" s="373"/>
      <c r="P466" s="373"/>
      <c r="Q466" s="373"/>
      <c r="R466" s="373"/>
      <c r="S466" s="373"/>
      <c r="T466" s="373"/>
      <c r="U466" s="373"/>
      <c r="V466" s="373"/>
    </row>
    <row r="467" spans="7:22" x14ac:dyDescent="0.2">
      <c r="G467" s="39" t="s">
        <v>54</v>
      </c>
      <c r="H467" s="39" t="s">
        <v>767</v>
      </c>
      <c r="I467" s="39" t="s">
        <v>768</v>
      </c>
      <c r="J467" s="373"/>
      <c r="K467" s="373"/>
      <c r="L467" s="373"/>
      <c r="M467" s="373"/>
      <c r="N467" s="373"/>
      <c r="O467" s="373"/>
      <c r="P467" s="373"/>
      <c r="Q467" s="373"/>
      <c r="R467" s="373"/>
      <c r="S467" s="373"/>
      <c r="T467" s="373"/>
      <c r="U467" s="373"/>
      <c r="V467" s="373"/>
    </row>
    <row r="468" spans="7:22" x14ac:dyDescent="0.2">
      <c r="G468" s="39" t="s">
        <v>54</v>
      </c>
      <c r="H468" s="39" t="s">
        <v>771</v>
      </c>
      <c r="I468" s="39" t="s">
        <v>772</v>
      </c>
      <c r="J468" s="373"/>
      <c r="K468" s="373"/>
      <c r="L468" s="373"/>
      <c r="M468" s="373"/>
      <c r="N468" s="373"/>
      <c r="O468" s="373"/>
      <c r="P468" s="373"/>
      <c r="Q468" s="373"/>
      <c r="R468" s="373"/>
      <c r="S468" s="373"/>
      <c r="T468" s="373"/>
      <c r="U468" s="373"/>
      <c r="V468" s="373"/>
    </row>
    <row r="469" spans="7:22" x14ac:dyDescent="0.2">
      <c r="G469" s="39" t="s">
        <v>54</v>
      </c>
      <c r="H469" s="39" t="s">
        <v>774</v>
      </c>
      <c r="I469" s="39" t="s">
        <v>775</v>
      </c>
      <c r="J469" s="373"/>
      <c r="K469" s="373"/>
      <c r="L469" s="373"/>
      <c r="M469" s="373"/>
      <c r="N469" s="373"/>
      <c r="O469" s="373"/>
      <c r="P469" s="373"/>
      <c r="Q469" s="373"/>
      <c r="R469" s="373"/>
      <c r="S469" s="373"/>
      <c r="T469" s="373"/>
      <c r="U469" s="373"/>
      <c r="V469" s="373"/>
    </row>
    <row r="470" spans="7:22" x14ac:dyDescent="0.2">
      <c r="G470" s="39" t="s">
        <v>54</v>
      </c>
      <c r="H470" s="39" t="s">
        <v>777</v>
      </c>
      <c r="I470" s="39" t="s">
        <v>778</v>
      </c>
      <c r="J470" s="373"/>
      <c r="K470" s="373"/>
      <c r="L470" s="373"/>
      <c r="M470" s="373"/>
      <c r="N470" s="373"/>
      <c r="O470" s="373"/>
      <c r="P470" s="373"/>
      <c r="Q470" s="373"/>
      <c r="R470" s="373"/>
      <c r="S470" s="373"/>
      <c r="T470" s="373"/>
      <c r="U470" s="373"/>
      <c r="V470" s="373"/>
    </row>
    <row r="471" spans="7:22" x14ac:dyDescent="0.2">
      <c r="G471" s="39" t="s">
        <v>54</v>
      </c>
      <c r="H471" s="39" t="s">
        <v>780</v>
      </c>
      <c r="I471" s="39" t="s">
        <v>781</v>
      </c>
      <c r="J471" s="373"/>
      <c r="K471" s="373"/>
      <c r="L471" s="373"/>
      <c r="M471" s="373"/>
      <c r="N471" s="373"/>
      <c r="O471" s="373"/>
      <c r="P471" s="373"/>
      <c r="Q471" s="373"/>
      <c r="R471" s="373"/>
      <c r="S471" s="373"/>
      <c r="T471" s="373"/>
      <c r="U471" s="373"/>
      <c r="V471" s="373"/>
    </row>
    <row r="472" spans="7:22" x14ac:dyDescent="0.2">
      <c r="G472" s="39" t="s">
        <v>54</v>
      </c>
      <c r="H472" s="39" t="s">
        <v>783</v>
      </c>
      <c r="I472" s="39" t="s">
        <v>784</v>
      </c>
      <c r="J472" s="373"/>
      <c r="K472" s="373"/>
      <c r="L472" s="373"/>
      <c r="M472" s="373"/>
      <c r="N472" s="373"/>
      <c r="O472" s="373"/>
      <c r="P472" s="373"/>
      <c r="Q472" s="373"/>
      <c r="R472" s="373"/>
      <c r="S472" s="373"/>
      <c r="T472" s="373"/>
      <c r="U472" s="373"/>
      <c r="V472" s="373"/>
    </row>
    <row r="473" spans="7:22" x14ac:dyDescent="0.2">
      <c r="G473" s="39" t="s">
        <v>54</v>
      </c>
      <c r="H473" s="39" t="s">
        <v>920</v>
      </c>
      <c r="I473" s="39" t="s">
        <v>921</v>
      </c>
      <c r="J473" s="373"/>
      <c r="K473" s="373"/>
      <c r="L473" s="373"/>
      <c r="M473" s="373"/>
      <c r="N473" s="373"/>
      <c r="O473" s="373"/>
      <c r="P473" s="373"/>
      <c r="Q473" s="373"/>
      <c r="R473" s="373"/>
      <c r="S473" s="373"/>
      <c r="T473" s="373"/>
      <c r="U473" s="373"/>
      <c r="V473" s="373"/>
    </row>
    <row r="474" spans="7:22" x14ac:dyDescent="0.2">
      <c r="G474" s="39" t="s">
        <v>54</v>
      </c>
      <c r="H474" s="39" t="s">
        <v>786</v>
      </c>
      <c r="I474" s="39" t="s">
        <v>787</v>
      </c>
      <c r="J474" s="373"/>
      <c r="K474" s="373"/>
      <c r="L474" s="373"/>
      <c r="M474" s="373"/>
      <c r="N474" s="373"/>
      <c r="O474" s="373"/>
      <c r="P474" s="373"/>
      <c r="Q474" s="373"/>
      <c r="R474" s="373"/>
      <c r="S474" s="373"/>
      <c r="T474" s="373"/>
      <c r="U474" s="373"/>
      <c r="V474" s="373"/>
    </row>
    <row r="475" spans="7:22" x14ac:dyDescent="0.2">
      <c r="G475" s="39" t="s">
        <v>54</v>
      </c>
      <c r="H475" s="39" t="s">
        <v>789</v>
      </c>
      <c r="I475" s="39" t="s">
        <v>790</v>
      </c>
      <c r="J475" s="373"/>
      <c r="K475" s="373"/>
      <c r="L475" s="373"/>
      <c r="M475" s="373"/>
      <c r="N475" s="373"/>
      <c r="O475" s="373"/>
      <c r="P475" s="373"/>
      <c r="Q475" s="373"/>
      <c r="R475" s="373"/>
      <c r="S475" s="373"/>
      <c r="T475" s="373"/>
      <c r="U475" s="373"/>
      <c r="V475" s="373"/>
    </row>
    <row r="476" spans="7:22" x14ac:dyDescent="0.2">
      <c r="G476" s="39" t="s">
        <v>54</v>
      </c>
      <c r="H476" s="39" t="s">
        <v>793</v>
      </c>
      <c r="I476" s="39" t="s">
        <v>794</v>
      </c>
      <c r="J476" s="373"/>
      <c r="K476" s="373"/>
      <c r="L476" s="373"/>
      <c r="M476" s="373"/>
      <c r="N476" s="373"/>
      <c r="O476" s="373"/>
      <c r="P476" s="373"/>
      <c r="Q476" s="373"/>
      <c r="R476" s="373"/>
      <c r="S476" s="373"/>
      <c r="T476" s="373"/>
      <c r="U476" s="373"/>
      <c r="V476" s="373"/>
    </row>
    <row r="477" spans="7:22" x14ac:dyDescent="0.2">
      <c r="G477" s="39" t="s">
        <v>54</v>
      </c>
      <c r="H477" s="39" t="s">
        <v>796</v>
      </c>
      <c r="I477" s="39" t="s">
        <v>797</v>
      </c>
      <c r="J477" s="373"/>
      <c r="K477" s="373"/>
      <c r="L477" s="373"/>
      <c r="M477" s="373"/>
      <c r="N477" s="373"/>
      <c r="O477" s="373"/>
      <c r="P477" s="373"/>
      <c r="Q477" s="373"/>
      <c r="R477" s="373"/>
      <c r="S477" s="373"/>
      <c r="T477" s="373"/>
      <c r="U477" s="373"/>
      <c r="V477" s="373"/>
    </row>
    <row r="478" spans="7:22" x14ac:dyDescent="0.2">
      <c r="G478" s="39" t="s">
        <v>54</v>
      </c>
      <c r="H478" s="39" t="s">
        <v>799</v>
      </c>
      <c r="I478" s="39" t="s">
        <v>800</v>
      </c>
      <c r="J478" s="373"/>
      <c r="K478" s="373"/>
      <c r="L478" s="373"/>
      <c r="M478" s="373"/>
      <c r="N478" s="373"/>
      <c r="O478" s="373"/>
      <c r="P478" s="373"/>
      <c r="Q478" s="373"/>
      <c r="R478" s="373"/>
      <c r="S478" s="373"/>
      <c r="T478" s="373"/>
      <c r="U478" s="373"/>
      <c r="V478" s="373"/>
    </row>
    <row r="479" spans="7:22" x14ac:dyDescent="0.2">
      <c r="G479" s="39" t="s">
        <v>54</v>
      </c>
      <c r="H479" s="39" t="s">
        <v>923</v>
      </c>
      <c r="I479" s="39" t="s">
        <v>924</v>
      </c>
      <c r="J479" s="373"/>
      <c r="K479" s="373"/>
      <c r="L479" s="373"/>
      <c r="M479" s="373"/>
      <c r="N479" s="373"/>
      <c r="O479" s="373"/>
      <c r="P479" s="373"/>
      <c r="Q479" s="373"/>
      <c r="R479" s="373"/>
      <c r="S479" s="373"/>
      <c r="T479" s="373"/>
      <c r="U479" s="373"/>
      <c r="V479" s="373"/>
    </row>
    <row r="480" spans="7:22" x14ac:dyDescent="0.2">
      <c r="G480" s="39" t="s">
        <v>54</v>
      </c>
      <c r="H480" s="39" t="s">
        <v>925</v>
      </c>
      <c r="I480" s="39" t="s">
        <v>926</v>
      </c>
      <c r="J480" s="373"/>
      <c r="K480" s="373"/>
      <c r="L480" s="373"/>
      <c r="M480" s="373"/>
      <c r="N480" s="373"/>
      <c r="O480" s="373"/>
      <c r="P480" s="373"/>
      <c r="Q480" s="373"/>
      <c r="R480" s="373"/>
      <c r="S480" s="373"/>
      <c r="T480" s="373"/>
      <c r="U480" s="373"/>
      <c r="V480" s="373"/>
    </row>
    <row r="481" spans="7:22" x14ac:dyDescent="0.2">
      <c r="G481" s="39" t="s">
        <v>54</v>
      </c>
      <c r="H481" s="39" t="s">
        <v>802</v>
      </c>
      <c r="I481" s="39" t="s">
        <v>803</v>
      </c>
      <c r="J481" s="373"/>
      <c r="K481" s="373"/>
      <c r="L481" s="373"/>
      <c r="M481" s="373"/>
      <c r="N481" s="373"/>
      <c r="O481" s="373"/>
      <c r="P481" s="373"/>
      <c r="Q481" s="373"/>
      <c r="R481" s="373"/>
      <c r="S481" s="373"/>
      <c r="T481" s="373"/>
      <c r="U481" s="373"/>
      <c r="V481" s="373"/>
    </row>
    <row r="482" spans="7:22" x14ac:dyDescent="0.2">
      <c r="G482" s="39" t="s">
        <v>54</v>
      </c>
      <c r="H482" s="39" t="s">
        <v>808</v>
      </c>
      <c r="I482" s="39" t="s">
        <v>809</v>
      </c>
      <c r="J482" s="373"/>
      <c r="K482" s="373"/>
      <c r="L482" s="373"/>
      <c r="M482" s="373"/>
      <c r="N482" s="373"/>
      <c r="O482" s="373"/>
      <c r="P482" s="373"/>
      <c r="Q482" s="373"/>
      <c r="R482" s="373"/>
      <c r="S482" s="373"/>
      <c r="T482" s="373"/>
      <c r="U482" s="373"/>
      <c r="V482" s="373"/>
    </row>
    <row r="483" spans="7:22" x14ac:dyDescent="0.2">
      <c r="G483" s="39" t="s">
        <v>54</v>
      </c>
      <c r="H483" s="39" t="s">
        <v>814</v>
      </c>
      <c r="I483" s="39" t="s">
        <v>815</v>
      </c>
      <c r="J483" s="373"/>
      <c r="K483" s="373"/>
      <c r="L483" s="373"/>
      <c r="M483" s="373"/>
      <c r="N483" s="373"/>
      <c r="O483" s="373"/>
      <c r="P483" s="373"/>
      <c r="Q483" s="373"/>
      <c r="R483" s="373"/>
      <c r="S483" s="373"/>
      <c r="T483" s="373"/>
      <c r="U483" s="373"/>
      <c r="V483" s="373"/>
    </row>
    <row r="484" spans="7:22" x14ac:dyDescent="0.2">
      <c r="G484" s="39" t="s">
        <v>634</v>
      </c>
      <c r="H484" s="39" t="s">
        <v>764</v>
      </c>
      <c r="I484" s="39" t="s">
        <v>765</v>
      </c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</row>
    <row r="485" spans="7:22" x14ac:dyDescent="0.2">
      <c r="G485" s="39" t="s">
        <v>54</v>
      </c>
      <c r="H485" s="39" t="s">
        <v>767</v>
      </c>
      <c r="I485" s="39" t="s">
        <v>768</v>
      </c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</row>
    <row r="486" spans="7:22" x14ac:dyDescent="0.2">
      <c r="G486" s="39" t="s">
        <v>54</v>
      </c>
      <c r="H486" s="39" t="s">
        <v>771</v>
      </c>
      <c r="I486" s="39" t="s">
        <v>772</v>
      </c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</row>
    <row r="487" spans="7:22" x14ac:dyDescent="0.2">
      <c r="G487" s="39" t="s">
        <v>54</v>
      </c>
      <c r="H487" s="39" t="s">
        <v>774</v>
      </c>
      <c r="I487" s="39" t="s">
        <v>775</v>
      </c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</row>
    <row r="488" spans="7:22" x14ac:dyDescent="0.2">
      <c r="G488" s="39" t="s">
        <v>54</v>
      </c>
      <c r="H488" s="39" t="s">
        <v>777</v>
      </c>
      <c r="I488" s="39" t="s">
        <v>778</v>
      </c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</row>
    <row r="489" spans="7:22" x14ac:dyDescent="0.2">
      <c r="G489" s="39" t="s">
        <v>54</v>
      </c>
      <c r="H489" s="39" t="s">
        <v>780</v>
      </c>
      <c r="I489" s="39" t="s">
        <v>781</v>
      </c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</row>
    <row r="490" spans="7:22" x14ac:dyDescent="0.2">
      <c r="G490" s="39" t="s">
        <v>54</v>
      </c>
      <c r="H490" s="39" t="s">
        <v>783</v>
      </c>
      <c r="I490" s="39" t="s">
        <v>784</v>
      </c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</row>
    <row r="491" spans="7:22" x14ac:dyDescent="0.2">
      <c r="G491" s="39" t="s">
        <v>54</v>
      </c>
      <c r="H491" s="39" t="s">
        <v>920</v>
      </c>
      <c r="I491" s="39" t="s">
        <v>921</v>
      </c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</row>
    <row r="492" spans="7:22" x14ac:dyDescent="0.2">
      <c r="G492" s="39" t="s">
        <v>54</v>
      </c>
      <c r="H492" s="39" t="s">
        <v>786</v>
      </c>
      <c r="I492" s="39" t="s">
        <v>787</v>
      </c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</row>
    <row r="493" spans="7:22" x14ac:dyDescent="0.2">
      <c r="G493" s="39" t="s">
        <v>54</v>
      </c>
      <c r="H493" s="39" t="s">
        <v>789</v>
      </c>
      <c r="I493" s="39" t="s">
        <v>790</v>
      </c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</row>
    <row r="494" spans="7:22" x14ac:dyDescent="0.2">
      <c r="G494" s="39" t="s">
        <v>54</v>
      </c>
      <c r="H494" s="39" t="s">
        <v>793</v>
      </c>
      <c r="I494" s="39" t="s">
        <v>794</v>
      </c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</row>
    <row r="495" spans="7:22" x14ac:dyDescent="0.2">
      <c r="G495" s="39" t="s">
        <v>54</v>
      </c>
      <c r="H495" s="39" t="s">
        <v>796</v>
      </c>
      <c r="I495" s="39" t="s">
        <v>797</v>
      </c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</row>
    <row r="496" spans="7:22" x14ac:dyDescent="0.2">
      <c r="G496" s="39" t="s">
        <v>54</v>
      </c>
      <c r="H496" s="39" t="s">
        <v>799</v>
      </c>
      <c r="I496" s="39" t="s">
        <v>800</v>
      </c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</row>
    <row r="497" spans="7:22" x14ac:dyDescent="0.2">
      <c r="G497" s="39" t="s">
        <v>54</v>
      </c>
      <c r="H497" s="39" t="s">
        <v>923</v>
      </c>
      <c r="I497" s="39" t="s">
        <v>924</v>
      </c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</row>
    <row r="498" spans="7:22" x14ac:dyDescent="0.2">
      <c r="G498" s="39" t="s">
        <v>54</v>
      </c>
      <c r="H498" s="39" t="s">
        <v>925</v>
      </c>
      <c r="I498" s="39" t="s">
        <v>926</v>
      </c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</row>
    <row r="499" spans="7:22" x14ac:dyDescent="0.2">
      <c r="G499" s="39" t="s">
        <v>54</v>
      </c>
      <c r="H499" s="39" t="s">
        <v>802</v>
      </c>
      <c r="I499" s="39" t="s">
        <v>803</v>
      </c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</row>
    <row r="500" spans="7:22" x14ac:dyDescent="0.2">
      <c r="G500" s="39" t="s">
        <v>54</v>
      </c>
      <c r="H500" s="39" t="s">
        <v>808</v>
      </c>
      <c r="I500" s="39" t="s">
        <v>809</v>
      </c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</row>
    <row r="501" spans="7:22" x14ac:dyDescent="0.2">
      <c r="G501" s="39" t="s">
        <v>54</v>
      </c>
      <c r="H501" s="39" t="s">
        <v>814</v>
      </c>
      <c r="I501" s="39" t="s">
        <v>815</v>
      </c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</row>
    <row r="502" spans="7:22" x14ac:dyDescent="0.2">
      <c r="G502" s="39" t="s">
        <v>633</v>
      </c>
      <c r="H502" s="39" t="s">
        <v>764</v>
      </c>
      <c r="I502" s="39" t="s">
        <v>765</v>
      </c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</row>
    <row r="503" spans="7:22" x14ac:dyDescent="0.2">
      <c r="G503" s="39" t="s">
        <v>54</v>
      </c>
      <c r="H503" s="39" t="s">
        <v>767</v>
      </c>
      <c r="I503" s="39" t="s">
        <v>768</v>
      </c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</row>
    <row r="504" spans="7:22" x14ac:dyDescent="0.2">
      <c r="G504" s="39" t="s">
        <v>54</v>
      </c>
      <c r="H504" s="39" t="s">
        <v>771</v>
      </c>
      <c r="I504" s="39" t="s">
        <v>772</v>
      </c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</row>
    <row r="505" spans="7:22" x14ac:dyDescent="0.2">
      <c r="G505" s="39" t="s">
        <v>54</v>
      </c>
      <c r="H505" s="39" t="s">
        <v>774</v>
      </c>
      <c r="I505" s="39" t="s">
        <v>775</v>
      </c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</row>
    <row r="506" spans="7:22" x14ac:dyDescent="0.2">
      <c r="G506" s="39" t="s">
        <v>54</v>
      </c>
      <c r="H506" s="39" t="s">
        <v>777</v>
      </c>
      <c r="I506" s="39" t="s">
        <v>778</v>
      </c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</row>
    <row r="507" spans="7:22" x14ac:dyDescent="0.2">
      <c r="G507" s="39" t="s">
        <v>54</v>
      </c>
      <c r="H507" s="39" t="s">
        <v>780</v>
      </c>
      <c r="I507" s="39" t="s">
        <v>781</v>
      </c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</row>
    <row r="508" spans="7:22" x14ac:dyDescent="0.2">
      <c r="G508" s="39" t="s">
        <v>54</v>
      </c>
      <c r="H508" s="39" t="s">
        <v>783</v>
      </c>
      <c r="I508" s="39" t="s">
        <v>784</v>
      </c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</row>
    <row r="509" spans="7:22" x14ac:dyDescent="0.2">
      <c r="G509" s="39" t="s">
        <v>54</v>
      </c>
      <c r="H509" s="39" t="s">
        <v>920</v>
      </c>
      <c r="I509" s="39" t="s">
        <v>921</v>
      </c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</row>
    <row r="510" spans="7:22" x14ac:dyDescent="0.2">
      <c r="G510" s="39" t="s">
        <v>54</v>
      </c>
      <c r="H510" s="39" t="s">
        <v>786</v>
      </c>
      <c r="I510" s="39" t="s">
        <v>787</v>
      </c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</row>
    <row r="511" spans="7:22" x14ac:dyDescent="0.2">
      <c r="G511" s="39" t="s">
        <v>54</v>
      </c>
      <c r="H511" s="39" t="s">
        <v>789</v>
      </c>
      <c r="I511" s="39" t="s">
        <v>790</v>
      </c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</row>
    <row r="512" spans="7:22" x14ac:dyDescent="0.2">
      <c r="G512" s="39" t="s">
        <v>54</v>
      </c>
      <c r="H512" s="39" t="s">
        <v>793</v>
      </c>
      <c r="I512" s="39" t="s">
        <v>794</v>
      </c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</row>
    <row r="513" spans="7:22" x14ac:dyDescent="0.2">
      <c r="G513" s="39" t="s">
        <v>54</v>
      </c>
      <c r="H513" s="39" t="s">
        <v>796</v>
      </c>
      <c r="I513" s="39" t="s">
        <v>797</v>
      </c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</row>
    <row r="514" spans="7:22" x14ac:dyDescent="0.2">
      <c r="G514" s="39" t="s">
        <v>54</v>
      </c>
      <c r="H514" s="39" t="s">
        <v>799</v>
      </c>
      <c r="I514" s="39" t="s">
        <v>800</v>
      </c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</row>
    <row r="515" spans="7:22" x14ac:dyDescent="0.2">
      <c r="G515" s="39" t="s">
        <v>54</v>
      </c>
      <c r="H515" s="39" t="s">
        <v>923</v>
      </c>
      <c r="I515" s="39" t="s">
        <v>924</v>
      </c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</row>
    <row r="516" spans="7:22" x14ac:dyDescent="0.2">
      <c r="G516" s="39" t="s">
        <v>54</v>
      </c>
      <c r="H516" s="39" t="s">
        <v>925</v>
      </c>
      <c r="I516" s="39" t="s">
        <v>926</v>
      </c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</row>
    <row r="517" spans="7:22" x14ac:dyDescent="0.2">
      <c r="G517" s="39" t="s">
        <v>54</v>
      </c>
      <c r="H517" s="39" t="s">
        <v>802</v>
      </c>
      <c r="I517" s="39" t="s">
        <v>803</v>
      </c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</row>
    <row r="518" spans="7:22" x14ac:dyDescent="0.2">
      <c r="G518" s="39" t="s">
        <v>54</v>
      </c>
      <c r="H518" s="39" t="s">
        <v>808</v>
      </c>
      <c r="I518" s="39" t="s">
        <v>809</v>
      </c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</row>
    <row r="519" spans="7:22" x14ac:dyDescent="0.2">
      <c r="G519" s="39" t="s">
        <v>54</v>
      </c>
      <c r="H519" s="39" t="s">
        <v>814</v>
      </c>
      <c r="I519" s="39" t="s">
        <v>815</v>
      </c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</row>
    <row r="520" spans="7:22" x14ac:dyDescent="0.2">
      <c r="G520" s="39" t="s">
        <v>632</v>
      </c>
      <c r="H520" s="39" t="s">
        <v>764</v>
      </c>
      <c r="I520" s="39" t="s">
        <v>765</v>
      </c>
      <c r="J520" s="37">
        <v>50910</v>
      </c>
      <c r="K520" s="37">
        <v>44270</v>
      </c>
      <c r="L520" s="37">
        <v>50160</v>
      </c>
      <c r="M520" s="37">
        <v>50160</v>
      </c>
      <c r="N520" s="37">
        <v>47880</v>
      </c>
      <c r="O520" s="37">
        <v>50160</v>
      </c>
      <c r="P520" s="37">
        <v>52440</v>
      </c>
      <c r="Q520" s="37">
        <v>47880</v>
      </c>
      <c r="R520" s="37">
        <v>50160</v>
      </c>
      <c r="S520" s="37">
        <v>50160</v>
      </c>
      <c r="T520" s="37">
        <v>47880</v>
      </c>
      <c r="U520" s="37">
        <v>50160</v>
      </c>
      <c r="V520" s="37">
        <v>592220</v>
      </c>
    </row>
    <row r="521" spans="7:22" x14ac:dyDescent="0.2">
      <c r="G521" s="39" t="s">
        <v>54</v>
      </c>
      <c r="H521" s="39" t="s">
        <v>767</v>
      </c>
      <c r="I521" s="39" t="s">
        <v>768</v>
      </c>
      <c r="J521" s="37">
        <v>12591</v>
      </c>
      <c r="K521" s="37">
        <v>10951</v>
      </c>
      <c r="L521" s="37">
        <v>12414</v>
      </c>
      <c r="M521" s="37">
        <v>12420</v>
      </c>
      <c r="N521" s="37">
        <v>11958</v>
      </c>
      <c r="O521" s="37">
        <v>12652</v>
      </c>
      <c r="P521" s="37">
        <v>13234</v>
      </c>
      <c r="Q521" s="37">
        <v>11953</v>
      </c>
      <c r="R521" s="37">
        <v>12450</v>
      </c>
      <c r="S521" s="37">
        <v>12455</v>
      </c>
      <c r="T521" s="37">
        <v>11900</v>
      </c>
      <c r="U521" s="37">
        <v>13033</v>
      </c>
      <c r="V521" s="37">
        <v>148011</v>
      </c>
    </row>
    <row r="522" spans="7:22" x14ac:dyDescent="0.2">
      <c r="G522" s="39" t="s">
        <v>54</v>
      </c>
      <c r="H522" s="39" t="s">
        <v>771</v>
      </c>
      <c r="I522" s="39" t="s">
        <v>772</v>
      </c>
      <c r="J522" s="37">
        <v>11590</v>
      </c>
      <c r="K522" s="37">
        <v>4660</v>
      </c>
      <c r="L522" s="37">
        <v>4700</v>
      </c>
      <c r="M522" s="37">
        <v>4230</v>
      </c>
      <c r="N522" s="37">
        <v>4790</v>
      </c>
      <c r="O522" s="37">
        <v>2460</v>
      </c>
      <c r="P522" s="37">
        <v>2800</v>
      </c>
      <c r="Q522" s="37">
        <v>2850</v>
      </c>
      <c r="R522" s="37">
        <v>4350</v>
      </c>
      <c r="S522" s="37">
        <v>5040</v>
      </c>
      <c r="T522" s="37">
        <v>7670</v>
      </c>
      <c r="U522" s="37">
        <v>8140</v>
      </c>
      <c r="V522" s="37">
        <v>63280</v>
      </c>
    </row>
    <row r="523" spans="7:22" x14ac:dyDescent="0.2">
      <c r="G523" s="39" t="s">
        <v>54</v>
      </c>
      <c r="H523" s="39" t="s">
        <v>774</v>
      </c>
      <c r="I523" s="39" t="s">
        <v>775</v>
      </c>
      <c r="J523" s="37">
        <v>265</v>
      </c>
      <c r="K523" s="37">
        <v>71</v>
      </c>
      <c r="L523" s="37">
        <v>86</v>
      </c>
      <c r="M523" s="37">
        <v>123</v>
      </c>
      <c r="N523" s="37">
        <v>135</v>
      </c>
      <c r="O523" s="37">
        <v>108</v>
      </c>
      <c r="P523" s="37">
        <v>166</v>
      </c>
      <c r="Q523" s="37">
        <v>79</v>
      </c>
      <c r="R523" s="37">
        <v>119</v>
      </c>
      <c r="S523" s="37">
        <v>72</v>
      </c>
      <c r="T523" s="37">
        <v>182</v>
      </c>
      <c r="U523" s="37">
        <v>106</v>
      </c>
      <c r="V523" s="37">
        <v>1512</v>
      </c>
    </row>
    <row r="524" spans="7:22" x14ac:dyDescent="0.2">
      <c r="G524" s="39" t="s">
        <v>54</v>
      </c>
      <c r="H524" s="39" t="s">
        <v>777</v>
      </c>
      <c r="I524" s="39" t="s">
        <v>778</v>
      </c>
      <c r="J524" s="373"/>
      <c r="K524" s="373"/>
      <c r="L524" s="373"/>
      <c r="M524" s="373"/>
      <c r="N524" s="373"/>
      <c r="O524" s="373"/>
      <c r="P524" s="373"/>
      <c r="Q524" s="373"/>
      <c r="R524" s="373"/>
      <c r="S524" s="373"/>
      <c r="T524" s="373"/>
      <c r="U524" s="373"/>
      <c r="V524" s="374">
        <v>0</v>
      </c>
    </row>
    <row r="525" spans="7:22" x14ac:dyDescent="0.2">
      <c r="G525" s="39" t="s">
        <v>54</v>
      </c>
      <c r="H525" s="39" t="s">
        <v>780</v>
      </c>
      <c r="I525" s="39" t="s">
        <v>781</v>
      </c>
      <c r="J525" s="373"/>
      <c r="K525" s="373"/>
      <c r="L525" s="373"/>
      <c r="M525" s="373"/>
      <c r="N525" s="373"/>
      <c r="O525" s="373"/>
      <c r="P525" s="373"/>
      <c r="Q525" s="373"/>
      <c r="R525" s="373"/>
      <c r="S525" s="373"/>
      <c r="T525" s="373"/>
      <c r="U525" s="373"/>
      <c r="V525" s="374">
        <v>0</v>
      </c>
    </row>
    <row r="526" spans="7:22" x14ac:dyDescent="0.2">
      <c r="G526" s="39" t="s">
        <v>54</v>
      </c>
      <c r="H526" s="39" t="s">
        <v>783</v>
      </c>
      <c r="I526" s="39" t="s">
        <v>784</v>
      </c>
      <c r="J526" s="373"/>
      <c r="K526" s="373"/>
      <c r="L526" s="373"/>
      <c r="M526" s="373"/>
      <c r="N526" s="373"/>
      <c r="O526" s="373"/>
      <c r="P526" s="373"/>
      <c r="Q526" s="373"/>
      <c r="R526" s="373"/>
      <c r="S526" s="373"/>
      <c r="T526" s="373"/>
      <c r="U526" s="373"/>
      <c r="V526" s="374">
        <v>0</v>
      </c>
    </row>
    <row r="527" spans="7:22" x14ac:dyDescent="0.2">
      <c r="G527" s="39" t="s">
        <v>54</v>
      </c>
      <c r="H527" s="39" t="s">
        <v>920</v>
      </c>
      <c r="I527" s="39" t="s">
        <v>921</v>
      </c>
      <c r="J527" s="373"/>
      <c r="K527" s="373"/>
      <c r="L527" s="373"/>
      <c r="M527" s="373"/>
      <c r="N527" s="373"/>
      <c r="O527" s="373"/>
      <c r="P527" s="373"/>
      <c r="Q527" s="373"/>
      <c r="R527" s="373"/>
      <c r="S527" s="373"/>
      <c r="T527" s="373"/>
      <c r="U527" s="373"/>
      <c r="V527" s="374">
        <v>0</v>
      </c>
    </row>
    <row r="528" spans="7:22" x14ac:dyDescent="0.2">
      <c r="G528" s="39" t="s">
        <v>54</v>
      </c>
      <c r="H528" s="39" t="s">
        <v>786</v>
      </c>
      <c r="I528" s="39" t="s">
        <v>787</v>
      </c>
      <c r="J528" s="37">
        <v>274</v>
      </c>
      <c r="K528" s="37">
        <v>274</v>
      </c>
      <c r="L528" s="37">
        <v>274</v>
      </c>
      <c r="M528" s="37">
        <v>274</v>
      </c>
      <c r="N528" s="37">
        <v>274</v>
      </c>
      <c r="O528" s="37">
        <v>274</v>
      </c>
      <c r="P528" s="37">
        <v>274</v>
      </c>
      <c r="Q528" s="37">
        <v>274</v>
      </c>
      <c r="R528" s="37">
        <v>274</v>
      </c>
      <c r="S528" s="37">
        <v>274</v>
      </c>
      <c r="T528" s="37">
        <v>274</v>
      </c>
      <c r="U528" s="37">
        <v>274</v>
      </c>
      <c r="V528" s="37">
        <v>3288</v>
      </c>
    </row>
    <row r="529" spans="7:22" x14ac:dyDescent="0.2">
      <c r="G529" s="39" t="s">
        <v>54</v>
      </c>
      <c r="H529" s="39" t="s">
        <v>789</v>
      </c>
      <c r="I529" s="39" t="s">
        <v>790</v>
      </c>
      <c r="J529" s="37">
        <v>3480</v>
      </c>
      <c r="K529" s="37">
        <v>3480</v>
      </c>
      <c r="L529" s="37">
        <v>3480</v>
      </c>
      <c r="M529" s="37">
        <v>3480</v>
      </c>
      <c r="N529" s="37">
        <v>3480</v>
      </c>
      <c r="O529" s="37">
        <v>3480</v>
      </c>
      <c r="P529" s="37">
        <v>3480</v>
      </c>
      <c r="Q529" s="37">
        <v>3480</v>
      </c>
      <c r="R529" s="37">
        <v>3480</v>
      </c>
      <c r="S529" s="37">
        <v>3480</v>
      </c>
      <c r="T529" s="37">
        <v>3480</v>
      </c>
      <c r="U529" s="37">
        <v>3480</v>
      </c>
      <c r="V529" s="37">
        <v>41760</v>
      </c>
    </row>
    <row r="530" spans="7:22" x14ac:dyDescent="0.2">
      <c r="G530" s="39" t="s">
        <v>54</v>
      </c>
      <c r="H530" s="39" t="s">
        <v>793</v>
      </c>
      <c r="I530" s="39" t="s">
        <v>794</v>
      </c>
      <c r="J530" s="37">
        <v>2507</v>
      </c>
      <c r="K530" s="37">
        <v>2507</v>
      </c>
      <c r="L530" s="37">
        <v>2507</v>
      </c>
      <c r="M530" s="37">
        <v>2507</v>
      </c>
      <c r="N530" s="37">
        <v>2507</v>
      </c>
      <c r="O530" s="37">
        <v>2507</v>
      </c>
      <c r="P530" s="37">
        <v>2507</v>
      </c>
      <c r="Q530" s="37">
        <v>2507</v>
      </c>
      <c r="R530" s="37">
        <v>2507</v>
      </c>
      <c r="S530" s="37">
        <v>2507</v>
      </c>
      <c r="T530" s="37">
        <v>2507</v>
      </c>
      <c r="U530" s="37">
        <v>2507</v>
      </c>
      <c r="V530" s="37">
        <v>30084</v>
      </c>
    </row>
    <row r="531" spans="7:22" x14ac:dyDescent="0.2">
      <c r="G531" s="39" t="s">
        <v>54</v>
      </c>
      <c r="H531" s="39" t="s">
        <v>796</v>
      </c>
      <c r="I531" s="39" t="s">
        <v>797</v>
      </c>
      <c r="J531" s="37">
        <v>1686</v>
      </c>
      <c r="K531" s="37">
        <v>1460</v>
      </c>
      <c r="L531" s="37">
        <v>1666</v>
      </c>
      <c r="M531" s="37">
        <v>1672</v>
      </c>
      <c r="N531" s="37">
        <v>1594</v>
      </c>
      <c r="O531" s="37">
        <v>1672</v>
      </c>
      <c r="P531" s="37">
        <v>1749</v>
      </c>
      <c r="Q531" s="37">
        <v>1594</v>
      </c>
      <c r="R531" s="37">
        <v>1672</v>
      </c>
      <c r="S531" s="37">
        <v>1672</v>
      </c>
      <c r="T531" s="37">
        <v>1594</v>
      </c>
      <c r="U531" s="37">
        <v>1749</v>
      </c>
      <c r="V531" s="37">
        <v>19780</v>
      </c>
    </row>
    <row r="532" spans="7:22" x14ac:dyDescent="0.2">
      <c r="G532" s="39" t="s">
        <v>54</v>
      </c>
      <c r="H532" s="39" t="s">
        <v>799</v>
      </c>
      <c r="I532" s="39" t="s">
        <v>800</v>
      </c>
      <c r="J532" s="37">
        <v>61</v>
      </c>
      <c r="K532" s="37">
        <v>35</v>
      </c>
      <c r="L532" s="37">
        <v>61</v>
      </c>
      <c r="M532" s="37">
        <v>104</v>
      </c>
      <c r="N532" s="37">
        <v>90</v>
      </c>
      <c r="O532" s="37">
        <v>74</v>
      </c>
      <c r="P532" s="37">
        <v>53</v>
      </c>
      <c r="Q532" s="37">
        <v>56</v>
      </c>
      <c r="R532" s="37">
        <v>58</v>
      </c>
      <c r="S532" s="37">
        <v>66</v>
      </c>
      <c r="T532" s="37">
        <v>63</v>
      </c>
      <c r="U532" s="37">
        <v>39</v>
      </c>
      <c r="V532" s="37">
        <v>760</v>
      </c>
    </row>
    <row r="533" spans="7:22" x14ac:dyDescent="0.2">
      <c r="G533" s="39" t="s">
        <v>54</v>
      </c>
      <c r="H533" s="39" t="s">
        <v>923</v>
      </c>
      <c r="I533" s="39" t="s">
        <v>924</v>
      </c>
      <c r="J533" s="373"/>
      <c r="K533" s="37">
        <v>1</v>
      </c>
      <c r="L533" s="37">
        <v>1</v>
      </c>
      <c r="M533" s="37">
        <v>2</v>
      </c>
      <c r="N533" s="37">
        <v>5</v>
      </c>
      <c r="O533" s="37">
        <v>6</v>
      </c>
      <c r="P533" s="37">
        <v>12</v>
      </c>
      <c r="Q533" s="37">
        <v>14</v>
      </c>
      <c r="R533" s="37">
        <v>14</v>
      </c>
      <c r="S533" s="37">
        <v>16</v>
      </c>
      <c r="T533" s="37">
        <v>28</v>
      </c>
      <c r="U533" s="37">
        <v>28</v>
      </c>
      <c r="V533" s="37">
        <v>127</v>
      </c>
    </row>
    <row r="534" spans="7:22" x14ac:dyDescent="0.2">
      <c r="G534" s="39" t="s">
        <v>54</v>
      </c>
      <c r="H534" s="39" t="s">
        <v>925</v>
      </c>
      <c r="I534" s="39" t="s">
        <v>926</v>
      </c>
      <c r="J534" s="373"/>
      <c r="K534" s="373"/>
      <c r="L534" s="373"/>
      <c r="M534" s="373"/>
      <c r="N534" s="373"/>
      <c r="O534" s="373"/>
      <c r="P534" s="373"/>
      <c r="Q534" s="373"/>
      <c r="R534" s="373"/>
      <c r="S534" s="373"/>
      <c r="T534" s="373"/>
      <c r="U534" s="373"/>
      <c r="V534" s="374">
        <v>0</v>
      </c>
    </row>
    <row r="535" spans="7:22" x14ac:dyDescent="0.2">
      <c r="G535" s="39" t="s">
        <v>54</v>
      </c>
      <c r="H535" s="39" t="s">
        <v>802</v>
      </c>
      <c r="I535" s="39" t="s">
        <v>803</v>
      </c>
      <c r="J535" s="373"/>
      <c r="K535" s="373"/>
      <c r="L535" s="373"/>
      <c r="M535" s="373"/>
      <c r="N535" s="373"/>
      <c r="O535" s="373"/>
      <c r="P535" s="373"/>
      <c r="Q535" s="373"/>
      <c r="R535" s="373"/>
      <c r="S535" s="373"/>
      <c r="T535" s="373"/>
      <c r="U535" s="373"/>
      <c r="V535" s="374">
        <v>0</v>
      </c>
    </row>
    <row r="536" spans="7:22" x14ac:dyDescent="0.2">
      <c r="G536" s="39" t="s">
        <v>54</v>
      </c>
      <c r="H536" s="39" t="s">
        <v>808</v>
      </c>
      <c r="I536" s="39" t="s">
        <v>809</v>
      </c>
      <c r="J536" s="373"/>
      <c r="K536" s="373"/>
      <c r="L536" s="373"/>
      <c r="M536" s="373"/>
      <c r="N536" s="373"/>
      <c r="O536" s="373"/>
      <c r="P536" s="373"/>
      <c r="Q536" s="373"/>
      <c r="R536" s="373"/>
      <c r="S536" s="373"/>
      <c r="T536" s="373"/>
      <c r="U536" s="373"/>
      <c r="V536" s="374">
        <v>0</v>
      </c>
    </row>
    <row r="537" spans="7:22" x14ac:dyDescent="0.2">
      <c r="G537" s="39" t="s">
        <v>54</v>
      </c>
      <c r="H537" s="39" t="s">
        <v>814</v>
      </c>
      <c r="I537" s="39" t="s">
        <v>815</v>
      </c>
      <c r="J537" s="37">
        <v>147</v>
      </c>
      <c r="K537" s="37">
        <v>147</v>
      </c>
      <c r="L537" s="37">
        <v>147</v>
      </c>
      <c r="M537" s="37">
        <v>147</v>
      </c>
      <c r="N537" s="37">
        <v>147</v>
      </c>
      <c r="O537" s="37">
        <v>147</v>
      </c>
      <c r="P537" s="37">
        <v>147</v>
      </c>
      <c r="Q537" s="37">
        <v>147</v>
      </c>
      <c r="R537" s="37">
        <v>147</v>
      </c>
      <c r="S537" s="37">
        <v>147</v>
      </c>
      <c r="T537" s="37">
        <v>147</v>
      </c>
      <c r="U537" s="37">
        <v>147</v>
      </c>
      <c r="V537" s="37">
        <v>1764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9"/>
  <sheetViews>
    <sheetView showGridLines="0" zoomScale="120" zoomScaleNormal="120" workbookViewId="0">
      <selection activeCell="D7" sqref="D7"/>
    </sheetView>
  </sheetViews>
  <sheetFormatPr defaultRowHeight="15" x14ac:dyDescent="0.25"/>
  <cols>
    <col min="1" max="1" width="27.85546875" bestFit="1" customWidth="1"/>
    <col min="2" max="2" width="13.28515625" style="49" bestFit="1" customWidth="1"/>
    <col min="3" max="3" width="10" bestFit="1" customWidth="1"/>
    <col min="4" max="4" width="11.85546875" bestFit="1" customWidth="1"/>
    <col min="5" max="5" width="12.140625" bestFit="1" customWidth="1"/>
    <col min="6" max="6" width="11.28515625" bestFit="1" customWidth="1"/>
    <col min="7" max="7" width="12.7109375" bestFit="1" customWidth="1"/>
    <col min="8" max="9" width="11.28515625" bestFit="1" customWidth="1"/>
    <col min="10" max="10" width="10" bestFit="1" customWidth="1"/>
    <col min="11" max="11" width="11.85546875" bestFit="1" customWidth="1"/>
    <col min="12" max="12" width="12.140625" bestFit="1" customWidth="1"/>
    <col min="13" max="13" width="11.28515625" bestFit="1" customWidth="1"/>
    <col min="14" max="14" width="12.7109375" bestFit="1" customWidth="1"/>
  </cols>
  <sheetData>
    <row r="1" spans="1:14" x14ac:dyDescent="0.25">
      <c r="A1" t="s">
        <v>629</v>
      </c>
    </row>
    <row r="3" spans="1:14" x14ac:dyDescent="0.25">
      <c r="A3" t="s">
        <v>187</v>
      </c>
    </row>
    <row r="4" spans="1:14" ht="56.25" x14ac:dyDescent="0.25">
      <c r="A4" s="42" t="s">
        <v>54</v>
      </c>
      <c r="B4" s="77" t="s">
        <v>484</v>
      </c>
      <c r="C4" s="40" t="s">
        <v>485</v>
      </c>
      <c r="D4" s="40" t="s">
        <v>486</v>
      </c>
      <c r="E4" s="40" t="s">
        <v>487</v>
      </c>
      <c r="F4" s="40" t="s">
        <v>488</v>
      </c>
      <c r="G4" s="40" t="s">
        <v>489</v>
      </c>
      <c r="H4" s="40" t="s">
        <v>490</v>
      </c>
      <c r="I4" s="40" t="s">
        <v>491</v>
      </c>
      <c r="J4" s="40" t="s">
        <v>492</v>
      </c>
      <c r="K4" s="40" t="s">
        <v>493</v>
      </c>
      <c r="L4" s="40" t="s">
        <v>494</v>
      </c>
      <c r="M4" s="40" t="s">
        <v>495</v>
      </c>
      <c r="N4" s="40" t="s">
        <v>496</v>
      </c>
    </row>
    <row r="5" spans="1:14" x14ac:dyDescent="0.25">
      <c r="A5" s="39" t="s">
        <v>35</v>
      </c>
      <c r="B5" s="78">
        <v>718682.68</v>
      </c>
      <c r="C5" s="14">
        <v>60573</v>
      </c>
      <c r="D5" s="14">
        <v>-658109.68000000005</v>
      </c>
      <c r="E5" s="14">
        <v>718682.68</v>
      </c>
      <c r="F5" s="14">
        <v>60573</v>
      </c>
      <c r="G5" s="14">
        <v>-658109.68000000005</v>
      </c>
      <c r="H5" s="14">
        <v>706052</v>
      </c>
      <c r="I5" s="14">
        <v>718682.68</v>
      </c>
      <c r="J5" s="14">
        <v>45521.32</v>
      </c>
      <c r="K5" s="14">
        <v>-673161.36</v>
      </c>
      <c r="L5" s="14">
        <v>718682.68</v>
      </c>
      <c r="M5" s="14">
        <v>45521.32</v>
      </c>
      <c r="N5" s="14">
        <v>-673161.36</v>
      </c>
    </row>
    <row r="6" spans="1:14" x14ac:dyDescent="0.25">
      <c r="A6" s="39" t="s">
        <v>34</v>
      </c>
      <c r="B6" s="78">
        <v>33622.39</v>
      </c>
      <c r="C6" s="14">
        <v>12461</v>
      </c>
      <c r="D6" s="14">
        <v>-21161.39</v>
      </c>
      <c r="E6" s="14">
        <v>33622.39</v>
      </c>
      <c r="F6" s="14">
        <v>12461</v>
      </c>
      <c r="G6" s="14">
        <v>-21161.39</v>
      </c>
      <c r="H6" s="14">
        <v>64482</v>
      </c>
      <c r="I6" s="14">
        <v>33622.39</v>
      </c>
      <c r="J6" s="14">
        <v>10294.16</v>
      </c>
      <c r="K6" s="14">
        <v>-23328.23</v>
      </c>
      <c r="L6" s="14">
        <v>33622.39</v>
      </c>
      <c r="M6" s="14">
        <v>10294.16</v>
      </c>
      <c r="N6" s="14">
        <v>-23328.23</v>
      </c>
    </row>
    <row r="7" spans="1:14" x14ac:dyDescent="0.25">
      <c r="A7" s="39" t="s">
        <v>33</v>
      </c>
      <c r="B7" s="78">
        <v>1129.18</v>
      </c>
      <c r="C7" s="14">
        <v>1207</v>
      </c>
      <c r="D7" s="14">
        <v>77.819999999999993</v>
      </c>
      <c r="E7" s="14">
        <v>1129.18</v>
      </c>
      <c r="F7" s="14">
        <v>1207</v>
      </c>
      <c r="G7" s="14">
        <v>77.819999999999993</v>
      </c>
      <c r="H7" s="14">
        <v>16041</v>
      </c>
      <c r="I7" s="14">
        <v>1129.18</v>
      </c>
      <c r="J7" s="79"/>
      <c r="K7" s="14">
        <v>-1129.18</v>
      </c>
      <c r="L7" s="14">
        <v>1129.18</v>
      </c>
      <c r="M7" s="79"/>
      <c r="N7" s="14">
        <v>-1129.18</v>
      </c>
    </row>
    <row r="8" spans="1:14" x14ac:dyDescent="0.25">
      <c r="A8" s="39" t="s">
        <v>32</v>
      </c>
      <c r="B8" s="78">
        <v>101.36</v>
      </c>
      <c r="C8" s="14">
        <v>4</v>
      </c>
      <c r="D8" s="14">
        <v>-97.36</v>
      </c>
      <c r="E8" s="14">
        <v>101.36</v>
      </c>
      <c r="F8" s="14">
        <v>4</v>
      </c>
      <c r="G8" s="14">
        <v>-97.36</v>
      </c>
      <c r="H8" s="14">
        <v>340</v>
      </c>
      <c r="I8" s="14">
        <v>101.36</v>
      </c>
      <c r="J8" s="79"/>
      <c r="K8" s="14">
        <v>-101.36</v>
      </c>
      <c r="L8" s="14">
        <v>101.36</v>
      </c>
      <c r="M8" s="79"/>
      <c r="N8" s="14">
        <v>-101.36</v>
      </c>
    </row>
    <row r="9" spans="1:14" x14ac:dyDescent="0.25">
      <c r="A9" s="39" t="s">
        <v>40</v>
      </c>
      <c r="B9" s="78">
        <v>6122.34</v>
      </c>
      <c r="C9" s="14">
        <v>6651</v>
      </c>
      <c r="D9" s="14">
        <v>528.66</v>
      </c>
      <c r="E9" s="14">
        <v>6122.34</v>
      </c>
      <c r="F9" s="14">
        <v>6651</v>
      </c>
      <c r="G9" s="14">
        <v>528.66</v>
      </c>
      <c r="H9" s="14">
        <v>78686</v>
      </c>
      <c r="I9" s="14">
        <v>6122.34</v>
      </c>
      <c r="J9" s="14">
        <v>4265</v>
      </c>
      <c r="K9" s="14">
        <v>-1857.34</v>
      </c>
      <c r="L9" s="14">
        <v>6122.34</v>
      </c>
      <c r="M9" s="14">
        <v>4265</v>
      </c>
      <c r="N9" s="14">
        <v>-1857.34</v>
      </c>
    </row>
    <row r="10" spans="1:14" x14ac:dyDescent="0.25">
      <c r="A10" s="39" t="s">
        <v>39</v>
      </c>
      <c r="B10" s="78">
        <v>212078.71</v>
      </c>
      <c r="C10" s="14">
        <v>21890</v>
      </c>
      <c r="D10" s="14">
        <v>-190188.71</v>
      </c>
      <c r="E10" s="14">
        <v>212078.71</v>
      </c>
      <c r="F10" s="14">
        <v>21890</v>
      </c>
      <c r="G10" s="14">
        <v>-190188.71</v>
      </c>
      <c r="H10" s="14">
        <v>261942</v>
      </c>
      <c r="I10" s="14">
        <v>212078.71</v>
      </c>
      <c r="J10" s="14">
        <v>16551.12</v>
      </c>
      <c r="K10" s="14">
        <v>-195527.59</v>
      </c>
      <c r="L10" s="14">
        <v>212078.71</v>
      </c>
      <c r="M10" s="14">
        <v>16551.12</v>
      </c>
      <c r="N10" s="14">
        <v>-195527.59</v>
      </c>
    </row>
    <row r="11" spans="1:14" x14ac:dyDescent="0.25">
      <c r="A11" s="39" t="s">
        <v>38</v>
      </c>
      <c r="B11" s="78">
        <v>70023.02</v>
      </c>
      <c r="C11" s="14">
        <v>7163</v>
      </c>
      <c r="D11" s="14">
        <v>-62860.02</v>
      </c>
      <c r="E11" s="14">
        <v>70023.02</v>
      </c>
      <c r="F11" s="14">
        <v>7163</v>
      </c>
      <c r="G11" s="14">
        <v>-62860.02</v>
      </c>
      <c r="H11" s="14">
        <v>69768</v>
      </c>
      <c r="I11" s="14">
        <v>70023.02</v>
      </c>
      <c r="J11" s="14">
        <v>4349.7</v>
      </c>
      <c r="K11" s="14">
        <v>-65673.320000000007</v>
      </c>
      <c r="L11" s="14">
        <v>70023.02</v>
      </c>
      <c r="M11" s="14">
        <v>4349.7</v>
      </c>
      <c r="N11" s="14">
        <v>-65673.320000000007</v>
      </c>
    </row>
    <row r="12" spans="1:14" x14ac:dyDescent="0.25">
      <c r="A12" s="39" t="s">
        <v>37</v>
      </c>
      <c r="B12" s="78">
        <v>-410.22</v>
      </c>
      <c r="C12" s="14">
        <v>-3488</v>
      </c>
      <c r="D12" s="14">
        <v>-3077.78</v>
      </c>
      <c r="E12" s="14">
        <v>-410.22</v>
      </c>
      <c r="F12" s="14">
        <v>-3488</v>
      </c>
      <c r="G12" s="14">
        <v>-3077.78</v>
      </c>
      <c r="H12" s="14">
        <v>-36412</v>
      </c>
      <c r="I12" s="14">
        <v>-410.22</v>
      </c>
      <c r="J12" s="14">
        <v>-3547.13</v>
      </c>
      <c r="K12" s="14">
        <v>-3136.91</v>
      </c>
      <c r="L12" s="14">
        <v>-410.22</v>
      </c>
      <c r="M12" s="14">
        <v>-3547.13</v>
      </c>
      <c r="N12" s="14">
        <v>-3136.91</v>
      </c>
    </row>
    <row r="13" spans="1:14" x14ac:dyDescent="0.25">
      <c r="A13" s="39" t="s">
        <v>36</v>
      </c>
      <c r="B13" s="80">
        <v>1041349.46</v>
      </c>
      <c r="C13" s="37">
        <v>106461</v>
      </c>
      <c r="D13" s="37">
        <v>-934888.46</v>
      </c>
      <c r="E13" s="37">
        <v>1041349.46</v>
      </c>
      <c r="F13" s="37">
        <v>106461</v>
      </c>
      <c r="G13" s="37">
        <v>-934888.46</v>
      </c>
      <c r="H13" s="37">
        <v>1160899</v>
      </c>
      <c r="I13" s="37">
        <v>1041349.46</v>
      </c>
      <c r="J13" s="37">
        <v>77434.17</v>
      </c>
      <c r="K13" s="37">
        <v>-963915.29</v>
      </c>
      <c r="L13" s="37">
        <v>1041349.46</v>
      </c>
      <c r="M13" s="37">
        <v>77434.17</v>
      </c>
      <c r="N13" s="37">
        <v>-963915.29</v>
      </c>
    </row>
    <row r="15" spans="1:14" ht="56.25" x14ac:dyDescent="0.25">
      <c r="A15" s="42" t="s">
        <v>54</v>
      </c>
      <c r="B15" s="77" t="s">
        <v>497</v>
      </c>
      <c r="C15" s="40" t="s">
        <v>498</v>
      </c>
      <c r="D15" s="40" t="s">
        <v>499</v>
      </c>
      <c r="E15" s="40" t="s">
        <v>500</v>
      </c>
      <c r="F15" s="40" t="s">
        <v>501</v>
      </c>
      <c r="G15" s="40" t="s">
        <v>502</v>
      </c>
      <c r="H15" s="40" t="s">
        <v>490</v>
      </c>
      <c r="I15" s="40" t="s">
        <v>503</v>
      </c>
      <c r="J15" s="40" t="s">
        <v>504</v>
      </c>
      <c r="K15" s="40" t="s">
        <v>505</v>
      </c>
      <c r="L15" s="40" t="s">
        <v>506</v>
      </c>
      <c r="M15" s="40" t="s">
        <v>507</v>
      </c>
      <c r="N15" s="40" t="s">
        <v>508</v>
      </c>
    </row>
    <row r="16" spans="1:14" x14ac:dyDescent="0.25">
      <c r="A16" s="39" t="s">
        <v>35</v>
      </c>
      <c r="B16" s="78">
        <v>695868.76</v>
      </c>
      <c r="C16" s="14">
        <v>52739</v>
      </c>
      <c r="D16" s="14">
        <v>-643129.76</v>
      </c>
      <c r="E16" s="14">
        <v>1414551.44</v>
      </c>
      <c r="F16" s="14">
        <v>113312</v>
      </c>
      <c r="G16" s="14">
        <v>-1301239.44</v>
      </c>
      <c r="H16" s="14">
        <v>706052</v>
      </c>
      <c r="I16" s="14">
        <v>695868.76</v>
      </c>
      <c r="J16" s="14">
        <v>41128.239999999998</v>
      </c>
      <c r="K16" s="14">
        <v>-654740.52</v>
      </c>
      <c r="L16" s="14">
        <v>1414551.44</v>
      </c>
      <c r="M16" s="14">
        <v>86649.56</v>
      </c>
      <c r="N16" s="14">
        <v>-1327901.8799999999</v>
      </c>
    </row>
    <row r="17" spans="1:14" x14ac:dyDescent="0.25">
      <c r="A17" s="39" t="s">
        <v>34</v>
      </c>
      <c r="B17" s="78">
        <v>4899.8900000000003</v>
      </c>
      <c r="C17" s="14">
        <v>6174</v>
      </c>
      <c r="D17" s="14">
        <v>1274.1099999999999</v>
      </c>
      <c r="E17" s="14">
        <v>38522.28</v>
      </c>
      <c r="F17" s="14">
        <v>18635</v>
      </c>
      <c r="G17" s="14">
        <v>-19887.28</v>
      </c>
      <c r="H17" s="14">
        <v>64482</v>
      </c>
      <c r="I17" s="14">
        <v>4899.8900000000003</v>
      </c>
      <c r="J17" s="14">
        <v>5152.6400000000003</v>
      </c>
      <c r="K17" s="14">
        <v>252.75</v>
      </c>
      <c r="L17" s="14">
        <v>38522.28</v>
      </c>
      <c r="M17" s="14">
        <v>15446.8</v>
      </c>
      <c r="N17" s="14">
        <v>-23075.48</v>
      </c>
    </row>
    <row r="18" spans="1:14" x14ac:dyDescent="0.25">
      <c r="A18" s="39" t="s">
        <v>33</v>
      </c>
      <c r="B18" s="78">
        <v>989.79</v>
      </c>
      <c r="C18" s="14">
        <v>1050</v>
      </c>
      <c r="D18" s="14">
        <v>60.21</v>
      </c>
      <c r="E18" s="14">
        <v>2118.9699999999998</v>
      </c>
      <c r="F18" s="14">
        <v>2257</v>
      </c>
      <c r="G18" s="14">
        <v>138.03</v>
      </c>
      <c r="H18" s="14">
        <v>16041</v>
      </c>
      <c r="I18" s="14">
        <v>989.79</v>
      </c>
      <c r="J18" s="79"/>
      <c r="K18" s="14">
        <v>-989.79</v>
      </c>
      <c r="L18" s="14">
        <v>2118.9699999999998</v>
      </c>
      <c r="M18" s="79"/>
      <c r="N18" s="14">
        <v>-2118.9699999999998</v>
      </c>
    </row>
    <row r="19" spans="1:14" x14ac:dyDescent="0.25">
      <c r="A19" s="39" t="s">
        <v>32</v>
      </c>
      <c r="B19" s="78">
        <v>61.09</v>
      </c>
      <c r="C19" s="14">
        <v>4</v>
      </c>
      <c r="D19" s="14">
        <v>-57.09</v>
      </c>
      <c r="E19" s="14">
        <v>162.44999999999999</v>
      </c>
      <c r="F19" s="14">
        <v>8</v>
      </c>
      <c r="G19" s="14">
        <v>-154.44999999999999</v>
      </c>
      <c r="H19" s="14">
        <v>340</v>
      </c>
      <c r="I19" s="14">
        <v>61.09</v>
      </c>
      <c r="J19" s="79"/>
      <c r="K19" s="14">
        <v>-61.09</v>
      </c>
      <c r="L19" s="14">
        <v>162.44999999999999</v>
      </c>
      <c r="M19" s="79"/>
      <c r="N19" s="14">
        <v>-162.44999999999999</v>
      </c>
    </row>
    <row r="20" spans="1:14" x14ac:dyDescent="0.25">
      <c r="A20" s="39" t="s">
        <v>40</v>
      </c>
      <c r="B20" s="78">
        <v>6154.16</v>
      </c>
      <c r="C20" s="14">
        <v>5881</v>
      </c>
      <c r="D20" s="14">
        <v>-273.16000000000003</v>
      </c>
      <c r="E20" s="14">
        <v>12276.5</v>
      </c>
      <c r="F20" s="14">
        <v>12532</v>
      </c>
      <c r="G20" s="14">
        <v>255.5</v>
      </c>
      <c r="H20" s="14">
        <v>78686</v>
      </c>
      <c r="I20" s="14">
        <v>6154.16</v>
      </c>
      <c r="J20" s="14">
        <v>4265</v>
      </c>
      <c r="K20" s="14">
        <v>-1889.16</v>
      </c>
      <c r="L20" s="14">
        <v>12276.5</v>
      </c>
      <c r="M20" s="14">
        <v>8530</v>
      </c>
      <c r="N20" s="14">
        <v>-3746.5</v>
      </c>
    </row>
    <row r="21" spans="1:14" x14ac:dyDescent="0.25">
      <c r="A21" s="39" t="s">
        <v>39</v>
      </c>
      <c r="B21" s="78">
        <v>229183.72</v>
      </c>
      <c r="C21" s="14">
        <v>21060</v>
      </c>
      <c r="D21" s="14">
        <v>-208123.72</v>
      </c>
      <c r="E21" s="14">
        <v>441262.43</v>
      </c>
      <c r="F21" s="14">
        <v>42950</v>
      </c>
      <c r="G21" s="14">
        <v>-398312.43</v>
      </c>
      <c r="H21" s="14">
        <v>261942</v>
      </c>
      <c r="I21" s="14">
        <v>229183.72</v>
      </c>
      <c r="J21" s="14">
        <v>17273.68</v>
      </c>
      <c r="K21" s="14">
        <v>-211910.04</v>
      </c>
      <c r="L21" s="14">
        <v>441262.43</v>
      </c>
      <c r="M21" s="14">
        <v>33824.800000000003</v>
      </c>
      <c r="N21" s="14">
        <v>-407437.63</v>
      </c>
    </row>
    <row r="22" spans="1:14" x14ac:dyDescent="0.25">
      <c r="A22" s="39" t="s">
        <v>38</v>
      </c>
      <c r="B22" s="78">
        <v>61957.39</v>
      </c>
      <c r="C22" s="14">
        <v>9435</v>
      </c>
      <c r="D22" s="14">
        <v>-52522.39</v>
      </c>
      <c r="E22" s="14">
        <v>131980.41</v>
      </c>
      <c r="F22" s="14">
        <v>16598</v>
      </c>
      <c r="G22" s="14">
        <v>-115382.41</v>
      </c>
      <c r="H22" s="14">
        <v>69768</v>
      </c>
      <c r="I22" s="14">
        <v>61957.39</v>
      </c>
      <c r="J22" s="14">
        <v>6147.2</v>
      </c>
      <c r="K22" s="14">
        <v>-55810.19</v>
      </c>
      <c r="L22" s="14">
        <v>131980.41</v>
      </c>
      <c r="M22" s="14">
        <v>10496.9</v>
      </c>
      <c r="N22" s="14">
        <v>-121483.51</v>
      </c>
    </row>
    <row r="23" spans="1:14" x14ac:dyDescent="0.25">
      <c r="A23" s="39" t="s">
        <v>37</v>
      </c>
      <c r="B23" s="78">
        <v>140.93</v>
      </c>
      <c r="C23" s="14">
        <v>-2908</v>
      </c>
      <c r="D23" s="14">
        <v>-3048.93</v>
      </c>
      <c r="E23" s="14">
        <v>-269.29000000000002</v>
      </c>
      <c r="F23" s="14">
        <v>-6396</v>
      </c>
      <c r="G23" s="14">
        <v>-6126.71</v>
      </c>
      <c r="H23" s="14">
        <v>-36412</v>
      </c>
      <c r="I23" s="14">
        <v>140.93</v>
      </c>
      <c r="J23" s="14">
        <v>-10686.55</v>
      </c>
      <c r="K23" s="14">
        <v>-10827.48</v>
      </c>
      <c r="L23" s="14">
        <v>-269.29000000000002</v>
      </c>
      <c r="M23" s="14">
        <v>-14233.68</v>
      </c>
      <c r="N23" s="14">
        <v>-13964.39</v>
      </c>
    </row>
    <row r="24" spans="1:14" x14ac:dyDescent="0.25">
      <c r="A24" s="39" t="s">
        <v>36</v>
      </c>
      <c r="B24" s="80">
        <v>999255.73</v>
      </c>
      <c r="C24" s="37">
        <v>93435</v>
      </c>
      <c r="D24" s="37">
        <v>-905820.73</v>
      </c>
      <c r="E24" s="37">
        <v>2040605.19</v>
      </c>
      <c r="F24" s="37">
        <v>199896</v>
      </c>
      <c r="G24" s="37">
        <v>-1840709.19</v>
      </c>
      <c r="H24" s="37">
        <v>1160899</v>
      </c>
      <c r="I24" s="37">
        <v>999255.73</v>
      </c>
      <c r="J24" s="37">
        <v>63280.21</v>
      </c>
      <c r="K24" s="37">
        <v>-935975.52</v>
      </c>
      <c r="L24" s="37">
        <v>2040605.19</v>
      </c>
      <c r="M24" s="37">
        <v>140714.38</v>
      </c>
      <c r="N24" s="37">
        <v>-1899890.81</v>
      </c>
    </row>
    <row r="26" spans="1:14" ht="56.25" x14ac:dyDescent="0.25">
      <c r="A26" s="42" t="s">
        <v>54</v>
      </c>
      <c r="B26" s="77" t="s">
        <v>509</v>
      </c>
      <c r="C26" s="40" t="s">
        <v>510</v>
      </c>
      <c r="D26" s="40" t="s">
        <v>511</v>
      </c>
      <c r="E26" s="40" t="s">
        <v>512</v>
      </c>
      <c r="F26" s="40" t="s">
        <v>513</v>
      </c>
      <c r="G26" s="40" t="s">
        <v>514</v>
      </c>
      <c r="H26" s="40" t="s">
        <v>490</v>
      </c>
      <c r="I26" s="40" t="s">
        <v>515</v>
      </c>
      <c r="J26" s="40" t="s">
        <v>516</v>
      </c>
      <c r="K26" s="40" t="s">
        <v>517</v>
      </c>
      <c r="L26" s="40" t="s">
        <v>518</v>
      </c>
      <c r="M26" s="40" t="s">
        <v>519</v>
      </c>
      <c r="N26" s="40" t="s">
        <v>520</v>
      </c>
    </row>
    <row r="27" spans="1:14" x14ac:dyDescent="0.25">
      <c r="A27" s="39" t="s">
        <v>35</v>
      </c>
      <c r="B27" s="78">
        <v>784779.39</v>
      </c>
      <c r="C27" s="14">
        <v>59754</v>
      </c>
      <c r="D27" s="14">
        <v>-725025.39</v>
      </c>
      <c r="E27" s="14">
        <v>2199330.83</v>
      </c>
      <c r="F27" s="14">
        <v>173066</v>
      </c>
      <c r="G27" s="14">
        <v>-2026264.83</v>
      </c>
      <c r="H27" s="14">
        <v>706052</v>
      </c>
      <c r="I27" s="14">
        <v>784779.39</v>
      </c>
      <c r="J27" s="14">
        <v>49857.120000000003</v>
      </c>
      <c r="K27" s="14">
        <v>-734922.27</v>
      </c>
      <c r="L27" s="14">
        <v>2199330.83</v>
      </c>
      <c r="M27" s="14">
        <v>136506.68</v>
      </c>
      <c r="N27" s="14">
        <v>-2062824.15</v>
      </c>
    </row>
    <row r="28" spans="1:14" x14ac:dyDescent="0.25">
      <c r="A28" s="39" t="s">
        <v>34</v>
      </c>
      <c r="B28" s="78">
        <v>4009.62</v>
      </c>
      <c r="C28" s="14">
        <v>11301</v>
      </c>
      <c r="D28" s="14">
        <v>7291.38</v>
      </c>
      <c r="E28" s="14">
        <v>42531.9</v>
      </c>
      <c r="F28" s="14">
        <v>29936</v>
      </c>
      <c r="G28" s="14">
        <v>-12595.9</v>
      </c>
      <c r="H28" s="14">
        <v>64482</v>
      </c>
      <c r="I28" s="14">
        <v>4009.62</v>
      </c>
      <c r="J28" s="14">
        <v>9476.68</v>
      </c>
      <c r="K28" s="14">
        <v>5467.06</v>
      </c>
      <c r="L28" s="14">
        <v>42531.9</v>
      </c>
      <c r="M28" s="14">
        <v>24923.48</v>
      </c>
      <c r="N28" s="14">
        <v>-17608.419999999998</v>
      </c>
    </row>
    <row r="29" spans="1:14" x14ac:dyDescent="0.25">
      <c r="A29" s="39" t="s">
        <v>33</v>
      </c>
      <c r="B29" s="78">
        <v>1155.24</v>
      </c>
      <c r="C29" s="14">
        <v>1189</v>
      </c>
      <c r="D29" s="14">
        <v>33.76</v>
      </c>
      <c r="E29" s="14">
        <v>3274.21</v>
      </c>
      <c r="F29" s="14">
        <v>3446</v>
      </c>
      <c r="G29" s="14">
        <v>171.79</v>
      </c>
      <c r="H29" s="14">
        <v>16041</v>
      </c>
      <c r="I29" s="14">
        <v>1155.24</v>
      </c>
      <c r="J29" s="79"/>
      <c r="K29" s="14">
        <v>-1155.24</v>
      </c>
      <c r="L29" s="14">
        <v>3274.21</v>
      </c>
      <c r="M29" s="79"/>
      <c r="N29" s="14">
        <v>-3274.21</v>
      </c>
    </row>
    <row r="30" spans="1:14" x14ac:dyDescent="0.25">
      <c r="A30" s="39" t="s">
        <v>32</v>
      </c>
      <c r="B30" s="78">
        <v>99.36</v>
      </c>
      <c r="C30" s="14">
        <v>6</v>
      </c>
      <c r="D30" s="14">
        <v>-93.36</v>
      </c>
      <c r="E30" s="14">
        <v>261.81</v>
      </c>
      <c r="F30" s="14">
        <v>14</v>
      </c>
      <c r="G30" s="14">
        <v>-247.81</v>
      </c>
      <c r="H30" s="14">
        <v>340</v>
      </c>
      <c r="I30" s="14">
        <v>99.36</v>
      </c>
      <c r="J30" s="79"/>
      <c r="K30" s="14">
        <v>-99.36</v>
      </c>
      <c r="L30" s="14">
        <v>261.81</v>
      </c>
      <c r="M30" s="79"/>
      <c r="N30" s="14">
        <v>-261.81</v>
      </c>
    </row>
    <row r="31" spans="1:14" x14ac:dyDescent="0.25">
      <c r="A31" s="39" t="s">
        <v>40</v>
      </c>
      <c r="B31" s="78">
        <v>6445.88</v>
      </c>
      <c r="C31" s="14">
        <v>6408</v>
      </c>
      <c r="D31" s="14">
        <v>-37.880000000000003</v>
      </c>
      <c r="E31" s="14">
        <v>18722.38</v>
      </c>
      <c r="F31" s="14">
        <v>18940</v>
      </c>
      <c r="G31" s="14">
        <v>217.62</v>
      </c>
      <c r="H31" s="14">
        <v>78686</v>
      </c>
      <c r="I31" s="14">
        <v>6445.88</v>
      </c>
      <c r="J31" s="14">
        <v>3782</v>
      </c>
      <c r="K31" s="14">
        <v>-2663.88</v>
      </c>
      <c r="L31" s="14">
        <v>18722.38</v>
      </c>
      <c r="M31" s="14">
        <v>12312</v>
      </c>
      <c r="N31" s="14">
        <v>-6410.38</v>
      </c>
    </row>
    <row r="32" spans="1:14" x14ac:dyDescent="0.25">
      <c r="A32" s="39" t="s">
        <v>39</v>
      </c>
      <c r="B32" s="78">
        <v>246890.86</v>
      </c>
      <c r="C32" s="14">
        <v>21794</v>
      </c>
      <c r="D32" s="14">
        <v>-225096.86</v>
      </c>
      <c r="E32" s="14">
        <v>688153.29</v>
      </c>
      <c r="F32" s="14">
        <v>64744</v>
      </c>
      <c r="G32" s="14">
        <v>-623409.29</v>
      </c>
      <c r="H32" s="14">
        <v>261942</v>
      </c>
      <c r="I32" s="14">
        <v>246890.86</v>
      </c>
      <c r="J32" s="14">
        <v>16393.53</v>
      </c>
      <c r="K32" s="14">
        <v>-230497.33</v>
      </c>
      <c r="L32" s="14">
        <v>688153.29</v>
      </c>
      <c r="M32" s="14">
        <v>50218.33</v>
      </c>
      <c r="N32" s="14">
        <v>-637934.96</v>
      </c>
    </row>
    <row r="33" spans="1:14" x14ac:dyDescent="0.25">
      <c r="A33" s="39" t="s">
        <v>38</v>
      </c>
      <c r="B33" s="78">
        <v>56156.21</v>
      </c>
      <c r="C33" s="14">
        <v>8184</v>
      </c>
      <c r="D33" s="14">
        <v>-47972.21</v>
      </c>
      <c r="E33" s="14">
        <v>188136.62</v>
      </c>
      <c r="F33" s="14">
        <v>24782</v>
      </c>
      <c r="G33" s="14">
        <v>-163354.62</v>
      </c>
      <c r="H33" s="14">
        <v>69768</v>
      </c>
      <c r="I33" s="14">
        <v>56156.21</v>
      </c>
      <c r="J33" s="14">
        <v>6724.63</v>
      </c>
      <c r="K33" s="14">
        <v>-49431.58</v>
      </c>
      <c r="L33" s="14">
        <v>188136.62</v>
      </c>
      <c r="M33" s="14">
        <v>17221.53</v>
      </c>
      <c r="N33" s="14">
        <v>-170915.09</v>
      </c>
    </row>
    <row r="34" spans="1:14" x14ac:dyDescent="0.25">
      <c r="A34" s="39" t="s">
        <v>37</v>
      </c>
      <c r="B34" s="78">
        <v>-1040.6099999999999</v>
      </c>
      <c r="C34" s="14">
        <v>-3535</v>
      </c>
      <c r="D34" s="14">
        <v>-2494.39</v>
      </c>
      <c r="E34" s="14">
        <v>-1309.9000000000001</v>
      </c>
      <c r="F34" s="14">
        <v>-9931</v>
      </c>
      <c r="G34" s="14">
        <v>-8621.1</v>
      </c>
      <c r="H34" s="14">
        <v>-36412</v>
      </c>
      <c r="I34" s="14">
        <v>-1040.6099999999999</v>
      </c>
      <c r="J34" s="14">
        <v>-3611.19</v>
      </c>
      <c r="K34" s="14">
        <v>-2570.58</v>
      </c>
      <c r="L34" s="14">
        <v>-1309.9000000000001</v>
      </c>
      <c r="M34" s="14">
        <v>-17844.87</v>
      </c>
      <c r="N34" s="14">
        <v>-16534.97</v>
      </c>
    </row>
    <row r="35" spans="1:14" x14ac:dyDescent="0.25">
      <c r="A35" s="39" t="s">
        <v>36</v>
      </c>
      <c r="B35" s="80">
        <v>1098495.95</v>
      </c>
      <c r="C35" s="37">
        <v>105101</v>
      </c>
      <c r="D35" s="37">
        <v>-993394.95</v>
      </c>
      <c r="E35" s="37">
        <v>3139101.14</v>
      </c>
      <c r="F35" s="37">
        <v>304997</v>
      </c>
      <c r="G35" s="37">
        <v>-2834104.14</v>
      </c>
      <c r="H35" s="37">
        <v>1160899</v>
      </c>
      <c r="I35" s="37">
        <v>1098495.95</v>
      </c>
      <c r="J35" s="37">
        <v>82622.77</v>
      </c>
      <c r="K35" s="37">
        <v>-1015873.18</v>
      </c>
      <c r="L35" s="37">
        <v>3139101.14</v>
      </c>
      <c r="M35" s="37">
        <v>223337.15</v>
      </c>
      <c r="N35" s="37">
        <v>-2915763.99</v>
      </c>
    </row>
    <row r="37" spans="1:14" ht="56.25" x14ac:dyDescent="0.25">
      <c r="A37" s="42" t="s">
        <v>54</v>
      </c>
      <c r="B37" s="77" t="s">
        <v>521</v>
      </c>
      <c r="C37" s="40" t="s">
        <v>522</v>
      </c>
      <c r="D37" s="40" t="s">
        <v>523</v>
      </c>
      <c r="E37" s="40" t="s">
        <v>524</v>
      </c>
      <c r="F37" s="40" t="s">
        <v>525</v>
      </c>
      <c r="G37" s="40" t="s">
        <v>526</v>
      </c>
      <c r="H37" s="40" t="s">
        <v>490</v>
      </c>
      <c r="I37" s="40" t="s">
        <v>527</v>
      </c>
      <c r="J37" s="40" t="s">
        <v>528</v>
      </c>
      <c r="K37" s="40" t="s">
        <v>529</v>
      </c>
      <c r="L37" s="40" t="s">
        <v>530</v>
      </c>
      <c r="M37" s="40" t="s">
        <v>531</v>
      </c>
      <c r="N37" s="40" t="s">
        <v>532</v>
      </c>
    </row>
    <row r="38" spans="1:14" x14ac:dyDescent="0.25">
      <c r="A38" s="39" t="s">
        <v>35</v>
      </c>
      <c r="B38" s="78">
        <v>670645.4</v>
      </c>
      <c r="C38" s="14">
        <v>57058</v>
      </c>
      <c r="D38" s="14">
        <v>-613587.4</v>
      </c>
      <c r="E38" s="14">
        <v>2869976.23</v>
      </c>
      <c r="F38" s="14">
        <v>230124</v>
      </c>
      <c r="G38" s="14">
        <v>-2639852.23</v>
      </c>
      <c r="H38" s="14">
        <v>706052</v>
      </c>
      <c r="I38" s="14">
        <v>670645.4</v>
      </c>
      <c r="J38" s="14">
        <v>42387.4</v>
      </c>
      <c r="K38" s="14">
        <v>-628258</v>
      </c>
      <c r="L38" s="14">
        <v>2869976.23</v>
      </c>
      <c r="M38" s="14">
        <v>178894.07999999999</v>
      </c>
      <c r="N38" s="14">
        <v>-2691082.15</v>
      </c>
    </row>
    <row r="39" spans="1:14" x14ac:dyDescent="0.25">
      <c r="A39" s="39" t="s">
        <v>34</v>
      </c>
      <c r="B39" s="78">
        <v>4166.43</v>
      </c>
      <c r="C39" s="14">
        <v>1508</v>
      </c>
      <c r="D39" s="14">
        <v>-2658.43</v>
      </c>
      <c r="E39" s="14">
        <v>46698.33</v>
      </c>
      <c r="F39" s="14">
        <v>31444</v>
      </c>
      <c r="G39" s="14">
        <v>-15254.33</v>
      </c>
      <c r="H39" s="14">
        <v>64482</v>
      </c>
      <c r="I39" s="14">
        <v>4166.43</v>
      </c>
      <c r="J39" s="14">
        <v>885.22</v>
      </c>
      <c r="K39" s="14">
        <v>-3281.21</v>
      </c>
      <c r="L39" s="14">
        <v>46698.33</v>
      </c>
      <c r="M39" s="14">
        <v>25808.7</v>
      </c>
      <c r="N39" s="14">
        <v>-20889.63</v>
      </c>
    </row>
    <row r="40" spans="1:14" x14ac:dyDescent="0.25">
      <c r="A40" s="39" t="s">
        <v>33</v>
      </c>
      <c r="B40" s="78">
        <v>1119.5</v>
      </c>
      <c r="C40" s="14">
        <v>1135</v>
      </c>
      <c r="D40" s="14">
        <v>15.5</v>
      </c>
      <c r="E40" s="14">
        <v>4393.71</v>
      </c>
      <c r="F40" s="14">
        <v>4581</v>
      </c>
      <c r="G40" s="14">
        <v>187.29</v>
      </c>
      <c r="H40" s="14">
        <v>16041</v>
      </c>
      <c r="I40" s="14">
        <v>1119.5</v>
      </c>
      <c r="J40" s="79"/>
      <c r="K40" s="14">
        <v>-1119.5</v>
      </c>
      <c r="L40" s="14">
        <v>4393.71</v>
      </c>
      <c r="M40" s="79"/>
      <c r="N40" s="14">
        <v>-4393.71</v>
      </c>
    </row>
    <row r="41" spans="1:14" x14ac:dyDescent="0.25">
      <c r="A41" s="39" t="s">
        <v>32</v>
      </c>
      <c r="B41" s="78">
        <v>167.69</v>
      </c>
      <c r="C41" s="14">
        <v>10</v>
      </c>
      <c r="D41" s="14">
        <v>-157.69</v>
      </c>
      <c r="E41" s="14">
        <v>429.5</v>
      </c>
      <c r="F41" s="14">
        <v>24</v>
      </c>
      <c r="G41" s="14">
        <v>-405.5</v>
      </c>
      <c r="H41" s="14">
        <v>340</v>
      </c>
      <c r="I41" s="14">
        <v>167.69</v>
      </c>
      <c r="J41" s="79"/>
      <c r="K41" s="14">
        <v>-167.69</v>
      </c>
      <c r="L41" s="14">
        <v>429.5</v>
      </c>
      <c r="M41" s="79"/>
      <c r="N41" s="14">
        <v>-429.5</v>
      </c>
    </row>
    <row r="42" spans="1:14" x14ac:dyDescent="0.25">
      <c r="A42" s="39" t="s">
        <v>40</v>
      </c>
      <c r="B42" s="78">
        <v>6281.73</v>
      </c>
      <c r="C42" s="14">
        <v>6150</v>
      </c>
      <c r="D42" s="14">
        <v>-131.72999999999999</v>
      </c>
      <c r="E42" s="14">
        <v>25004.11</v>
      </c>
      <c r="F42" s="14">
        <v>25090</v>
      </c>
      <c r="G42" s="14">
        <v>85.89</v>
      </c>
      <c r="H42" s="14">
        <v>78686</v>
      </c>
      <c r="I42" s="14">
        <v>6281.73</v>
      </c>
      <c r="J42" s="14">
        <v>3782</v>
      </c>
      <c r="K42" s="14">
        <v>-2499.73</v>
      </c>
      <c r="L42" s="14">
        <v>25004.11</v>
      </c>
      <c r="M42" s="14">
        <v>16094</v>
      </c>
      <c r="N42" s="14">
        <v>-8910.11</v>
      </c>
    </row>
    <row r="43" spans="1:14" x14ac:dyDescent="0.25">
      <c r="A43" s="39" t="s">
        <v>39</v>
      </c>
      <c r="B43" s="78">
        <v>219294.48</v>
      </c>
      <c r="C43" s="14">
        <v>21504</v>
      </c>
      <c r="D43" s="14">
        <v>-197790.48</v>
      </c>
      <c r="E43" s="14">
        <v>907447.77</v>
      </c>
      <c r="F43" s="14">
        <v>86248</v>
      </c>
      <c r="G43" s="14">
        <v>-821199.77</v>
      </c>
      <c r="H43" s="14">
        <v>261942</v>
      </c>
      <c r="I43" s="14">
        <v>219294.48</v>
      </c>
      <c r="J43" s="14">
        <v>16720.22</v>
      </c>
      <c r="K43" s="14">
        <v>-202574.26</v>
      </c>
      <c r="L43" s="14">
        <v>907447.77</v>
      </c>
      <c r="M43" s="14">
        <v>66938.55</v>
      </c>
      <c r="N43" s="14">
        <v>-840509.22</v>
      </c>
    </row>
    <row r="44" spans="1:14" x14ac:dyDescent="0.25">
      <c r="A44" s="39" t="s">
        <v>38</v>
      </c>
      <c r="B44" s="78">
        <v>54728.36</v>
      </c>
      <c r="C44" s="14">
        <v>4685</v>
      </c>
      <c r="D44" s="14">
        <v>-50043.360000000001</v>
      </c>
      <c r="E44" s="14">
        <v>242864.98</v>
      </c>
      <c r="F44" s="14">
        <v>29467</v>
      </c>
      <c r="G44" s="14">
        <v>-213397.98</v>
      </c>
      <c r="H44" s="14">
        <v>69768</v>
      </c>
      <c r="I44" s="14">
        <v>54728.36</v>
      </c>
      <c r="J44" s="14">
        <v>3143.56</v>
      </c>
      <c r="K44" s="14">
        <v>-51584.800000000003</v>
      </c>
      <c r="L44" s="14">
        <v>242864.98</v>
      </c>
      <c r="M44" s="14">
        <v>20365.09</v>
      </c>
      <c r="N44" s="14">
        <v>-222499.89</v>
      </c>
    </row>
    <row r="45" spans="1:14" x14ac:dyDescent="0.25">
      <c r="A45" s="39" t="s">
        <v>37</v>
      </c>
      <c r="B45" s="78">
        <v>-2996.18</v>
      </c>
      <c r="C45" s="14">
        <v>-2714</v>
      </c>
      <c r="D45" s="14">
        <v>282.18</v>
      </c>
      <c r="E45" s="14">
        <v>-4306.08</v>
      </c>
      <c r="F45" s="14">
        <v>-12645</v>
      </c>
      <c r="G45" s="14">
        <v>-8338.92</v>
      </c>
      <c r="H45" s="14">
        <v>-36412</v>
      </c>
      <c r="I45" s="14">
        <v>-2996.18</v>
      </c>
      <c r="J45" s="14">
        <v>-6267.68</v>
      </c>
      <c r="K45" s="14">
        <v>-3271.5</v>
      </c>
      <c r="L45" s="14">
        <v>-4306.08</v>
      </c>
      <c r="M45" s="14">
        <v>-24112.55</v>
      </c>
      <c r="N45" s="14">
        <v>-19806.47</v>
      </c>
    </row>
    <row r="46" spans="1:14" x14ac:dyDescent="0.25">
      <c r="A46" s="39" t="s">
        <v>36</v>
      </c>
      <c r="B46" s="80">
        <v>953407.41</v>
      </c>
      <c r="C46" s="37">
        <v>89336</v>
      </c>
      <c r="D46" s="37">
        <v>-864071.41</v>
      </c>
      <c r="E46" s="37">
        <v>4092508.55</v>
      </c>
      <c r="F46" s="37">
        <v>394333</v>
      </c>
      <c r="G46" s="37">
        <v>-3698175.55</v>
      </c>
      <c r="H46" s="37">
        <v>1160899</v>
      </c>
      <c r="I46" s="37">
        <v>953407.41</v>
      </c>
      <c r="J46" s="37">
        <v>60650.720000000001</v>
      </c>
      <c r="K46" s="37">
        <v>-892756.69</v>
      </c>
      <c r="L46" s="37">
        <v>4092508.55</v>
      </c>
      <c r="M46" s="37">
        <v>283987.87</v>
      </c>
      <c r="N46" s="37">
        <v>-3808520.68</v>
      </c>
    </row>
    <row r="48" spans="1:14" ht="56.25" x14ac:dyDescent="0.25">
      <c r="A48" s="42" t="s">
        <v>54</v>
      </c>
      <c r="B48" s="77" t="s">
        <v>533</v>
      </c>
      <c r="C48" s="40" t="s">
        <v>534</v>
      </c>
      <c r="D48" s="40" t="s">
        <v>535</v>
      </c>
      <c r="E48" s="40" t="s">
        <v>536</v>
      </c>
      <c r="F48" s="40" t="s">
        <v>537</v>
      </c>
      <c r="G48" s="40" t="s">
        <v>538</v>
      </c>
      <c r="H48" s="40" t="s">
        <v>490</v>
      </c>
      <c r="I48" s="40" t="s">
        <v>539</v>
      </c>
      <c r="J48" s="40" t="s">
        <v>540</v>
      </c>
      <c r="K48" s="40" t="s">
        <v>541</v>
      </c>
      <c r="L48" s="40" t="s">
        <v>542</v>
      </c>
      <c r="M48" s="40" t="s">
        <v>543</v>
      </c>
      <c r="N48" s="40" t="s">
        <v>544</v>
      </c>
    </row>
    <row r="49" spans="1:14" x14ac:dyDescent="0.25">
      <c r="A49" s="39" t="s">
        <v>35</v>
      </c>
      <c r="B49" s="78">
        <v>644041.71</v>
      </c>
      <c r="C49" s="14">
        <v>62488</v>
      </c>
      <c r="D49" s="14">
        <v>-581553.71</v>
      </c>
      <c r="E49" s="14">
        <v>3514017.94</v>
      </c>
      <c r="F49" s="14">
        <v>292612</v>
      </c>
      <c r="G49" s="14">
        <v>-3221405.94</v>
      </c>
      <c r="H49" s="14">
        <v>706052</v>
      </c>
      <c r="I49" s="14">
        <v>644041.71</v>
      </c>
      <c r="J49" s="14">
        <v>49043.69</v>
      </c>
      <c r="K49" s="14">
        <v>-594998.02</v>
      </c>
      <c r="L49" s="14">
        <v>3514017.94</v>
      </c>
      <c r="M49" s="14">
        <v>227937.77</v>
      </c>
      <c r="N49" s="14">
        <v>-3286080.17</v>
      </c>
    </row>
    <row r="50" spans="1:14" x14ac:dyDescent="0.25">
      <c r="A50" s="39" t="s">
        <v>34</v>
      </c>
      <c r="B50" s="78">
        <v>1313.6</v>
      </c>
      <c r="C50" s="14">
        <v>3662</v>
      </c>
      <c r="D50" s="14">
        <v>2348.4</v>
      </c>
      <c r="E50" s="14">
        <v>48011.93</v>
      </c>
      <c r="F50" s="14">
        <v>35106</v>
      </c>
      <c r="G50" s="14">
        <v>-12905.93</v>
      </c>
      <c r="H50" s="14">
        <v>64482</v>
      </c>
      <c r="I50" s="14">
        <v>1313.6</v>
      </c>
      <c r="J50" s="14">
        <v>2994.23</v>
      </c>
      <c r="K50" s="14">
        <v>1680.63</v>
      </c>
      <c r="L50" s="14">
        <v>48011.93</v>
      </c>
      <c r="M50" s="14">
        <v>28802.93</v>
      </c>
      <c r="N50" s="14">
        <v>-19209</v>
      </c>
    </row>
    <row r="51" spans="1:14" x14ac:dyDescent="0.25">
      <c r="A51" s="39" t="s">
        <v>33</v>
      </c>
      <c r="B51" s="78">
        <v>1268.1199999999999</v>
      </c>
      <c r="C51" s="14">
        <v>1243</v>
      </c>
      <c r="D51" s="14">
        <v>-25.12</v>
      </c>
      <c r="E51" s="14">
        <v>5661.83</v>
      </c>
      <c r="F51" s="14">
        <v>5824</v>
      </c>
      <c r="G51" s="14">
        <v>162.16999999999999</v>
      </c>
      <c r="H51" s="14">
        <v>16041</v>
      </c>
      <c r="I51" s="14">
        <v>1268.1199999999999</v>
      </c>
      <c r="J51" s="79"/>
      <c r="K51" s="14">
        <v>-1268.1199999999999</v>
      </c>
      <c r="L51" s="14">
        <v>5661.83</v>
      </c>
      <c r="M51" s="79"/>
      <c r="N51" s="14">
        <v>-5661.83</v>
      </c>
    </row>
    <row r="52" spans="1:14" x14ac:dyDescent="0.25">
      <c r="A52" s="39" t="s">
        <v>32</v>
      </c>
      <c r="B52" s="78">
        <v>139.69999999999999</v>
      </c>
      <c r="C52" s="14">
        <v>60</v>
      </c>
      <c r="D52" s="14">
        <v>-79.7</v>
      </c>
      <c r="E52" s="14">
        <v>569.20000000000005</v>
      </c>
      <c r="F52" s="14">
        <v>84</v>
      </c>
      <c r="G52" s="14">
        <v>-485.2</v>
      </c>
      <c r="H52" s="14">
        <v>340</v>
      </c>
      <c r="I52" s="14">
        <v>139.69999999999999</v>
      </c>
      <c r="J52" s="79"/>
      <c r="K52" s="14">
        <v>-139.69999999999999</v>
      </c>
      <c r="L52" s="14">
        <v>569.20000000000005</v>
      </c>
      <c r="M52" s="79"/>
      <c r="N52" s="14">
        <v>-569.20000000000005</v>
      </c>
    </row>
    <row r="53" spans="1:14" x14ac:dyDescent="0.25">
      <c r="A53" s="39" t="s">
        <v>40</v>
      </c>
      <c r="B53" s="78">
        <v>5782.44</v>
      </c>
      <c r="C53" s="14">
        <v>6676</v>
      </c>
      <c r="D53" s="14">
        <v>893.56</v>
      </c>
      <c r="E53" s="14">
        <v>30786.55</v>
      </c>
      <c r="F53" s="14">
        <v>31766</v>
      </c>
      <c r="G53" s="14">
        <v>979.45</v>
      </c>
      <c r="H53" s="14">
        <v>78686</v>
      </c>
      <c r="I53" s="14">
        <v>5782.44</v>
      </c>
      <c r="J53" s="14">
        <v>3782</v>
      </c>
      <c r="K53" s="14">
        <v>-2000.44</v>
      </c>
      <c r="L53" s="14">
        <v>30786.55</v>
      </c>
      <c r="M53" s="14">
        <v>19876</v>
      </c>
      <c r="N53" s="14">
        <v>-10910.55</v>
      </c>
    </row>
    <row r="54" spans="1:14" x14ac:dyDescent="0.25">
      <c r="A54" s="39" t="s">
        <v>39</v>
      </c>
      <c r="B54" s="78">
        <v>206449.91</v>
      </c>
      <c r="C54" s="14">
        <v>22073</v>
      </c>
      <c r="D54" s="14">
        <v>-184376.91</v>
      </c>
      <c r="E54" s="14">
        <v>1113897.68</v>
      </c>
      <c r="F54" s="14">
        <v>108321</v>
      </c>
      <c r="G54" s="14">
        <v>-1005576.68</v>
      </c>
      <c r="H54" s="14">
        <v>261942</v>
      </c>
      <c r="I54" s="14">
        <v>206449.91</v>
      </c>
      <c r="J54" s="14">
        <v>17864.28</v>
      </c>
      <c r="K54" s="14">
        <v>-188585.63</v>
      </c>
      <c r="L54" s="14">
        <v>1113897.68</v>
      </c>
      <c r="M54" s="14">
        <v>84802.83</v>
      </c>
      <c r="N54" s="14">
        <v>-1029094.85</v>
      </c>
    </row>
    <row r="55" spans="1:14" x14ac:dyDescent="0.25">
      <c r="A55" s="39" t="s">
        <v>38</v>
      </c>
      <c r="B55" s="78">
        <v>52840.6</v>
      </c>
      <c r="C55" s="14">
        <v>5274</v>
      </c>
      <c r="D55" s="14">
        <v>-47566.6</v>
      </c>
      <c r="E55" s="14">
        <v>295705.58</v>
      </c>
      <c r="F55" s="14">
        <v>34741</v>
      </c>
      <c r="G55" s="14">
        <v>-260964.58</v>
      </c>
      <c r="H55" s="14">
        <v>69768</v>
      </c>
      <c r="I55" s="14">
        <v>52840.6</v>
      </c>
      <c r="J55" s="14">
        <v>3780.98</v>
      </c>
      <c r="K55" s="14">
        <v>-49059.62</v>
      </c>
      <c r="L55" s="14">
        <v>295705.58</v>
      </c>
      <c r="M55" s="14">
        <v>24146.07</v>
      </c>
      <c r="N55" s="14">
        <v>-271559.51</v>
      </c>
    </row>
    <row r="56" spans="1:14" x14ac:dyDescent="0.25">
      <c r="A56" s="39" t="s">
        <v>37</v>
      </c>
      <c r="B56" s="78">
        <v>-3166.25</v>
      </c>
      <c r="C56" s="14">
        <v>-3060</v>
      </c>
      <c r="D56" s="14">
        <v>106.25</v>
      </c>
      <c r="E56" s="14">
        <v>-7472.33</v>
      </c>
      <c r="F56" s="14">
        <v>-15705</v>
      </c>
      <c r="G56" s="14">
        <v>-8232.67</v>
      </c>
      <c r="H56" s="14">
        <v>-36412</v>
      </c>
      <c r="I56" s="14">
        <v>-3166.25</v>
      </c>
      <c r="J56" s="14">
        <v>-9024.89</v>
      </c>
      <c r="K56" s="14">
        <v>-5858.64</v>
      </c>
      <c r="L56" s="14">
        <v>-7472.33</v>
      </c>
      <c r="M56" s="14">
        <v>-33137.440000000002</v>
      </c>
      <c r="N56" s="14">
        <v>-25665.11</v>
      </c>
    </row>
    <row r="57" spans="1:14" x14ac:dyDescent="0.25">
      <c r="A57" s="39" t="s">
        <v>36</v>
      </c>
      <c r="B57" s="80">
        <v>908669.83</v>
      </c>
      <c r="C57" s="37">
        <v>98416</v>
      </c>
      <c r="D57" s="37">
        <v>-810253.83</v>
      </c>
      <c r="E57" s="37">
        <v>5001178.38</v>
      </c>
      <c r="F57" s="37">
        <v>492749</v>
      </c>
      <c r="G57" s="37">
        <v>-4508429.38</v>
      </c>
      <c r="H57" s="37">
        <v>1160899</v>
      </c>
      <c r="I57" s="37">
        <v>908669.83</v>
      </c>
      <c r="J57" s="37">
        <v>68440.289999999994</v>
      </c>
      <c r="K57" s="37">
        <v>-840229.54</v>
      </c>
      <c r="L57" s="37">
        <v>5001178.38</v>
      </c>
      <c r="M57" s="37">
        <v>352428.16</v>
      </c>
      <c r="N57" s="37">
        <v>-4648750.22</v>
      </c>
    </row>
    <row r="59" spans="1:14" ht="56.25" x14ac:dyDescent="0.25">
      <c r="A59" s="42" t="s">
        <v>54</v>
      </c>
      <c r="B59" s="77" t="s">
        <v>545</v>
      </c>
      <c r="C59" s="40" t="s">
        <v>546</v>
      </c>
      <c r="D59" s="40" t="s">
        <v>547</v>
      </c>
      <c r="E59" s="40" t="s">
        <v>548</v>
      </c>
      <c r="F59" s="40" t="s">
        <v>549</v>
      </c>
      <c r="G59" s="40" t="s">
        <v>550</v>
      </c>
      <c r="H59" s="40" t="s">
        <v>490</v>
      </c>
      <c r="I59" s="40" t="s">
        <v>551</v>
      </c>
      <c r="J59" s="40" t="s">
        <v>552</v>
      </c>
      <c r="K59" s="40" t="s">
        <v>553</v>
      </c>
      <c r="L59" s="40" t="s">
        <v>554</v>
      </c>
      <c r="M59" s="40" t="s">
        <v>555</v>
      </c>
      <c r="N59" s="40" t="s">
        <v>556</v>
      </c>
    </row>
    <row r="60" spans="1:14" x14ac:dyDescent="0.25">
      <c r="A60" s="39" t="s">
        <v>35</v>
      </c>
      <c r="B60" s="78">
        <v>711659.06</v>
      </c>
      <c r="C60" s="14">
        <v>57058</v>
      </c>
      <c r="D60" s="14">
        <v>-654601.06000000006</v>
      </c>
      <c r="E60" s="14">
        <v>4225677</v>
      </c>
      <c r="F60" s="14">
        <v>349670</v>
      </c>
      <c r="G60" s="14">
        <v>-3876007</v>
      </c>
      <c r="H60" s="14">
        <v>706052</v>
      </c>
      <c r="I60" s="14">
        <v>711659.06</v>
      </c>
      <c r="J60" s="14">
        <v>48017.32</v>
      </c>
      <c r="K60" s="14">
        <v>-663641.74</v>
      </c>
      <c r="L60" s="14">
        <v>4225677</v>
      </c>
      <c r="M60" s="14">
        <v>275955.09000000003</v>
      </c>
      <c r="N60" s="14">
        <v>-3949721.91</v>
      </c>
    </row>
    <row r="61" spans="1:14" x14ac:dyDescent="0.25">
      <c r="A61" s="39" t="s">
        <v>34</v>
      </c>
      <c r="B61" s="78">
        <v>1854.89</v>
      </c>
      <c r="C61" s="14">
        <v>3266</v>
      </c>
      <c r="D61" s="14">
        <v>1411.11</v>
      </c>
      <c r="E61" s="14">
        <v>49866.82</v>
      </c>
      <c r="F61" s="14">
        <v>38372</v>
      </c>
      <c r="G61" s="14">
        <v>-11494.82</v>
      </c>
      <c r="H61" s="14">
        <v>64482</v>
      </c>
      <c r="I61" s="14">
        <v>1854.89</v>
      </c>
      <c r="J61" s="14">
        <v>2428.56</v>
      </c>
      <c r="K61" s="14">
        <v>573.66999999999996</v>
      </c>
      <c r="L61" s="14">
        <v>49866.82</v>
      </c>
      <c r="M61" s="14">
        <v>31231.49</v>
      </c>
      <c r="N61" s="14">
        <v>-18635.330000000002</v>
      </c>
    </row>
    <row r="62" spans="1:14" x14ac:dyDescent="0.25">
      <c r="A62" s="39" t="s">
        <v>33</v>
      </c>
      <c r="B62" s="78">
        <v>1294.93</v>
      </c>
      <c r="C62" s="14">
        <v>1135</v>
      </c>
      <c r="D62" s="14">
        <v>-159.93</v>
      </c>
      <c r="E62" s="14">
        <v>6956.76</v>
      </c>
      <c r="F62" s="14">
        <v>6959</v>
      </c>
      <c r="G62" s="14">
        <v>2.2400000000000002</v>
      </c>
      <c r="H62" s="14">
        <v>16041</v>
      </c>
      <c r="I62" s="14">
        <v>1294.93</v>
      </c>
      <c r="J62" s="79"/>
      <c r="K62" s="14">
        <v>-1294.93</v>
      </c>
      <c r="L62" s="14">
        <v>6956.76</v>
      </c>
      <c r="M62" s="79"/>
      <c r="N62" s="14">
        <v>-6956.76</v>
      </c>
    </row>
    <row r="63" spans="1:14" x14ac:dyDescent="0.25">
      <c r="A63" s="39" t="s">
        <v>32</v>
      </c>
      <c r="B63" s="78">
        <v>120.5</v>
      </c>
      <c r="C63" s="14">
        <v>17</v>
      </c>
      <c r="D63" s="14">
        <v>-103.5</v>
      </c>
      <c r="E63" s="14">
        <v>689.7</v>
      </c>
      <c r="F63" s="14">
        <v>101</v>
      </c>
      <c r="G63" s="14">
        <v>-588.70000000000005</v>
      </c>
      <c r="H63" s="14">
        <v>340</v>
      </c>
      <c r="I63" s="14">
        <v>120.5</v>
      </c>
      <c r="J63" s="79"/>
      <c r="K63" s="14">
        <v>-120.5</v>
      </c>
      <c r="L63" s="14">
        <v>689.7</v>
      </c>
      <c r="M63" s="79"/>
      <c r="N63" s="14">
        <v>-689.7</v>
      </c>
    </row>
    <row r="64" spans="1:14" x14ac:dyDescent="0.25">
      <c r="A64" s="39" t="s">
        <v>40</v>
      </c>
      <c r="B64" s="78">
        <v>5591.12</v>
      </c>
      <c r="C64" s="14">
        <v>6150</v>
      </c>
      <c r="D64" s="14">
        <v>558.88</v>
      </c>
      <c r="E64" s="14">
        <v>36377.67</v>
      </c>
      <c r="F64" s="14">
        <v>37916</v>
      </c>
      <c r="G64" s="14">
        <v>1538.33</v>
      </c>
      <c r="H64" s="14">
        <v>78686</v>
      </c>
      <c r="I64" s="14">
        <v>5591.12</v>
      </c>
      <c r="J64" s="14">
        <v>3782</v>
      </c>
      <c r="K64" s="14">
        <v>-1809.12</v>
      </c>
      <c r="L64" s="14">
        <v>36377.67</v>
      </c>
      <c r="M64" s="14">
        <v>23658</v>
      </c>
      <c r="N64" s="14">
        <v>-12719.67</v>
      </c>
    </row>
    <row r="65" spans="1:14" x14ac:dyDescent="0.25">
      <c r="A65" s="39" t="s">
        <v>39</v>
      </c>
      <c r="B65" s="78">
        <v>394542.32</v>
      </c>
      <c r="C65" s="14">
        <v>21504</v>
      </c>
      <c r="D65" s="14">
        <v>-373038.32</v>
      </c>
      <c r="E65" s="14">
        <v>1508440</v>
      </c>
      <c r="F65" s="14">
        <v>129825</v>
      </c>
      <c r="G65" s="14">
        <v>-1378615</v>
      </c>
      <c r="H65" s="14">
        <v>261942</v>
      </c>
      <c r="I65" s="14">
        <v>394542.32</v>
      </c>
      <c r="J65" s="14">
        <v>17755.57</v>
      </c>
      <c r="K65" s="14">
        <v>-376786.75</v>
      </c>
      <c r="L65" s="14">
        <v>1508440</v>
      </c>
      <c r="M65" s="14">
        <v>102558.39999999999</v>
      </c>
      <c r="N65" s="14">
        <v>-1405881.6</v>
      </c>
    </row>
    <row r="66" spans="1:14" x14ac:dyDescent="0.25">
      <c r="A66" s="39" t="s">
        <v>38</v>
      </c>
      <c r="B66" s="78">
        <v>55024.82</v>
      </c>
      <c r="C66" s="14">
        <v>4719</v>
      </c>
      <c r="D66" s="14">
        <v>-50305.82</v>
      </c>
      <c r="E66" s="14">
        <v>350730.4</v>
      </c>
      <c r="F66" s="14">
        <v>39460</v>
      </c>
      <c r="G66" s="14">
        <v>-311270.40000000002</v>
      </c>
      <c r="H66" s="14">
        <v>69768</v>
      </c>
      <c r="I66" s="14">
        <v>55024.82</v>
      </c>
      <c r="J66" s="14">
        <v>3589.22</v>
      </c>
      <c r="K66" s="14">
        <v>-51435.6</v>
      </c>
      <c r="L66" s="14">
        <v>350730.4</v>
      </c>
      <c r="M66" s="14">
        <v>27735.29</v>
      </c>
      <c r="N66" s="14">
        <v>-322995.11</v>
      </c>
    </row>
    <row r="67" spans="1:14" x14ac:dyDescent="0.25">
      <c r="A67" s="39" t="s">
        <v>37</v>
      </c>
      <c r="B67" s="78">
        <v>-3950.63</v>
      </c>
      <c r="C67" s="14">
        <v>-2827</v>
      </c>
      <c r="D67" s="14">
        <v>1123.6300000000001</v>
      </c>
      <c r="E67" s="14">
        <v>-11422.96</v>
      </c>
      <c r="F67" s="14">
        <v>-18532</v>
      </c>
      <c r="G67" s="14">
        <v>-7109.04</v>
      </c>
      <c r="H67" s="14">
        <v>-36412</v>
      </c>
      <c r="I67" s="14">
        <v>-3950.63</v>
      </c>
      <c r="J67" s="14">
        <v>-5231.05</v>
      </c>
      <c r="K67" s="14">
        <v>-1280.42</v>
      </c>
      <c r="L67" s="14">
        <v>-11422.96</v>
      </c>
      <c r="M67" s="14">
        <v>-38368.49</v>
      </c>
      <c r="N67" s="14">
        <v>-26945.53</v>
      </c>
    </row>
    <row r="68" spans="1:14" x14ac:dyDescent="0.25">
      <c r="A68" s="39" t="s">
        <v>36</v>
      </c>
      <c r="B68" s="80">
        <v>1166137.01</v>
      </c>
      <c r="C68" s="37">
        <v>91022</v>
      </c>
      <c r="D68" s="37">
        <v>-1075115.01</v>
      </c>
      <c r="E68" s="37">
        <v>6167315.3899999997</v>
      </c>
      <c r="F68" s="37">
        <v>583771</v>
      </c>
      <c r="G68" s="37">
        <v>-5583544.3899999997</v>
      </c>
      <c r="H68" s="37">
        <v>1160899</v>
      </c>
      <c r="I68" s="37">
        <v>1166137.01</v>
      </c>
      <c r="J68" s="37">
        <v>70341.62</v>
      </c>
      <c r="K68" s="37">
        <v>-1095795.3899999999</v>
      </c>
      <c r="L68" s="37">
        <v>6167315.3899999997</v>
      </c>
      <c r="M68" s="37">
        <v>422769.78</v>
      </c>
      <c r="N68" s="37">
        <v>-5744545.6100000003</v>
      </c>
    </row>
    <row r="70" spans="1:14" ht="56.25" x14ac:dyDescent="0.25">
      <c r="A70" s="42" t="s">
        <v>54</v>
      </c>
      <c r="B70" s="77" t="s">
        <v>557</v>
      </c>
      <c r="C70" s="40" t="s">
        <v>558</v>
      </c>
      <c r="D70" s="40" t="s">
        <v>559</v>
      </c>
      <c r="E70" s="40" t="s">
        <v>560</v>
      </c>
      <c r="F70" s="40" t="s">
        <v>561</v>
      </c>
      <c r="G70" s="40" t="s">
        <v>562</v>
      </c>
      <c r="H70" s="40" t="s">
        <v>490</v>
      </c>
      <c r="I70" s="40" t="s">
        <v>563</v>
      </c>
      <c r="J70" s="40" t="s">
        <v>564</v>
      </c>
      <c r="K70" s="40" t="s">
        <v>565</v>
      </c>
      <c r="L70" s="40" t="s">
        <v>566</v>
      </c>
      <c r="M70" s="40" t="s">
        <v>567</v>
      </c>
      <c r="N70" s="40" t="s">
        <v>568</v>
      </c>
    </row>
    <row r="71" spans="1:14" x14ac:dyDescent="0.25">
      <c r="A71" s="39" t="s">
        <v>35</v>
      </c>
      <c r="B71" s="78">
        <v>687699.68</v>
      </c>
      <c r="C71" s="14">
        <v>59771</v>
      </c>
      <c r="D71" s="14">
        <v>-627928.68000000005</v>
      </c>
      <c r="E71" s="14">
        <v>4913376.68</v>
      </c>
      <c r="F71" s="14">
        <v>409441</v>
      </c>
      <c r="G71" s="14">
        <v>-4503935.68</v>
      </c>
      <c r="H71" s="14">
        <v>706052</v>
      </c>
      <c r="I71" s="14">
        <v>687699.68</v>
      </c>
      <c r="J71" s="14">
        <v>44865.47</v>
      </c>
      <c r="K71" s="14">
        <v>-642834.21</v>
      </c>
      <c r="L71" s="14">
        <v>4913376.68</v>
      </c>
      <c r="M71" s="14">
        <v>320820.56</v>
      </c>
      <c r="N71" s="14">
        <v>-4592556.12</v>
      </c>
    </row>
    <row r="72" spans="1:14" x14ac:dyDescent="0.25">
      <c r="A72" s="39" t="s">
        <v>34</v>
      </c>
      <c r="B72" s="78">
        <v>935.93</v>
      </c>
      <c r="C72" s="14">
        <v>2478</v>
      </c>
      <c r="D72" s="14">
        <v>1542.07</v>
      </c>
      <c r="E72" s="14">
        <v>50802.75</v>
      </c>
      <c r="F72" s="14">
        <v>40850</v>
      </c>
      <c r="G72" s="14">
        <v>-9952.75</v>
      </c>
      <c r="H72" s="14">
        <v>64482</v>
      </c>
      <c r="I72" s="14">
        <v>935.93</v>
      </c>
      <c r="J72" s="14">
        <v>1869.59</v>
      </c>
      <c r="K72" s="14">
        <v>933.66</v>
      </c>
      <c r="L72" s="14">
        <v>50802.75</v>
      </c>
      <c r="M72" s="14">
        <v>33101.08</v>
      </c>
      <c r="N72" s="14">
        <v>-17701.669999999998</v>
      </c>
    </row>
    <row r="73" spans="1:14" x14ac:dyDescent="0.25">
      <c r="A73" s="39" t="s">
        <v>33</v>
      </c>
      <c r="B73" s="78">
        <v>1242.43</v>
      </c>
      <c r="C73" s="14">
        <v>1525</v>
      </c>
      <c r="D73" s="14">
        <v>282.57</v>
      </c>
      <c r="E73" s="14">
        <v>8199.19</v>
      </c>
      <c r="F73" s="14">
        <v>8484</v>
      </c>
      <c r="G73" s="14">
        <v>284.81</v>
      </c>
      <c r="H73" s="14">
        <v>16041</v>
      </c>
      <c r="I73" s="14">
        <v>1242.43</v>
      </c>
      <c r="J73" s="79"/>
      <c r="K73" s="14">
        <v>-1242.43</v>
      </c>
      <c r="L73" s="14">
        <v>8199.19</v>
      </c>
      <c r="M73" s="79"/>
      <c r="N73" s="14">
        <v>-8199.19</v>
      </c>
    </row>
    <row r="74" spans="1:14" x14ac:dyDescent="0.25">
      <c r="A74" s="39" t="s">
        <v>32</v>
      </c>
      <c r="B74" s="78">
        <v>90.93</v>
      </c>
      <c r="C74" s="14">
        <v>33</v>
      </c>
      <c r="D74" s="14">
        <v>-57.93</v>
      </c>
      <c r="E74" s="14">
        <v>780.63</v>
      </c>
      <c r="F74" s="14">
        <v>134</v>
      </c>
      <c r="G74" s="14">
        <v>-646.63</v>
      </c>
      <c r="H74" s="14">
        <v>340</v>
      </c>
      <c r="I74" s="14">
        <v>90.93</v>
      </c>
      <c r="J74" s="79"/>
      <c r="K74" s="14">
        <v>-90.93</v>
      </c>
      <c r="L74" s="14">
        <v>780.63</v>
      </c>
      <c r="M74" s="79"/>
      <c r="N74" s="14">
        <v>-780.63</v>
      </c>
    </row>
    <row r="75" spans="1:14" x14ac:dyDescent="0.25">
      <c r="A75" s="39" t="s">
        <v>40</v>
      </c>
      <c r="B75" s="78">
        <v>5807.22</v>
      </c>
      <c r="C75" s="14">
        <v>6447</v>
      </c>
      <c r="D75" s="14">
        <v>639.78</v>
      </c>
      <c r="E75" s="14">
        <v>42184.89</v>
      </c>
      <c r="F75" s="14">
        <v>44363</v>
      </c>
      <c r="G75" s="14">
        <v>2178.11</v>
      </c>
      <c r="H75" s="14">
        <v>78686</v>
      </c>
      <c r="I75" s="14">
        <v>5807.22</v>
      </c>
      <c r="J75" s="14">
        <v>3804.16</v>
      </c>
      <c r="K75" s="14">
        <v>-2003.06</v>
      </c>
      <c r="L75" s="14">
        <v>42184.89</v>
      </c>
      <c r="M75" s="14">
        <v>27462.16</v>
      </c>
      <c r="N75" s="14">
        <v>-14722.73</v>
      </c>
    </row>
    <row r="76" spans="1:14" x14ac:dyDescent="0.25">
      <c r="A76" s="39" t="s">
        <v>39</v>
      </c>
      <c r="B76" s="78">
        <v>210036.37</v>
      </c>
      <c r="C76" s="14">
        <v>21899</v>
      </c>
      <c r="D76" s="14">
        <v>-188137.37</v>
      </c>
      <c r="E76" s="14">
        <v>1718476.37</v>
      </c>
      <c r="F76" s="14">
        <v>151724</v>
      </c>
      <c r="G76" s="14">
        <v>-1566752.37</v>
      </c>
      <c r="H76" s="14">
        <v>261942</v>
      </c>
      <c r="I76" s="14">
        <v>210036.37</v>
      </c>
      <c r="J76" s="14">
        <v>16260.79</v>
      </c>
      <c r="K76" s="14">
        <v>-193775.58</v>
      </c>
      <c r="L76" s="14">
        <v>1718476.37</v>
      </c>
      <c r="M76" s="14">
        <v>118819.19</v>
      </c>
      <c r="N76" s="14">
        <v>-1599657.18</v>
      </c>
    </row>
    <row r="77" spans="1:14" x14ac:dyDescent="0.25">
      <c r="A77" s="39" t="s">
        <v>38</v>
      </c>
      <c r="B77" s="78">
        <v>51801.64</v>
      </c>
      <c r="C77" s="14">
        <v>4962</v>
      </c>
      <c r="D77" s="14">
        <v>-46839.64</v>
      </c>
      <c r="E77" s="14">
        <v>402532.04</v>
      </c>
      <c r="F77" s="14">
        <v>44422</v>
      </c>
      <c r="G77" s="14">
        <v>-358110.04</v>
      </c>
      <c r="H77" s="14">
        <v>69768</v>
      </c>
      <c r="I77" s="14">
        <v>51801.64</v>
      </c>
      <c r="J77" s="14">
        <v>3390.62</v>
      </c>
      <c r="K77" s="14">
        <v>-48411.02</v>
      </c>
      <c r="L77" s="14">
        <v>402532.04</v>
      </c>
      <c r="M77" s="14">
        <v>31125.91</v>
      </c>
      <c r="N77" s="14">
        <v>-371406.13</v>
      </c>
    </row>
    <row r="78" spans="1:14" x14ac:dyDescent="0.25">
      <c r="A78" s="39" t="s">
        <v>37</v>
      </c>
      <c r="B78" s="78">
        <v>-2539.23</v>
      </c>
      <c r="C78" s="14">
        <v>-2888</v>
      </c>
      <c r="D78" s="14">
        <v>-348.77</v>
      </c>
      <c r="E78" s="14">
        <v>-13962.19</v>
      </c>
      <c r="F78" s="14">
        <v>-21420</v>
      </c>
      <c r="G78" s="14">
        <v>-7457.81</v>
      </c>
      <c r="H78" s="14">
        <v>-36412</v>
      </c>
      <c r="I78" s="14">
        <v>-2539.23</v>
      </c>
      <c r="J78" s="14">
        <v>-1989.05</v>
      </c>
      <c r="K78" s="14">
        <v>550.17999999999995</v>
      </c>
      <c r="L78" s="14">
        <v>-13962.19</v>
      </c>
      <c r="M78" s="14">
        <v>-40357.54</v>
      </c>
      <c r="N78" s="14">
        <v>-26395.35</v>
      </c>
    </row>
    <row r="79" spans="1:14" x14ac:dyDescent="0.25">
      <c r="A79" s="39" t="s">
        <v>36</v>
      </c>
      <c r="B79" s="80">
        <v>955074.97</v>
      </c>
      <c r="C79" s="37">
        <v>94227</v>
      </c>
      <c r="D79" s="37">
        <v>-860847.97</v>
      </c>
      <c r="E79" s="37">
        <v>7122390.3600000003</v>
      </c>
      <c r="F79" s="37">
        <v>677998</v>
      </c>
      <c r="G79" s="37">
        <v>-6444392.3600000003</v>
      </c>
      <c r="H79" s="37">
        <v>1160899</v>
      </c>
      <c r="I79" s="37">
        <v>955074.97</v>
      </c>
      <c r="J79" s="37">
        <v>68201.58</v>
      </c>
      <c r="K79" s="37">
        <v>-886873.39</v>
      </c>
      <c r="L79" s="37">
        <v>7122390.3600000003</v>
      </c>
      <c r="M79" s="37">
        <v>490971.36</v>
      </c>
      <c r="N79" s="37">
        <v>-6631419</v>
      </c>
    </row>
    <row r="81" spans="1:14" ht="56.25" x14ac:dyDescent="0.25">
      <c r="A81" s="42" t="s">
        <v>54</v>
      </c>
      <c r="B81" s="77" t="s">
        <v>569</v>
      </c>
      <c r="C81" s="40" t="s">
        <v>570</v>
      </c>
      <c r="D81" s="40" t="s">
        <v>571</v>
      </c>
      <c r="E81" s="40" t="s">
        <v>572</v>
      </c>
      <c r="F81" s="40" t="s">
        <v>573</v>
      </c>
      <c r="G81" s="40" t="s">
        <v>574</v>
      </c>
      <c r="H81" s="40" t="s">
        <v>490</v>
      </c>
      <c r="I81" s="40" t="s">
        <v>575</v>
      </c>
      <c r="J81" s="40" t="s">
        <v>576</v>
      </c>
      <c r="K81" s="40" t="s">
        <v>577</v>
      </c>
      <c r="L81" s="40" t="s">
        <v>578</v>
      </c>
      <c r="M81" s="40" t="s">
        <v>579</v>
      </c>
      <c r="N81" s="40" t="s">
        <v>580</v>
      </c>
    </row>
    <row r="82" spans="1:14" x14ac:dyDescent="0.25">
      <c r="A82" s="39" t="s">
        <v>35</v>
      </c>
      <c r="B82" s="78">
        <v>676584.55</v>
      </c>
      <c r="C82" s="14">
        <v>62488</v>
      </c>
      <c r="D82" s="14">
        <v>-614096.55000000005</v>
      </c>
      <c r="E82" s="14">
        <v>5589961.2300000004</v>
      </c>
      <c r="F82" s="14">
        <v>471929</v>
      </c>
      <c r="G82" s="14">
        <v>-5118032.2300000004</v>
      </c>
      <c r="H82" s="14">
        <v>706052</v>
      </c>
      <c r="I82" s="14">
        <v>676584.55</v>
      </c>
      <c r="J82" s="14">
        <v>49138.37</v>
      </c>
      <c r="K82" s="14">
        <v>-627446.18000000005</v>
      </c>
      <c r="L82" s="14">
        <v>5589961.2300000004</v>
      </c>
      <c r="M82" s="14">
        <v>369958.93</v>
      </c>
      <c r="N82" s="14">
        <v>-5220002.3</v>
      </c>
    </row>
    <row r="83" spans="1:14" x14ac:dyDescent="0.25">
      <c r="A83" s="39" t="s">
        <v>34</v>
      </c>
      <c r="B83" s="78">
        <v>7846.45</v>
      </c>
      <c r="C83" s="14">
        <v>2386</v>
      </c>
      <c r="D83" s="14">
        <v>-5460.45</v>
      </c>
      <c r="E83" s="14">
        <v>58649.2</v>
      </c>
      <c r="F83" s="14">
        <v>43236</v>
      </c>
      <c r="G83" s="14">
        <v>-15413.2</v>
      </c>
      <c r="H83" s="14">
        <v>64482</v>
      </c>
      <c r="I83" s="14">
        <v>7846.45</v>
      </c>
      <c r="J83" s="14">
        <v>1847.75</v>
      </c>
      <c r="K83" s="14">
        <v>-5998.7</v>
      </c>
      <c r="L83" s="14">
        <v>58649.2</v>
      </c>
      <c r="M83" s="14">
        <v>34948.83</v>
      </c>
      <c r="N83" s="14">
        <v>-23700.37</v>
      </c>
    </row>
    <row r="84" spans="1:14" x14ac:dyDescent="0.25">
      <c r="A84" s="39" t="s">
        <v>33</v>
      </c>
      <c r="B84" s="78">
        <v>1358.67</v>
      </c>
      <c r="C84" s="14">
        <v>1595</v>
      </c>
      <c r="D84" s="14">
        <v>236.33</v>
      </c>
      <c r="E84" s="14">
        <v>9557.86</v>
      </c>
      <c r="F84" s="14">
        <v>10079</v>
      </c>
      <c r="G84" s="14">
        <v>521.14</v>
      </c>
      <c r="H84" s="14">
        <v>16041</v>
      </c>
      <c r="I84" s="14">
        <v>1358.67</v>
      </c>
      <c r="J84" s="79"/>
      <c r="K84" s="14">
        <v>-1358.67</v>
      </c>
      <c r="L84" s="14">
        <v>9557.86</v>
      </c>
      <c r="M84" s="79"/>
      <c r="N84" s="14">
        <v>-9557.86</v>
      </c>
    </row>
    <row r="85" spans="1:14" x14ac:dyDescent="0.25">
      <c r="A85" s="39" t="s">
        <v>32</v>
      </c>
      <c r="B85" s="78">
        <v>96.7</v>
      </c>
      <c r="C85" s="14">
        <v>48</v>
      </c>
      <c r="D85" s="14">
        <v>-48.7</v>
      </c>
      <c r="E85" s="14">
        <v>877.33</v>
      </c>
      <c r="F85" s="14">
        <v>182</v>
      </c>
      <c r="G85" s="14">
        <v>-695.33</v>
      </c>
      <c r="H85" s="14">
        <v>340</v>
      </c>
      <c r="I85" s="14">
        <v>96.7</v>
      </c>
      <c r="J85" s="79"/>
      <c r="K85" s="14">
        <v>-96.7</v>
      </c>
      <c r="L85" s="14">
        <v>877.33</v>
      </c>
      <c r="M85" s="79"/>
      <c r="N85" s="14">
        <v>-877.33</v>
      </c>
    </row>
    <row r="86" spans="1:14" x14ac:dyDescent="0.25">
      <c r="A86" s="39" t="s">
        <v>40</v>
      </c>
      <c r="B86" s="78">
        <v>5879.41</v>
      </c>
      <c r="C86" s="14">
        <v>6709</v>
      </c>
      <c r="D86" s="14">
        <v>829.59</v>
      </c>
      <c r="E86" s="14">
        <v>48064.3</v>
      </c>
      <c r="F86" s="14">
        <v>51072</v>
      </c>
      <c r="G86" s="14">
        <v>3007.7</v>
      </c>
      <c r="H86" s="14">
        <v>78686</v>
      </c>
      <c r="I86" s="14">
        <v>5879.41</v>
      </c>
      <c r="J86" s="14">
        <v>3804.16</v>
      </c>
      <c r="K86" s="14">
        <v>-2075.25</v>
      </c>
      <c r="L86" s="14">
        <v>48064.3</v>
      </c>
      <c r="M86" s="14">
        <v>31266.32</v>
      </c>
      <c r="N86" s="14">
        <v>-16797.98</v>
      </c>
    </row>
    <row r="87" spans="1:14" x14ac:dyDescent="0.25">
      <c r="A87" s="39" t="s">
        <v>39</v>
      </c>
      <c r="B87" s="78">
        <v>239569.85</v>
      </c>
      <c r="C87" s="14">
        <v>22186</v>
      </c>
      <c r="D87" s="14">
        <v>-217383.85</v>
      </c>
      <c r="E87" s="14">
        <v>1958046.22</v>
      </c>
      <c r="F87" s="14">
        <v>173910</v>
      </c>
      <c r="G87" s="14">
        <v>-1784136.22</v>
      </c>
      <c r="H87" s="14">
        <v>261942</v>
      </c>
      <c r="I87" s="14">
        <v>239569.85</v>
      </c>
      <c r="J87" s="14">
        <v>16521.41</v>
      </c>
      <c r="K87" s="14">
        <v>-223048.44</v>
      </c>
      <c r="L87" s="14">
        <v>1958046.22</v>
      </c>
      <c r="M87" s="14">
        <v>135340.6</v>
      </c>
      <c r="N87" s="14">
        <v>-1822705.62</v>
      </c>
    </row>
    <row r="88" spans="1:14" x14ac:dyDescent="0.25">
      <c r="A88" s="39" t="s">
        <v>38</v>
      </c>
      <c r="B88" s="78">
        <v>52738.48</v>
      </c>
      <c r="C88" s="14">
        <v>5164</v>
      </c>
      <c r="D88" s="14">
        <v>-47574.48</v>
      </c>
      <c r="E88" s="14">
        <v>455270.52</v>
      </c>
      <c r="F88" s="14">
        <v>49586</v>
      </c>
      <c r="G88" s="14">
        <v>-405684.52</v>
      </c>
      <c r="H88" s="14">
        <v>69768</v>
      </c>
      <c r="I88" s="14">
        <v>52738.48</v>
      </c>
      <c r="J88" s="14">
        <v>3698.26</v>
      </c>
      <c r="K88" s="14">
        <v>-49040.22</v>
      </c>
      <c r="L88" s="14">
        <v>455270.52</v>
      </c>
      <c r="M88" s="14">
        <v>34824.17</v>
      </c>
      <c r="N88" s="14">
        <v>-420446.35</v>
      </c>
    </row>
    <row r="89" spans="1:14" x14ac:dyDescent="0.25">
      <c r="A89" s="39" t="s">
        <v>37</v>
      </c>
      <c r="B89" s="78">
        <v>-1820.93</v>
      </c>
      <c r="C89" s="14">
        <v>-2989</v>
      </c>
      <c r="D89" s="14">
        <v>-1168.07</v>
      </c>
      <c r="E89" s="14">
        <v>-15783.12</v>
      </c>
      <c r="F89" s="14">
        <v>-24409</v>
      </c>
      <c r="G89" s="14">
        <v>-8625.8799999999992</v>
      </c>
      <c r="H89" s="14">
        <v>-36412</v>
      </c>
      <c r="I89" s="14">
        <v>-1820.93</v>
      </c>
      <c r="J89" s="14">
        <v>8297.58</v>
      </c>
      <c r="K89" s="14">
        <v>10118.51</v>
      </c>
      <c r="L89" s="14">
        <v>-15783.12</v>
      </c>
      <c r="M89" s="14">
        <v>-32059.96</v>
      </c>
      <c r="N89" s="14">
        <v>-16276.84</v>
      </c>
    </row>
    <row r="90" spans="1:14" x14ac:dyDescent="0.25">
      <c r="A90" s="39" t="s">
        <v>36</v>
      </c>
      <c r="B90" s="80">
        <v>982253.18</v>
      </c>
      <c r="C90" s="37">
        <v>97587</v>
      </c>
      <c r="D90" s="37">
        <v>-884666.18</v>
      </c>
      <c r="E90" s="37">
        <v>8104643.54</v>
      </c>
      <c r="F90" s="37">
        <v>775585</v>
      </c>
      <c r="G90" s="37">
        <v>-7329058.54</v>
      </c>
      <c r="H90" s="37">
        <v>1160899</v>
      </c>
      <c r="I90" s="37">
        <v>982253.18</v>
      </c>
      <c r="J90" s="37">
        <v>83307.53</v>
      </c>
      <c r="K90" s="37">
        <v>-898945.65</v>
      </c>
      <c r="L90" s="37">
        <v>8104643.54</v>
      </c>
      <c r="M90" s="37">
        <v>574278.89</v>
      </c>
      <c r="N90" s="37">
        <v>-7530364.6500000004</v>
      </c>
    </row>
    <row r="92" spans="1:14" ht="56.25" x14ac:dyDescent="0.25">
      <c r="A92" s="42" t="s">
        <v>54</v>
      </c>
      <c r="B92" s="77" t="s">
        <v>581</v>
      </c>
      <c r="C92" s="40" t="s">
        <v>582</v>
      </c>
      <c r="D92" s="40" t="s">
        <v>583</v>
      </c>
      <c r="E92" s="40" t="s">
        <v>584</v>
      </c>
      <c r="F92" s="40" t="s">
        <v>585</v>
      </c>
      <c r="G92" s="40" t="s">
        <v>586</v>
      </c>
      <c r="H92" s="40" t="s">
        <v>490</v>
      </c>
      <c r="I92" s="40" t="s">
        <v>587</v>
      </c>
      <c r="J92" s="40" t="s">
        <v>588</v>
      </c>
      <c r="K92" s="40" t="s">
        <v>589</v>
      </c>
      <c r="L92" s="40" t="s">
        <v>590</v>
      </c>
      <c r="M92" s="40" t="s">
        <v>591</v>
      </c>
      <c r="N92" s="40" t="s">
        <v>592</v>
      </c>
    </row>
    <row r="93" spans="1:14" x14ac:dyDescent="0.25">
      <c r="A93" s="39" t="s">
        <v>35</v>
      </c>
      <c r="B93" s="78">
        <v>696037.51</v>
      </c>
      <c r="C93" s="14">
        <v>54347</v>
      </c>
      <c r="D93" s="14">
        <v>-641690.51</v>
      </c>
      <c r="E93" s="14">
        <v>6285998.7400000002</v>
      </c>
      <c r="F93" s="14">
        <v>526276</v>
      </c>
      <c r="G93" s="14">
        <v>-5759722.7400000002</v>
      </c>
      <c r="H93" s="14">
        <v>706052</v>
      </c>
      <c r="I93" s="14">
        <v>696037.51</v>
      </c>
      <c r="J93" s="14">
        <v>44875.98</v>
      </c>
      <c r="K93" s="14">
        <v>-651161.53</v>
      </c>
      <c r="L93" s="14">
        <v>6285998.7400000002</v>
      </c>
      <c r="M93" s="14">
        <v>414834.91</v>
      </c>
      <c r="N93" s="14">
        <v>-5871163.8300000001</v>
      </c>
    </row>
    <row r="94" spans="1:14" x14ac:dyDescent="0.25">
      <c r="A94" s="39" t="s">
        <v>34</v>
      </c>
      <c r="B94" s="78">
        <v>333.99</v>
      </c>
      <c r="C94" s="14">
        <v>1392</v>
      </c>
      <c r="D94" s="14">
        <v>1058.01</v>
      </c>
      <c r="E94" s="14">
        <v>58983.19</v>
      </c>
      <c r="F94" s="14">
        <v>44628</v>
      </c>
      <c r="G94" s="14">
        <v>-14355.19</v>
      </c>
      <c r="H94" s="14">
        <v>64482</v>
      </c>
      <c r="I94" s="14">
        <v>333.99</v>
      </c>
      <c r="J94" s="14">
        <v>928.74</v>
      </c>
      <c r="K94" s="14">
        <v>594.75</v>
      </c>
      <c r="L94" s="14">
        <v>58983.19</v>
      </c>
      <c r="M94" s="14">
        <v>35877.57</v>
      </c>
      <c r="N94" s="14">
        <v>-23105.62</v>
      </c>
    </row>
    <row r="95" spans="1:14" x14ac:dyDescent="0.25">
      <c r="A95" s="39" t="s">
        <v>33</v>
      </c>
      <c r="B95" s="78">
        <v>1353.68</v>
      </c>
      <c r="C95" s="14">
        <v>1386</v>
      </c>
      <c r="D95" s="14">
        <v>32.32</v>
      </c>
      <c r="E95" s="14">
        <v>10911.54</v>
      </c>
      <c r="F95" s="14">
        <v>11465</v>
      </c>
      <c r="G95" s="14">
        <v>553.46</v>
      </c>
      <c r="H95" s="14">
        <v>16041</v>
      </c>
      <c r="I95" s="14">
        <v>1353.68</v>
      </c>
      <c r="J95" s="79"/>
      <c r="K95" s="14">
        <v>-1353.68</v>
      </c>
      <c r="L95" s="14">
        <v>10911.54</v>
      </c>
      <c r="M95" s="79"/>
      <c r="N95" s="14">
        <v>-10911.54</v>
      </c>
    </row>
    <row r="96" spans="1:14" x14ac:dyDescent="0.25">
      <c r="A96" s="39" t="s">
        <v>32</v>
      </c>
      <c r="B96" s="78">
        <v>98.73</v>
      </c>
      <c r="C96" s="14">
        <v>37</v>
      </c>
      <c r="D96" s="14">
        <v>-61.73</v>
      </c>
      <c r="E96" s="14">
        <v>976.06</v>
      </c>
      <c r="F96" s="14">
        <v>219</v>
      </c>
      <c r="G96" s="14">
        <v>-757.06</v>
      </c>
      <c r="H96" s="14">
        <v>340</v>
      </c>
      <c r="I96" s="14">
        <v>98.73</v>
      </c>
      <c r="J96" s="79"/>
      <c r="K96" s="14">
        <v>-98.73</v>
      </c>
      <c r="L96" s="14">
        <v>976.06</v>
      </c>
      <c r="M96" s="79"/>
      <c r="N96" s="14">
        <v>-976.06</v>
      </c>
    </row>
    <row r="97" spans="1:14" x14ac:dyDescent="0.25">
      <c r="A97" s="39" t="s">
        <v>40</v>
      </c>
      <c r="B97" s="78">
        <v>7387.14</v>
      </c>
      <c r="C97" s="14">
        <v>5922</v>
      </c>
      <c r="D97" s="14">
        <v>-1465.14</v>
      </c>
      <c r="E97" s="14">
        <v>55451.44</v>
      </c>
      <c r="F97" s="14">
        <v>56994</v>
      </c>
      <c r="G97" s="14">
        <v>1542.56</v>
      </c>
      <c r="H97" s="14">
        <v>78686</v>
      </c>
      <c r="I97" s="14">
        <v>7387.14</v>
      </c>
      <c r="J97" s="14">
        <v>3804.16</v>
      </c>
      <c r="K97" s="14">
        <v>-3582.98</v>
      </c>
      <c r="L97" s="14">
        <v>55451.44</v>
      </c>
      <c r="M97" s="14">
        <v>35070.480000000003</v>
      </c>
      <c r="N97" s="14">
        <v>-20380.96</v>
      </c>
    </row>
    <row r="98" spans="1:14" x14ac:dyDescent="0.25">
      <c r="A98" s="39" t="s">
        <v>39</v>
      </c>
      <c r="B98" s="78">
        <v>339014.47</v>
      </c>
      <c r="C98" s="14">
        <v>21330</v>
      </c>
      <c r="D98" s="14">
        <v>-317684.46999999997</v>
      </c>
      <c r="E98" s="14">
        <v>2297060.69</v>
      </c>
      <c r="F98" s="14">
        <v>195240</v>
      </c>
      <c r="G98" s="14">
        <v>-2101820.69</v>
      </c>
      <c r="H98" s="14">
        <v>261942</v>
      </c>
      <c r="I98" s="14">
        <v>339014.47</v>
      </c>
      <c r="J98" s="14">
        <v>85974.89</v>
      </c>
      <c r="K98" s="14">
        <v>-253039.58</v>
      </c>
      <c r="L98" s="14">
        <v>2297060.69</v>
      </c>
      <c r="M98" s="14">
        <v>221315.49</v>
      </c>
      <c r="N98" s="14">
        <v>-2075745.2</v>
      </c>
    </row>
    <row r="99" spans="1:14" x14ac:dyDescent="0.25">
      <c r="A99" s="39" t="s">
        <v>38</v>
      </c>
      <c r="B99" s="78">
        <v>63790.97</v>
      </c>
      <c r="C99" s="14">
        <v>4439</v>
      </c>
      <c r="D99" s="14">
        <v>-59351.97</v>
      </c>
      <c r="E99" s="14">
        <v>519061.49</v>
      </c>
      <c r="F99" s="14">
        <v>54025</v>
      </c>
      <c r="G99" s="14">
        <v>-465036.49</v>
      </c>
      <c r="H99" s="14">
        <v>69768</v>
      </c>
      <c r="I99" s="14">
        <v>63790.97</v>
      </c>
      <c r="J99" s="14">
        <v>3319.46</v>
      </c>
      <c r="K99" s="14">
        <v>-60471.51</v>
      </c>
      <c r="L99" s="14">
        <v>519061.49</v>
      </c>
      <c r="M99" s="14">
        <v>38143.629999999997</v>
      </c>
      <c r="N99" s="14">
        <v>-480917.86</v>
      </c>
    </row>
    <row r="100" spans="1:14" x14ac:dyDescent="0.25">
      <c r="A100" s="39" t="s">
        <v>37</v>
      </c>
      <c r="B100" s="78">
        <v>-1458.63</v>
      </c>
      <c r="C100" s="14">
        <v>-2630</v>
      </c>
      <c r="D100" s="14">
        <v>-1171.3699999999999</v>
      </c>
      <c r="E100" s="14">
        <v>-17241.75</v>
      </c>
      <c r="F100" s="14">
        <v>-27039</v>
      </c>
      <c r="G100" s="14">
        <v>-9797.25</v>
      </c>
      <c r="H100" s="14">
        <v>-36412</v>
      </c>
      <c r="I100" s="14">
        <v>-1458.63</v>
      </c>
      <c r="J100" s="14">
        <v>-320.37</v>
      </c>
      <c r="K100" s="14">
        <v>1138.26</v>
      </c>
      <c r="L100" s="14">
        <v>-17241.75</v>
      </c>
      <c r="M100" s="14">
        <v>-32380.33</v>
      </c>
      <c r="N100" s="14">
        <v>-15138.58</v>
      </c>
    </row>
    <row r="101" spans="1:14" x14ac:dyDescent="0.25">
      <c r="A101" s="39" t="s">
        <v>36</v>
      </c>
      <c r="B101" s="80">
        <v>1106557.8600000001</v>
      </c>
      <c r="C101" s="37">
        <v>86223</v>
      </c>
      <c r="D101" s="37">
        <v>-1020334.86</v>
      </c>
      <c r="E101" s="37">
        <v>9211201.4000000004</v>
      </c>
      <c r="F101" s="37">
        <v>861808</v>
      </c>
      <c r="G101" s="37">
        <v>-8349393.4000000004</v>
      </c>
      <c r="H101" s="37">
        <v>1160899</v>
      </c>
      <c r="I101" s="37">
        <v>1106557.8600000001</v>
      </c>
      <c r="J101" s="37">
        <v>138582.85999999999</v>
      </c>
      <c r="K101" s="37">
        <v>-967975</v>
      </c>
      <c r="L101" s="37">
        <v>9211201.4000000004</v>
      </c>
      <c r="M101" s="37">
        <v>712861.75</v>
      </c>
      <c r="N101" s="37">
        <v>-8498339.6500000004</v>
      </c>
    </row>
    <row r="103" spans="1:14" ht="56.25" x14ac:dyDescent="0.25">
      <c r="A103" s="42" t="s">
        <v>54</v>
      </c>
      <c r="B103" s="77" t="s">
        <v>593</v>
      </c>
      <c r="C103" s="40" t="s">
        <v>594</v>
      </c>
      <c r="D103" s="40" t="s">
        <v>595</v>
      </c>
      <c r="E103" s="40" t="s">
        <v>596</v>
      </c>
      <c r="F103" s="40" t="s">
        <v>597</v>
      </c>
      <c r="G103" s="40" t="s">
        <v>598</v>
      </c>
      <c r="H103" s="40" t="s">
        <v>490</v>
      </c>
      <c r="I103" s="40" t="s">
        <v>599</v>
      </c>
      <c r="J103" s="40" t="s">
        <v>600</v>
      </c>
      <c r="K103" s="40" t="s">
        <v>601</v>
      </c>
      <c r="L103" s="40" t="s">
        <v>602</v>
      </c>
      <c r="M103" s="40" t="s">
        <v>603</v>
      </c>
      <c r="N103" s="40" t="s">
        <v>604</v>
      </c>
    </row>
    <row r="104" spans="1:14" x14ac:dyDescent="0.25">
      <c r="A104" s="39" t="s">
        <v>35</v>
      </c>
      <c r="B104" s="78">
        <v>627419.74</v>
      </c>
      <c r="C104" s="14">
        <v>62641</v>
      </c>
      <c r="D104" s="14">
        <v>-564778.74</v>
      </c>
      <c r="E104" s="14">
        <v>6913418.4800000004</v>
      </c>
      <c r="F104" s="14">
        <v>588917</v>
      </c>
      <c r="G104" s="14">
        <v>-6324501.4800000004</v>
      </c>
      <c r="H104" s="14">
        <v>706052</v>
      </c>
      <c r="I104" s="14">
        <v>627419.74</v>
      </c>
      <c r="J104" s="14">
        <v>47055.12</v>
      </c>
      <c r="K104" s="14">
        <v>-580364.62</v>
      </c>
      <c r="L104" s="14">
        <v>6913418.4800000004</v>
      </c>
      <c r="M104" s="14">
        <v>461890.03</v>
      </c>
      <c r="N104" s="14">
        <v>-6451528.4500000002</v>
      </c>
    </row>
    <row r="105" spans="1:14" x14ac:dyDescent="0.25">
      <c r="A105" s="39" t="s">
        <v>34</v>
      </c>
      <c r="B105" s="78">
        <v>5777.37</v>
      </c>
      <c r="C105" s="14">
        <v>4082</v>
      </c>
      <c r="D105" s="14">
        <v>-1695.37</v>
      </c>
      <c r="E105" s="14">
        <v>64760.56</v>
      </c>
      <c r="F105" s="14">
        <v>48710</v>
      </c>
      <c r="G105" s="14">
        <v>-16050.56</v>
      </c>
      <c r="H105" s="14">
        <v>64482</v>
      </c>
      <c r="I105" s="14">
        <v>5777.37</v>
      </c>
      <c r="J105" s="14">
        <v>3223.22</v>
      </c>
      <c r="K105" s="14">
        <v>-2554.15</v>
      </c>
      <c r="L105" s="14">
        <v>64760.56</v>
      </c>
      <c r="M105" s="14">
        <v>39100.79</v>
      </c>
      <c r="N105" s="14">
        <v>-25659.77</v>
      </c>
    </row>
    <row r="106" spans="1:14" x14ac:dyDescent="0.25">
      <c r="A106" s="39" t="s">
        <v>33</v>
      </c>
      <c r="B106" s="78">
        <v>1442.5</v>
      </c>
      <c r="C106" s="14">
        <v>1595</v>
      </c>
      <c r="D106" s="14">
        <v>152.5</v>
      </c>
      <c r="E106" s="14">
        <v>12354.04</v>
      </c>
      <c r="F106" s="14">
        <v>13060</v>
      </c>
      <c r="G106" s="14">
        <v>705.96</v>
      </c>
      <c r="H106" s="14">
        <v>16041</v>
      </c>
      <c r="I106" s="14">
        <v>1442.5</v>
      </c>
      <c r="J106" s="79"/>
      <c r="K106" s="14">
        <v>-1442.5</v>
      </c>
      <c r="L106" s="14">
        <v>12354.04</v>
      </c>
      <c r="M106" s="79"/>
      <c r="N106" s="14">
        <v>-12354.04</v>
      </c>
    </row>
    <row r="107" spans="1:14" x14ac:dyDescent="0.25">
      <c r="A107" s="39" t="s">
        <v>32</v>
      </c>
      <c r="B107" s="78">
        <v>115.81</v>
      </c>
      <c r="C107" s="14">
        <v>37</v>
      </c>
      <c r="D107" s="14">
        <v>-78.81</v>
      </c>
      <c r="E107" s="14">
        <v>1091.8699999999999</v>
      </c>
      <c r="F107" s="14">
        <v>256</v>
      </c>
      <c r="G107" s="14">
        <v>-835.87</v>
      </c>
      <c r="H107" s="14">
        <v>340</v>
      </c>
      <c r="I107" s="14">
        <v>115.81</v>
      </c>
      <c r="J107" s="79"/>
      <c r="K107" s="14">
        <v>-115.81</v>
      </c>
      <c r="L107" s="14">
        <v>1091.8699999999999</v>
      </c>
      <c r="M107" s="79"/>
      <c r="N107" s="14">
        <v>-1091.8699999999999</v>
      </c>
    </row>
    <row r="108" spans="1:14" x14ac:dyDescent="0.25">
      <c r="A108" s="39" t="s">
        <v>40</v>
      </c>
      <c r="B108" s="78">
        <v>6925.01</v>
      </c>
      <c r="C108" s="14">
        <v>7492</v>
      </c>
      <c r="D108" s="14">
        <v>566.99</v>
      </c>
      <c r="E108" s="14">
        <v>62376.45</v>
      </c>
      <c r="F108" s="14">
        <v>64486</v>
      </c>
      <c r="G108" s="14">
        <v>2109.5500000000002</v>
      </c>
      <c r="H108" s="14">
        <v>78686</v>
      </c>
      <c r="I108" s="14">
        <v>6925.01</v>
      </c>
      <c r="J108" s="14">
        <v>3803.95</v>
      </c>
      <c r="K108" s="14">
        <v>-3121.06</v>
      </c>
      <c r="L108" s="14">
        <v>62376.45</v>
      </c>
      <c r="M108" s="14">
        <v>38874.43</v>
      </c>
      <c r="N108" s="14">
        <v>-23502.02</v>
      </c>
    </row>
    <row r="109" spans="1:14" x14ac:dyDescent="0.25">
      <c r="A109" s="39" t="s">
        <v>39</v>
      </c>
      <c r="B109" s="78">
        <v>206701.82</v>
      </c>
      <c r="C109" s="14">
        <v>23186</v>
      </c>
      <c r="D109" s="14">
        <v>-183515.82</v>
      </c>
      <c r="E109" s="14">
        <v>2503762.5099999998</v>
      </c>
      <c r="F109" s="14">
        <v>218426</v>
      </c>
      <c r="G109" s="14">
        <v>-2285336.5099999998</v>
      </c>
      <c r="H109" s="14">
        <v>261942</v>
      </c>
      <c r="I109" s="14">
        <v>206701.82</v>
      </c>
      <c r="J109" s="14">
        <v>87086.07</v>
      </c>
      <c r="K109" s="14">
        <v>-119615.75</v>
      </c>
      <c r="L109" s="14">
        <v>2503762.5099999998</v>
      </c>
      <c r="M109" s="14">
        <v>308401.56</v>
      </c>
      <c r="N109" s="14">
        <v>-2195360.9500000002</v>
      </c>
    </row>
    <row r="110" spans="1:14" x14ac:dyDescent="0.25">
      <c r="A110" s="39" t="s">
        <v>38</v>
      </c>
      <c r="B110" s="78">
        <v>50945.36</v>
      </c>
      <c r="C110" s="14">
        <v>5279</v>
      </c>
      <c r="D110" s="14">
        <v>-45666.36</v>
      </c>
      <c r="E110" s="14">
        <v>570006.85</v>
      </c>
      <c r="F110" s="14">
        <v>59304</v>
      </c>
      <c r="G110" s="14">
        <v>-510702.85</v>
      </c>
      <c r="H110" s="14">
        <v>69768</v>
      </c>
      <c r="I110" s="14">
        <v>50945.36</v>
      </c>
      <c r="J110" s="14">
        <v>3652.89</v>
      </c>
      <c r="K110" s="14">
        <v>-47292.47</v>
      </c>
      <c r="L110" s="14">
        <v>570006.85</v>
      </c>
      <c r="M110" s="14">
        <v>41796.519999999997</v>
      </c>
      <c r="N110" s="14">
        <v>-528210.32999999996</v>
      </c>
    </row>
    <row r="111" spans="1:14" x14ac:dyDescent="0.25">
      <c r="A111" s="39" t="s">
        <v>37</v>
      </c>
      <c r="B111" s="78">
        <v>-5000.57</v>
      </c>
      <c r="C111" s="14">
        <v>-3142</v>
      </c>
      <c r="D111" s="14">
        <v>1858.57</v>
      </c>
      <c r="E111" s="14">
        <v>-22242.32</v>
      </c>
      <c r="F111" s="14">
        <v>-30181</v>
      </c>
      <c r="G111" s="14">
        <v>-7938.68</v>
      </c>
      <c r="H111" s="14">
        <v>-36412</v>
      </c>
      <c r="I111" s="14">
        <v>-5000.57</v>
      </c>
      <c r="J111" s="14">
        <v>55.75</v>
      </c>
      <c r="K111" s="14">
        <v>5056.32</v>
      </c>
      <c r="L111" s="14">
        <v>-22242.32</v>
      </c>
      <c r="M111" s="14">
        <v>-32324.58</v>
      </c>
      <c r="N111" s="14">
        <v>-10082.26</v>
      </c>
    </row>
    <row r="112" spans="1:14" x14ac:dyDescent="0.25">
      <c r="A112" s="39" t="s">
        <v>36</v>
      </c>
      <c r="B112" s="80">
        <v>894327.04</v>
      </c>
      <c r="C112" s="37">
        <v>101170</v>
      </c>
      <c r="D112" s="37">
        <v>-793157.04</v>
      </c>
      <c r="E112" s="37">
        <v>10105528.439999999</v>
      </c>
      <c r="F112" s="37">
        <v>962978</v>
      </c>
      <c r="G112" s="37">
        <v>-9142550.4399999995</v>
      </c>
      <c r="H112" s="37">
        <v>1160899</v>
      </c>
      <c r="I112" s="37">
        <v>894327.04</v>
      </c>
      <c r="J112" s="37">
        <v>144877</v>
      </c>
      <c r="K112" s="37">
        <v>-749450.04</v>
      </c>
      <c r="L112" s="37">
        <v>10105528.439999999</v>
      </c>
      <c r="M112" s="37">
        <v>857738.75</v>
      </c>
      <c r="N112" s="37">
        <v>-9247789.6899999995</v>
      </c>
    </row>
    <row r="114" spans="1:14" ht="56.25" x14ac:dyDescent="0.25">
      <c r="A114" s="42" t="s">
        <v>54</v>
      </c>
      <c r="B114" s="77" t="s">
        <v>605</v>
      </c>
      <c r="C114" s="40" t="s">
        <v>606</v>
      </c>
      <c r="D114" s="40" t="s">
        <v>607</v>
      </c>
      <c r="E114" s="40" t="s">
        <v>608</v>
      </c>
      <c r="F114" s="40" t="s">
        <v>609</v>
      </c>
      <c r="G114" s="40" t="s">
        <v>610</v>
      </c>
      <c r="H114" s="40" t="s">
        <v>490</v>
      </c>
      <c r="I114" s="40" t="s">
        <v>611</v>
      </c>
      <c r="J114" s="40" t="s">
        <v>612</v>
      </c>
      <c r="K114" s="40" t="s">
        <v>613</v>
      </c>
      <c r="L114" s="40" t="s">
        <v>614</v>
      </c>
      <c r="M114" s="40" t="s">
        <v>615</v>
      </c>
      <c r="N114" s="40" t="s">
        <v>616</v>
      </c>
    </row>
    <row r="115" spans="1:14" x14ac:dyDescent="0.25">
      <c r="A115" s="39" t="s">
        <v>35</v>
      </c>
      <c r="B115" s="78">
        <v>624257.78</v>
      </c>
      <c r="C115" s="14">
        <v>59924</v>
      </c>
      <c r="D115" s="14">
        <v>-564333.78</v>
      </c>
      <c r="E115" s="14">
        <v>7537676.2599999998</v>
      </c>
      <c r="F115" s="14">
        <v>648841</v>
      </c>
      <c r="G115" s="14">
        <v>-6888835.2599999998</v>
      </c>
      <c r="H115" s="14">
        <v>706052</v>
      </c>
      <c r="I115" s="14">
        <v>624257.78</v>
      </c>
      <c r="J115" s="14">
        <v>47710.7</v>
      </c>
      <c r="K115" s="14">
        <v>-576547.07999999996</v>
      </c>
      <c r="L115" s="14">
        <v>7537676.2599999998</v>
      </c>
      <c r="M115" s="14">
        <v>509600.73</v>
      </c>
      <c r="N115" s="14">
        <v>-7028075.5300000003</v>
      </c>
    </row>
    <row r="116" spans="1:14" x14ac:dyDescent="0.25">
      <c r="A116" s="39" t="s">
        <v>34</v>
      </c>
      <c r="B116" s="78">
        <v>2965.91</v>
      </c>
      <c r="C116" s="14">
        <v>4144</v>
      </c>
      <c r="D116" s="14">
        <v>1178.0899999999999</v>
      </c>
      <c r="E116" s="14">
        <v>67726.47</v>
      </c>
      <c r="F116" s="14">
        <v>52854</v>
      </c>
      <c r="G116" s="14">
        <v>-14872.47</v>
      </c>
      <c r="H116" s="14">
        <v>64482</v>
      </c>
      <c r="I116" s="14">
        <v>2965.91</v>
      </c>
      <c r="J116" s="14">
        <v>3069.73</v>
      </c>
      <c r="K116" s="14">
        <v>103.82</v>
      </c>
      <c r="L116" s="14">
        <v>67726.47</v>
      </c>
      <c r="M116" s="14">
        <v>42170.52</v>
      </c>
      <c r="N116" s="14">
        <v>-25555.95</v>
      </c>
    </row>
    <row r="117" spans="1:14" x14ac:dyDescent="0.25">
      <c r="A117" s="39" t="s">
        <v>33</v>
      </c>
      <c r="B117" s="78">
        <v>1417.39</v>
      </c>
      <c r="C117" s="14">
        <v>1525</v>
      </c>
      <c r="D117" s="14">
        <v>107.61</v>
      </c>
      <c r="E117" s="14">
        <v>13771.43</v>
      </c>
      <c r="F117" s="14">
        <v>14585</v>
      </c>
      <c r="G117" s="14">
        <v>813.57</v>
      </c>
      <c r="H117" s="14">
        <v>16041</v>
      </c>
      <c r="I117" s="14">
        <v>1417.39</v>
      </c>
      <c r="J117" s="79"/>
      <c r="K117" s="14">
        <v>-1417.39</v>
      </c>
      <c r="L117" s="14">
        <v>13771.43</v>
      </c>
      <c r="M117" s="79"/>
      <c r="N117" s="14">
        <v>-13771.43</v>
      </c>
    </row>
    <row r="118" spans="1:14" x14ac:dyDescent="0.25">
      <c r="A118" s="39" t="s">
        <v>32</v>
      </c>
      <c r="B118" s="78">
        <v>107.65</v>
      </c>
      <c r="C118" s="14">
        <v>50</v>
      </c>
      <c r="D118" s="14">
        <v>-57.65</v>
      </c>
      <c r="E118" s="14">
        <v>1199.52</v>
      </c>
      <c r="F118" s="14">
        <v>306</v>
      </c>
      <c r="G118" s="14">
        <v>-893.52</v>
      </c>
      <c r="H118" s="14">
        <v>340</v>
      </c>
      <c r="I118" s="14">
        <v>107.65</v>
      </c>
      <c r="J118" s="79"/>
      <c r="K118" s="14">
        <v>-107.65</v>
      </c>
      <c r="L118" s="14">
        <v>1199.52</v>
      </c>
      <c r="M118" s="79"/>
      <c r="N118" s="14">
        <v>-1199.52</v>
      </c>
    </row>
    <row r="119" spans="1:14" x14ac:dyDescent="0.25">
      <c r="A119" s="39" t="s">
        <v>40</v>
      </c>
      <c r="B119" s="78">
        <v>6855.03</v>
      </c>
      <c r="C119" s="14">
        <v>7233</v>
      </c>
      <c r="D119" s="14">
        <v>377.97</v>
      </c>
      <c r="E119" s="14">
        <v>69231.48</v>
      </c>
      <c r="F119" s="14">
        <v>71719</v>
      </c>
      <c r="G119" s="14">
        <v>2487.52</v>
      </c>
      <c r="H119" s="14">
        <v>78686</v>
      </c>
      <c r="I119" s="14">
        <v>6855.03</v>
      </c>
      <c r="J119" s="14">
        <v>3804.16</v>
      </c>
      <c r="K119" s="14">
        <v>-3050.87</v>
      </c>
      <c r="L119" s="14">
        <v>69231.48</v>
      </c>
      <c r="M119" s="14">
        <v>42678.59</v>
      </c>
      <c r="N119" s="14">
        <v>-26552.89</v>
      </c>
    </row>
    <row r="120" spans="1:14" x14ac:dyDescent="0.25">
      <c r="A120" s="39" t="s">
        <v>39</v>
      </c>
      <c r="B120" s="78">
        <v>279621.23</v>
      </c>
      <c r="C120" s="14">
        <v>21899</v>
      </c>
      <c r="D120" s="14">
        <v>-257722.23</v>
      </c>
      <c r="E120" s="14">
        <v>2783383.74</v>
      </c>
      <c r="F120" s="14">
        <v>240325</v>
      </c>
      <c r="G120" s="14">
        <v>-2543058.7400000002</v>
      </c>
      <c r="H120" s="14">
        <v>261942</v>
      </c>
      <c r="I120" s="14">
        <v>279621.23</v>
      </c>
      <c r="J120" s="14">
        <v>32795.78</v>
      </c>
      <c r="K120" s="14">
        <v>-246825.45</v>
      </c>
      <c r="L120" s="14">
        <v>2783383.74</v>
      </c>
      <c r="M120" s="14">
        <v>341197.34</v>
      </c>
      <c r="N120" s="14">
        <v>-2442186.4</v>
      </c>
    </row>
    <row r="121" spans="1:14" x14ac:dyDescent="0.25">
      <c r="A121" s="39" t="s">
        <v>38</v>
      </c>
      <c r="B121" s="78">
        <v>48320.87</v>
      </c>
      <c r="C121" s="14">
        <v>5068</v>
      </c>
      <c r="D121" s="14">
        <v>-43252.87</v>
      </c>
      <c r="E121" s="14">
        <v>618327.72</v>
      </c>
      <c r="F121" s="14">
        <v>64372</v>
      </c>
      <c r="G121" s="14">
        <v>-553955.72</v>
      </c>
      <c r="H121" s="14">
        <v>69768</v>
      </c>
      <c r="I121" s="14">
        <v>48320.87</v>
      </c>
      <c r="J121" s="14">
        <v>3691.3</v>
      </c>
      <c r="K121" s="14">
        <v>-44629.57</v>
      </c>
      <c r="L121" s="14">
        <v>618327.72</v>
      </c>
      <c r="M121" s="14">
        <v>45487.82</v>
      </c>
      <c r="N121" s="14">
        <v>-572839.9</v>
      </c>
    </row>
    <row r="122" spans="1:14" x14ac:dyDescent="0.25">
      <c r="A122" s="39" t="s">
        <v>37</v>
      </c>
      <c r="B122" s="78">
        <v>-2733.4</v>
      </c>
      <c r="C122" s="14">
        <v>-2948</v>
      </c>
      <c r="D122" s="14">
        <v>-214.6</v>
      </c>
      <c r="E122" s="14">
        <v>-24975.72</v>
      </c>
      <c r="F122" s="14">
        <v>-33129</v>
      </c>
      <c r="G122" s="14">
        <v>-8153.28</v>
      </c>
      <c r="H122" s="14">
        <v>-36412</v>
      </c>
      <c r="I122" s="14">
        <v>-2733.4</v>
      </c>
      <c r="J122" s="14">
        <v>-561.58000000000004</v>
      </c>
      <c r="K122" s="14">
        <v>2171.8200000000002</v>
      </c>
      <c r="L122" s="14">
        <v>-24975.72</v>
      </c>
      <c r="M122" s="14">
        <v>-32886.160000000003</v>
      </c>
      <c r="N122" s="14">
        <v>-7910.44</v>
      </c>
    </row>
    <row r="123" spans="1:14" x14ac:dyDescent="0.25">
      <c r="A123" s="39" t="s">
        <v>36</v>
      </c>
      <c r="B123" s="80">
        <v>960812.46</v>
      </c>
      <c r="C123" s="37">
        <v>96895</v>
      </c>
      <c r="D123" s="37">
        <v>-863917.46</v>
      </c>
      <c r="E123" s="37">
        <v>11066340.9</v>
      </c>
      <c r="F123" s="37">
        <v>1059873</v>
      </c>
      <c r="G123" s="37">
        <v>-10006467.9</v>
      </c>
      <c r="H123" s="37">
        <v>1160899</v>
      </c>
      <c r="I123" s="37">
        <v>960812.46</v>
      </c>
      <c r="J123" s="37">
        <v>90510.09</v>
      </c>
      <c r="K123" s="37">
        <v>-870302.37</v>
      </c>
      <c r="L123" s="37">
        <v>11066340.9</v>
      </c>
      <c r="M123" s="37">
        <v>948248.84</v>
      </c>
      <c r="N123" s="37">
        <v>-10118092.060000001</v>
      </c>
    </row>
    <row r="125" spans="1:14" ht="56.25" x14ac:dyDescent="0.25">
      <c r="A125" s="42" t="s">
        <v>54</v>
      </c>
      <c r="B125" s="77" t="s">
        <v>617</v>
      </c>
      <c r="C125" s="40" t="s">
        <v>618</v>
      </c>
      <c r="D125" s="40" t="s">
        <v>619</v>
      </c>
      <c r="E125" s="40" t="s">
        <v>620</v>
      </c>
      <c r="F125" s="40" t="s">
        <v>621</v>
      </c>
      <c r="G125" s="40" t="s">
        <v>622</v>
      </c>
      <c r="H125" s="40" t="s">
        <v>490</v>
      </c>
      <c r="I125" s="40" t="s">
        <v>623</v>
      </c>
      <c r="J125" s="40" t="s">
        <v>624</v>
      </c>
      <c r="K125" s="40" t="s">
        <v>625</v>
      </c>
      <c r="L125" s="40" t="s">
        <v>626</v>
      </c>
      <c r="M125" s="40" t="s">
        <v>627</v>
      </c>
      <c r="N125" s="40" t="s">
        <v>628</v>
      </c>
    </row>
    <row r="126" spans="1:14" x14ac:dyDescent="0.25">
      <c r="A126" s="39" t="s">
        <v>35</v>
      </c>
      <c r="B126" s="78">
        <v>607034.52</v>
      </c>
      <c r="C126" s="14">
        <v>57211</v>
      </c>
      <c r="D126" s="14">
        <v>-549823.52</v>
      </c>
      <c r="E126" s="14">
        <v>8144710.7800000003</v>
      </c>
      <c r="F126" s="14">
        <v>706052</v>
      </c>
      <c r="G126" s="14">
        <v>-7438658.7800000003</v>
      </c>
      <c r="H126" s="14">
        <v>706052</v>
      </c>
      <c r="I126" s="14">
        <v>607034.52</v>
      </c>
      <c r="J126" s="14">
        <v>43971.47</v>
      </c>
      <c r="K126" s="14">
        <v>-563063.05000000005</v>
      </c>
      <c r="L126" s="14">
        <v>8144710.7800000003</v>
      </c>
      <c r="M126" s="14">
        <v>553572.19999999995</v>
      </c>
      <c r="N126" s="14">
        <v>-7591138.5800000001</v>
      </c>
    </row>
    <row r="127" spans="1:14" x14ac:dyDescent="0.25">
      <c r="A127" s="39" t="s">
        <v>34</v>
      </c>
      <c r="B127" s="78">
        <v>8527.1</v>
      </c>
      <c r="C127" s="14">
        <v>11628</v>
      </c>
      <c r="D127" s="14">
        <v>3100.9</v>
      </c>
      <c r="E127" s="14">
        <v>76253.570000000007</v>
      </c>
      <c r="F127" s="14">
        <v>64482</v>
      </c>
      <c r="G127" s="14">
        <v>-11771.57</v>
      </c>
      <c r="H127" s="14">
        <v>64482</v>
      </c>
      <c r="I127" s="14">
        <v>8527.1</v>
      </c>
      <c r="J127" s="14">
        <v>9579.11</v>
      </c>
      <c r="K127" s="14">
        <v>1052.01</v>
      </c>
      <c r="L127" s="14">
        <v>76253.570000000007</v>
      </c>
      <c r="M127" s="14">
        <v>51749.63</v>
      </c>
      <c r="N127" s="14">
        <v>-24503.94</v>
      </c>
    </row>
    <row r="128" spans="1:14" x14ac:dyDescent="0.25">
      <c r="A128" s="39" t="s">
        <v>33</v>
      </c>
      <c r="B128" s="78">
        <v>1425.64</v>
      </c>
      <c r="C128" s="14">
        <v>1456</v>
      </c>
      <c r="D128" s="14">
        <v>30.36</v>
      </c>
      <c r="E128" s="14">
        <v>15197.07</v>
      </c>
      <c r="F128" s="14">
        <v>16041</v>
      </c>
      <c r="G128" s="14">
        <v>843.93</v>
      </c>
      <c r="H128" s="14">
        <v>16041</v>
      </c>
      <c r="I128" s="14">
        <v>1425.64</v>
      </c>
      <c r="J128" s="79"/>
      <c r="K128" s="14">
        <v>-1425.64</v>
      </c>
      <c r="L128" s="14">
        <v>15197.07</v>
      </c>
      <c r="M128" s="79"/>
      <c r="N128" s="14">
        <v>-15197.07</v>
      </c>
    </row>
    <row r="129" spans="1:14" x14ac:dyDescent="0.25">
      <c r="A129" s="39" t="s">
        <v>32</v>
      </c>
      <c r="B129" s="78">
        <v>69.12</v>
      </c>
      <c r="C129" s="14">
        <v>34</v>
      </c>
      <c r="D129" s="14">
        <v>-35.119999999999997</v>
      </c>
      <c r="E129" s="14">
        <v>1268.6400000000001</v>
      </c>
      <c r="F129" s="14">
        <v>340</v>
      </c>
      <c r="G129" s="14">
        <v>-928.64</v>
      </c>
      <c r="H129" s="14">
        <v>340</v>
      </c>
      <c r="I129" s="14">
        <v>69.12</v>
      </c>
      <c r="J129" s="79"/>
      <c r="K129" s="14">
        <v>-69.12</v>
      </c>
      <c r="L129" s="14">
        <v>1268.6400000000001</v>
      </c>
      <c r="M129" s="79"/>
      <c r="N129" s="14">
        <v>-1268.6400000000001</v>
      </c>
    </row>
    <row r="130" spans="1:14" x14ac:dyDescent="0.25">
      <c r="A130" s="39" t="s">
        <v>40</v>
      </c>
      <c r="B130" s="78">
        <v>690483.19</v>
      </c>
      <c r="C130" s="14">
        <v>6967</v>
      </c>
      <c r="D130" s="14">
        <v>-683516.19</v>
      </c>
      <c r="E130" s="14">
        <v>759714.67</v>
      </c>
      <c r="F130" s="14">
        <v>78686</v>
      </c>
      <c r="G130" s="14">
        <v>-681028.67</v>
      </c>
      <c r="H130" s="14">
        <v>78686</v>
      </c>
      <c r="I130" s="14">
        <v>690483.19</v>
      </c>
      <c r="J130" s="14">
        <v>-3295.44</v>
      </c>
      <c r="K130" s="14">
        <v>-693778.63</v>
      </c>
      <c r="L130" s="14">
        <v>759714.67</v>
      </c>
      <c r="M130" s="14">
        <v>39383.15</v>
      </c>
      <c r="N130" s="14">
        <v>-720331.52</v>
      </c>
    </row>
    <row r="131" spans="1:14" x14ac:dyDescent="0.25">
      <c r="A131" s="39" t="s">
        <v>39</v>
      </c>
      <c r="B131" s="78">
        <v>137680.91</v>
      </c>
      <c r="C131" s="14">
        <v>21617</v>
      </c>
      <c r="D131" s="14">
        <v>-116063.91</v>
      </c>
      <c r="E131" s="14">
        <v>2921064.65</v>
      </c>
      <c r="F131" s="14">
        <v>261942</v>
      </c>
      <c r="G131" s="14">
        <v>-2659122.65</v>
      </c>
      <c r="H131" s="14">
        <v>261942</v>
      </c>
      <c r="I131" s="14">
        <v>137680.91</v>
      </c>
      <c r="J131" s="14">
        <v>10558</v>
      </c>
      <c r="K131" s="14">
        <v>-127122.91</v>
      </c>
      <c r="L131" s="14">
        <v>2921064.65</v>
      </c>
      <c r="M131" s="14">
        <v>351755.34</v>
      </c>
      <c r="N131" s="14">
        <v>-2569309.31</v>
      </c>
    </row>
    <row r="132" spans="1:14" x14ac:dyDescent="0.25">
      <c r="A132" s="39" t="s">
        <v>38</v>
      </c>
      <c r="B132" s="78">
        <v>60232.97</v>
      </c>
      <c r="C132" s="14">
        <v>5396</v>
      </c>
      <c r="D132" s="14">
        <v>-54836.97</v>
      </c>
      <c r="E132" s="14">
        <v>678560.69</v>
      </c>
      <c r="F132" s="14">
        <v>69768</v>
      </c>
      <c r="G132" s="14">
        <v>-608792.68999999994</v>
      </c>
      <c r="H132" s="14">
        <v>69768</v>
      </c>
      <c r="I132" s="14">
        <v>60232.97</v>
      </c>
      <c r="J132" s="14">
        <v>4821.41</v>
      </c>
      <c r="K132" s="14">
        <v>-55411.56</v>
      </c>
      <c r="L132" s="14">
        <v>678560.69</v>
      </c>
      <c r="M132" s="14">
        <v>50309.23</v>
      </c>
      <c r="N132" s="14">
        <v>-628251.46</v>
      </c>
    </row>
    <row r="133" spans="1:14" x14ac:dyDescent="0.25">
      <c r="A133" s="39" t="s">
        <v>37</v>
      </c>
      <c r="B133" s="78">
        <v>-2019.56</v>
      </c>
      <c r="C133" s="14">
        <v>-3283</v>
      </c>
      <c r="D133" s="14">
        <v>-1263.44</v>
      </c>
      <c r="E133" s="14">
        <v>-26995.279999999999</v>
      </c>
      <c r="F133" s="14">
        <v>-36412</v>
      </c>
      <c r="G133" s="14">
        <v>-9416.7199999999993</v>
      </c>
      <c r="H133" s="14">
        <v>-36412</v>
      </c>
      <c r="I133" s="14">
        <v>-2019.56</v>
      </c>
      <c r="J133" s="14">
        <v>-126.12</v>
      </c>
      <c r="K133" s="14">
        <v>1893.44</v>
      </c>
      <c r="L133" s="14">
        <v>-26995.279999999999</v>
      </c>
      <c r="M133" s="14">
        <v>-33012.28</v>
      </c>
      <c r="N133" s="14">
        <v>-6017</v>
      </c>
    </row>
    <row r="134" spans="1:14" x14ac:dyDescent="0.25">
      <c r="A134" s="39" t="s">
        <v>36</v>
      </c>
      <c r="B134" s="80">
        <v>1503433.89</v>
      </c>
      <c r="C134" s="37">
        <v>101026</v>
      </c>
      <c r="D134" s="37">
        <v>-1402407.89</v>
      </c>
      <c r="E134" s="37">
        <v>12569774.789999999</v>
      </c>
      <c r="F134" s="37">
        <v>1160899</v>
      </c>
      <c r="G134" s="37">
        <v>-11408875.789999999</v>
      </c>
      <c r="H134" s="37">
        <v>1160899</v>
      </c>
      <c r="I134" s="37">
        <v>1503433.89</v>
      </c>
      <c r="J134" s="37">
        <v>65508.43</v>
      </c>
      <c r="K134" s="37">
        <v>-1437925.46</v>
      </c>
      <c r="L134" s="37">
        <v>12569774.789999999</v>
      </c>
      <c r="M134" s="37">
        <v>1013757.27</v>
      </c>
      <c r="N134" s="37">
        <v>-11556017.52</v>
      </c>
    </row>
    <row r="136" spans="1:14" x14ac:dyDescent="0.25">
      <c r="A136" t="s">
        <v>35</v>
      </c>
      <c r="B136" s="36">
        <f>SUMIF($A$5:$A$129,A136,$B$5:$B$129)</f>
        <v>8144710.7799999993</v>
      </c>
    </row>
    <row r="137" spans="1:14" x14ac:dyDescent="0.25">
      <c r="A137" t="s">
        <v>34</v>
      </c>
      <c r="B137" s="36">
        <f>SUMIF($A$5:$A$129,A137,$B$5:$B$129)</f>
        <v>76253.570000000007</v>
      </c>
    </row>
    <row r="138" spans="1:14" x14ac:dyDescent="0.25">
      <c r="A138" t="s">
        <v>33</v>
      </c>
      <c r="B138" s="36">
        <f>SUMIF($A$5:$A$129,A138,$B$5:$B$129)</f>
        <v>15197.07</v>
      </c>
    </row>
    <row r="139" spans="1:14" x14ac:dyDescent="0.25">
      <c r="A139" t="s">
        <v>32</v>
      </c>
      <c r="B139" s="36">
        <f>SUMIF($A$5:$A$129,A139,$B$5:$B$129)</f>
        <v>1268.6400000000003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7"/>
  <sheetViews>
    <sheetView showGridLines="0" workbookViewId="0">
      <selection activeCell="B4" sqref="B4"/>
    </sheetView>
  </sheetViews>
  <sheetFormatPr defaultRowHeight="15" x14ac:dyDescent="0.25"/>
  <cols>
    <col min="1" max="1" width="27.85546875" bestFit="1" customWidth="1"/>
    <col min="2" max="3" width="13.28515625" bestFit="1" customWidth="1"/>
    <col min="4" max="4" width="10.5703125" bestFit="1" customWidth="1"/>
    <col min="5" max="5" width="12.140625" bestFit="1" customWidth="1"/>
    <col min="6" max="8" width="11.85546875" bestFit="1" customWidth="1"/>
    <col min="9" max="10" width="11.28515625" bestFit="1" customWidth="1"/>
    <col min="11" max="11" width="10.5703125" bestFit="1" customWidth="1"/>
    <col min="12" max="13" width="12.140625" bestFit="1" customWidth="1"/>
    <col min="14" max="14" width="11.28515625" bestFit="1" customWidth="1"/>
  </cols>
  <sheetData>
    <row r="1" spans="1:16" ht="21" customHeight="1" x14ac:dyDescent="0.25">
      <c r="A1" s="49" t="s">
        <v>187</v>
      </c>
      <c r="P1" t="s">
        <v>482</v>
      </c>
    </row>
    <row r="2" spans="1:16" ht="56.25" x14ac:dyDescent="0.25">
      <c r="A2" s="42" t="s">
        <v>54</v>
      </c>
      <c r="B2" s="40" t="s">
        <v>332</v>
      </c>
      <c r="C2" s="40" t="s">
        <v>331</v>
      </c>
      <c r="D2" s="40" t="s">
        <v>330</v>
      </c>
      <c r="E2" s="40" t="s">
        <v>329</v>
      </c>
      <c r="F2" s="40" t="s">
        <v>328</v>
      </c>
      <c r="G2" s="40" t="s">
        <v>327</v>
      </c>
      <c r="H2" s="40" t="s">
        <v>194</v>
      </c>
      <c r="I2" s="40" t="s">
        <v>326</v>
      </c>
      <c r="J2" s="40" t="s">
        <v>325</v>
      </c>
      <c r="K2" s="40" t="s">
        <v>324</v>
      </c>
      <c r="L2" s="40" t="s">
        <v>323</v>
      </c>
      <c r="M2" s="40" t="s">
        <v>322</v>
      </c>
      <c r="N2" s="40" t="s">
        <v>321</v>
      </c>
    </row>
    <row r="3" spans="1:16" x14ac:dyDescent="0.25">
      <c r="A3" s="39" t="s">
        <v>35</v>
      </c>
      <c r="B3" s="14">
        <v>729260.31</v>
      </c>
      <c r="C3" s="14">
        <v>617955</v>
      </c>
      <c r="D3" s="14">
        <v>-111305.31</v>
      </c>
      <c r="E3" s="14">
        <v>729260.31</v>
      </c>
      <c r="F3" s="14">
        <v>617955</v>
      </c>
      <c r="G3" s="14">
        <v>-111305.31</v>
      </c>
      <c r="H3" s="14">
        <v>7392948</v>
      </c>
      <c r="I3" s="14">
        <v>729260.31</v>
      </c>
      <c r="J3" s="14">
        <v>718682.68</v>
      </c>
      <c r="K3" s="14">
        <v>-10577.63</v>
      </c>
      <c r="L3" s="14">
        <v>729260.31</v>
      </c>
      <c r="M3" s="14">
        <v>718682.68</v>
      </c>
      <c r="N3" s="14">
        <v>-10577.63</v>
      </c>
    </row>
    <row r="4" spans="1:16" x14ac:dyDescent="0.25">
      <c r="A4" s="39" t="s">
        <v>34</v>
      </c>
      <c r="B4" s="14">
        <v>48349.67</v>
      </c>
      <c r="C4" s="14">
        <v>29687</v>
      </c>
      <c r="D4" s="14">
        <v>-18662.669999999998</v>
      </c>
      <c r="E4" s="14">
        <v>48349.67</v>
      </c>
      <c r="F4" s="14">
        <v>29687</v>
      </c>
      <c r="G4" s="14">
        <v>-18662.669999999998</v>
      </c>
      <c r="H4" s="14">
        <v>282232</v>
      </c>
      <c r="I4" s="14">
        <v>48349.67</v>
      </c>
      <c r="J4" s="14">
        <v>33622.39</v>
      </c>
      <c r="K4" s="14">
        <v>-14727.28</v>
      </c>
      <c r="L4" s="14">
        <v>48349.67</v>
      </c>
      <c r="M4" s="14">
        <v>33622.39</v>
      </c>
      <c r="N4" s="14">
        <v>-14727.28</v>
      </c>
    </row>
    <row r="5" spans="1:16" x14ac:dyDescent="0.25">
      <c r="A5" s="39" t="s">
        <v>33</v>
      </c>
      <c r="B5" s="14">
        <v>1624.2</v>
      </c>
      <c r="C5" s="14">
        <v>1609</v>
      </c>
      <c r="D5" s="14">
        <v>-15.2</v>
      </c>
      <c r="E5" s="14">
        <v>1624.2</v>
      </c>
      <c r="F5" s="14">
        <v>1609</v>
      </c>
      <c r="G5" s="14">
        <v>-15.2</v>
      </c>
      <c r="H5" s="14">
        <v>18850</v>
      </c>
      <c r="I5" s="14">
        <v>1624.2</v>
      </c>
      <c r="J5" s="14">
        <v>1129.18</v>
      </c>
      <c r="K5" s="14">
        <v>-495.02</v>
      </c>
      <c r="L5" s="14">
        <v>1624.2</v>
      </c>
      <c r="M5" s="14">
        <v>1129.18</v>
      </c>
      <c r="N5" s="14">
        <v>-495.02</v>
      </c>
    </row>
    <row r="6" spans="1:16" x14ac:dyDescent="0.25">
      <c r="A6" s="39" t="s">
        <v>32</v>
      </c>
      <c r="B6" s="14">
        <v>10.55</v>
      </c>
      <c r="C6" s="14">
        <v>60</v>
      </c>
      <c r="D6" s="14">
        <v>49.45</v>
      </c>
      <c r="E6" s="14">
        <v>10.55</v>
      </c>
      <c r="F6" s="14">
        <v>60</v>
      </c>
      <c r="G6" s="14">
        <v>49.45</v>
      </c>
      <c r="H6" s="14">
        <v>735</v>
      </c>
      <c r="I6" s="14">
        <v>10.55</v>
      </c>
      <c r="J6" s="14">
        <v>101.36</v>
      </c>
      <c r="K6" s="14">
        <v>90.81</v>
      </c>
      <c r="L6" s="14">
        <v>10.55</v>
      </c>
      <c r="M6" s="14">
        <v>101.36</v>
      </c>
      <c r="N6" s="14">
        <v>90.81</v>
      </c>
    </row>
    <row r="7" spans="1:16" x14ac:dyDescent="0.25">
      <c r="A7" s="39" t="s">
        <v>40</v>
      </c>
      <c r="B7" s="14">
        <v>6430.36</v>
      </c>
      <c r="C7" s="14">
        <v>6059</v>
      </c>
      <c r="D7" s="14">
        <v>-371.36</v>
      </c>
      <c r="E7" s="14">
        <v>6430.36</v>
      </c>
      <c r="F7" s="14">
        <v>6059</v>
      </c>
      <c r="G7" s="14">
        <v>-371.36</v>
      </c>
      <c r="H7" s="14">
        <v>72753</v>
      </c>
      <c r="I7" s="14">
        <v>6430.36</v>
      </c>
      <c r="J7" s="14">
        <v>6122.34</v>
      </c>
      <c r="K7" s="14">
        <v>-308.02</v>
      </c>
      <c r="L7" s="14">
        <v>6430.36</v>
      </c>
      <c r="M7" s="14">
        <v>6122.34</v>
      </c>
      <c r="N7" s="14">
        <v>-308.02</v>
      </c>
    </row>
    <row r="8" spans="1:16" x14ac:dyDescent="0.25">
      <c r="A8" s="39" t="s">
        <v>39</v>
      </c>
      <c r="B8" s="14">
        <v>277094.84999999998</v>
      </c>
      <c r="C8" s="14">
        <v>245006</v>
      </c>
      <c r="D8" s="14">
        <v>-32088.85</v>
      </c>
      <c r="E8" s="14">
        <v>277094.84999999998</v>
      </c>
      <c r="F8" s="14">
        <v>245006</v>
      </c>
      <c r="G8" s="14">
        <v>-32088.85</v>
      </c>
      <c r="H8" s="14">
        <v>2939391</v>
      </c>
      <c r="I8" s="14">
        <v>277094.84999999998</v>
      </c>
      <c r="J8" s="14">
        <v>212078.71</v>
      </c>
      <c r="K8" s="14">
        <v>-65016.14</v>
      </c>
      <c r="L8" s="14">
        <v>277094.84999999998</v>
      </c>
      <c r="M8" s="14">
        <v>212078.71</v>
      </c>
      <c r="N8" s="14">
        <v>-65016.14</v>
      </c>
    </row>
    <row r="9" spans="1:16" x14ac:dyDescent="0.25">
      <c r="A9" s="39" t="s">
        <v>38</v>
      </c>
      <c r="B9" s="14">
        <v>66625.820000000007</v>
      </c>
      <c r="C9" s="14">
        <v>59774</v>
      </c>
      <c r="D9" s="14">
        <v>-6851.82</v>
      </c>
      <c r="E9" s="14">
        <v>66625.820000000007</v>
      </c>
      <c r="F9" s="14">
        <v>59774</v>
      </c>
      <c r="G9" s="14">
        <v>-6851.82</v>
      </c>
      <c r="H9" s="14">
        <v>699637</v>
      </c>
      <c r="I9" s="14">
        <v>66625.820000000007</v>
      </c>
      <c r="J9" s="14">
        <v>70023.02</v>
      </c>
      <c r="K9" s="14">
        <v>3397.2</v>
      </c>
      <c r="L9" s="14">
        <v>66625.820000000007</v>
      </c>
      <c r="M9" s="14">
        <v>70023.02</v>
      </c>
      <c r="N9" s="14">
        <v>3397.2</v>
      </c>
    </row>
    <row r="10" spans="1:16" x14ac:dyDescent="0.25">
      <c r="A10" s="39" t="s">
        <v>37</v>
      </c>
      <c r="B10" s="14">
        <v>-119631.07</v>
      </c>
      <c r="C10" s="14">
        <v>-229800</v>
      </c>
      <c r="D10" s="14">
        <v>-110168.93</v>
      </c>
      <c r="E10" s="14">
        <v>-119631.07</v>
      </c>
      <c r="F10" s="14">
        <v>-229800</v>
      </c>
      <c r="G10" s="14">
        <v>-110168.93</v>
      </c>
      <c r="H10" s="14">
        <v>-2799200</v>
      </c>
      <c r="I10" s="14">
        <v>-119631.07</v>
      </c>
      <c r="J10" s="14">
        <v>-410.22</v>
      </c>
      <c r="K10" s="14">
        <v>119220.85</v>
      </c>
      <c r="L10" s="14">
        <v>-119631.07</v>
      </c>
      <c r="M10" s="14">
        <v>-410.22</v>
      </c>
      <c r="N10" s="14">
        <v>119220.85</v>
      </c>
    </row>
    <row r="11" spans="1:16" x14ac:dyDescent="0.25">
      <c r="A11" s="39" t="s">
        <v>36</v>
      </c>
      <c r="B11" s="37">
        <v>1009764.69</v>
      </c>
      <c r="C11" s="37">
        <v>730350</v>
      </c>
      <c r="D11" s="37">
        <v>-279414.69</v>
      </c>
      <c r="E11" s="37">
        <v>1009764.69</v>
      </c>
      <c r="F11" s="37">
        <v>730350</v>
      </c>
      <c r="G11" s="37">
        <v>-279414.69</v>
      </c>
      <c r="H11" s="37">
        <v>8607346</v>
      </c>
      <c r="I11" s="37">
        <v>1009764.69</v>
      </c>
      <c r="J11" s="37">
        <v>1041349.46</v>
      </c>
      <c r="K11" s="37">
        <v>31584.77</v>
      </c>
      <c r="L11" s="37">
        <v>1009764.69</v>
      </c>
      <c r="M11" s="37">
        <v>1041349.46</v>
      </c>
      <c r="N11" s="37">
        <v>31584.77</v>
      </c>
    </row>
    <row r="13" spans="1:16" ht="56.25" x14ac:dyDescent="0.25">
      <c r="A13" s="42" t="s">
        <v>54</v>
      </c>
      <c r="B13" s="40" t="s">
        <v>320</v>
      </c>
      <c r="C13" s="40" t="s">
        <v>319</v>
      </c>
      <c r="D13" s="40" t="s">
        <v>318</v>
      </c>
      <c r="E13" s="40" t="s">
        <v>317</v>
      </c>
      <c r="F13" s="40" t="s">
        <v>316</v>
      </c>
      <c r="G13" s="40" t="s">
        <v>315</v>
      </c>
      <c r="H13" s="40" t="s">
        <v>194</v>
      </c>
      <c r="I13" s="40" t="s">
        <v>314</v>
      </c>
      <c r="J13" s="40" t="s">
        <v>313</v>
      </c>
      <c r="K13" s="40" t="s">
        <v>312</v>
      </c>
      <c r="L13" s="40" t="s">
        <v>311</v>
      </c>
      <c r="M13" s="40" t="s">
        <v>310</v>
      </c>
      <c r="N13" s="40" t="s">
        <v>309</v>
      </c>
    </row>
    <row r="14" spans="1:16" x14ac:dyDescent="0.25">
      <c r="A14" s="39" t="s">
        <v>35</v>
      </c>
      <c r="B14" s="14">
        <v>631723.76</v>
      </c>
      <c r="C14" s="14">
        <v>609892</v>
      </c>
      <c r="D14" s="14">
        <v>-21831.759999999998</v>
      </c>
      <c r="E14" s="14">
        <v>1360984.07</v>
      </c>
      <c r="F14" s="14">
        <v>1227847</v>
      </c>
      <c r="G14" s="14">
        <v>-133137.07</v>
      </c>
      <c r="H14" s="14">
        <v>7392948</v>
      </c>
      <c r="I14" s="14">
        <v>631723.76</v>
      </c>
      <c r="J14" s="14">
        <v>695868.76</v>
      </c>
      <c r="K14" s="14">
        <v>64145</v>
      </c>
      <c r="L14" s="14">
        <v>1360984.07</v>
      </c>
      <c r="M14" s="14">
        <v>1414551.44</v>
      </c>
      <c r="N14" s="14">
        <v>53567.37</v>
      </c>
    </row>
    <row r="15" spans="1:16" x14ac:dyDescent="0.25">
      <c r="A15" s="39" t="s">
        <v>34</v>
      </c>
      <c r="B15" s="14">
        <v>29333.13</v>
      </c>
      <c r="C15" s="14">
        <v>22900</v>
      </c>
      <c r="D15" s="14">
        <v>-6433.13</v>
      </c>
      <c r="E15" s="14">
        <v>77682.8</v>
      </c>
      <c r="F15" s="14">
        <v>52587</v>
      </c>
      <c r="G15" s="14">
        <v>-25095.8</v>
      </c>
      <c r="H15" s="14">
        <v>282232</v>
      </c>
      <c r="I15" s="14">
        <v>29333.13</v>
      </c>
      <c r="J15" s="14">
        <v>4899.8900000000003</v>
      </c>
      <c r="K15" s="14">
        <v>-24433.24</v>
      </c>
      <c r="L15" s="14">
        <v>77682.8</v>
      </c>
      <c r="M15" s="14">
        <v>38522.28</v>
      </c>
      <c r="N15" s="14">
        <v>-39160.519999999997</v>
      </c>
    </row>
    <row r="16" spans="1:16" x14ac:dyDescent="0.25">
      <c r="A16" s="39" t="s">
        <v>33</v>
      </c>
      <c r="B16" s="14">
        <v>1230.08</v>
      </c>
      <c r="C16" s="14">
        <v>1400</v>
      </c>
      <c r="D16" s="14">
        <v>169.92</v>
      </c>
      <c r="E16" s="14">
        <v>2854.28</v>
      </c>
      <c r="F16" s="14">
        <v>3009</v>
      </c>
      <c r="G16" s="14">
        <v>154.72</v>
      </c>
      <c r="H16" s="14">
        <v>18850</v>
      </c>
      <c r="I16" s="14">
        <v>1230.08</v>
      </c>
      <c r="J16" s="14">
        <v>989.79</v>
      </c>
      <c r="K16" s="14">
        <v>-240.29</v>
      </c>
      <c r="L16" s="14">
        <v>2854.28</v>
      </c>
      <c r="M16" s="14">
        <v>2118.9699999999998</v>
      </c>
      <c r="N16" s="14">
        <v>-735.31</v>
      </c>
    </row>
    <row r="17" spans="1:14" x14ac:dyDescent="0.25">
      <c r="A17" s="39" t="s">
        <v>32</v>
      </c>
      <c r="B17" s="14">
        <v>4.25</v>
      </c>
      <c r="C17" s="14">
        <v>33</v>
      </c>
      <c r="D17" s="14">
        <v>28.75</v>
      </c>
      <c r="E17" s="14">
        <v>14.8</v>
      </c>
      <c r="F17" s="14">
        <v>93</v>
      </c>
      <c r="G17" s="14">
        <v>78.2</v>
      </c>
      <c r="H17" s="14">
        <v>735</v>
      </c>
      <c r="I17" s="14">
        <v>4.25</v>
      </c>
      <c r="J17" s="14">
        <v>61.09</v>
      </c>
      <c r="K17" s="14">
        <v>56.84</v>
      </c>
      <c r="L17" s="14">
        <v>14.8</v>
      </c>
      <c r="M17" s="14">
        <v>162.44999999999999</v>
      </c>
      <c r="N17" s="14">
        <v>147.65</v>
      </c>
    </row>
    <row r="18" spans="1:14" x14ac:dyDescent="0.25">
      <c r="A18" s="39" t="s">
        <v>40</v>
      </c>
      <c r="B18" s="14">
        <v>-171351.13</v>
      </c>
      <c r="C18" s="14">
        <v>6059</v>
      </c>
      <c r="D18" s="14">
        <v>177410.13</v>
      </c>
      <c r="E18" s="14">
        <v>-164920.76999999999</v>
      </c>
      <c r="F18" s="14">
        <v>12118</v>
      </c>
      <c r="G18" s="14">
        <v>177038.77</v>
      </c>
      <c r="H18" s="14">
        <v>72753</v>
      </c>
      <c r="I18" s="14">
        <v>-171351.13</v>
      </c>
      <c r="J18" s="14">
        <v>6154.16</v>
      </c>
      <c r="K18" s="14">
        <v>177505.29</v>
      </c>
      <c r="L18" s="14">
        <v>-164920.76999999999</v>
      </c>
      <c r="M18" s="14">
        <v>12276.5</v>
      </c>
      <c r="N18" s="14">
        <v>177197.27</v>
      </c>
    </row>
    <row r="19" spans="1:14" x14ac:dyDescent="0.25">
      <c r="A19" s="39" t="s">
        <v>39</v>
      </c>
      <c r="B19" s="14">
        <v>211762.31</v>
      </c>
      <c r="C19" s="14">
        <v>244121</v>
      </c>
      <c r="D19" s="14">
        <v>32358.69</v>
      </c>
      <c r="E19" s="14">
        <v>488857.16</v>
      </c>
      <c r="F19" s="14">
        <v>489127</v>
      </c>
      <c r="G19" s="14">
        <v>269.83999999999997</v>
      </c>
      <c r="H19" s="14">
        <v>2939391</v>
      </c>
      <c r="I19" s="14">
        <v>211762.31</v>
      </c>
      <c r="J19" s="14">
        <v>229183.72</v>
      </c>
      <c r="K19" s="14">
        <v>17421.41</v>
      </c>
      <c r="L19" s="14">
        <v>488857.16</v>
      </c>
      <c r="M19" s="14">
        <v>441262.43</v>
      </c>
      <c r="N19" s="14">
        <v>-47594.73</v>
      </c>
    </row>
    <row r="20" spans="1:14" x14ac:dyDescent="0.25">
      <c r="A20" s="39" t="s">
        <v>38</v>
      </c>
      <c r="B20" s="14">
        <v>97508.87</v>
      </c>
      <c r="C20" s="14">
        <v>62280</v>
      </c>
      <c r="D20" s="14">
        <v>-35228.870000000003</v>
      </c>
      <c r="E20" s="14">
        <v>164134.69</v>
      </c>
      <c r="F20" s="14">
        <v>122054</v>
      </c>
      <c r="G20" s="14">
        <v>-42080.69</v>
      </c>
      <c r="H20" s="14">
        <v>699637</v>
      </c>
      <c r="I20" s="14">
        <v>97508.87</v>
      </c>
      <c r="J20" s="14">
        <v>61957.39</v>
      </c>
      <c r="K20" s="14">
        <v>-35551.480000000003</v>
      </c>
      <c r="L20" s="14">
        <v>164134.69</v>
      </c>
      <c r="M20" s="14">
        <v>131980.41</v>
      </c>
      <c r="N20" s="14">
        <v>-32154.28</v>
      </c>
    </row>
    <row r="21" spans="1:14" x14ac:dyDescent="0.25">
      <c r="A21" s="39" t="s">
        <v>37</v>
      </c>
      <c r="B21" s="14">
        <v>-104839.87</v>
      </c>
      <c r="C21" s="14">
        <v>-226800</v>
      </c>
      <c r="D21" s="14">
        <v>-121960.13</v>
      </c>
      <c r="E21" s="14">
        <v>-224470.94</v>
      </c>
      <c r="F21" s="14">
        <v>-456600</v>
      </c>
      <c r="G21" s="14">
        <v>-232129.06</v>
      </c>
      <c r="H21" s="14">
        <v>-2799200</v>
      </c>
      <c r="I21" s="14">
        <v>-104839.87</v>
      </c>
      <c r="J21" s="14">
        <v>140.93</v>
      </c>
      <c r="K21" s="14">
        <v>104980.8</v>
      </c>
      <c r="L21" s="14">
        <v>-224470.94</v>
      </c>
      <c r="M21" s="14">
        <v>-269.29000000000002</v>
      </c>
      <c r="N21" s="14">
        <v>224201.65</v>
      </c>
    </row>
    <row r="22" spans="1:14" x14ac:dyDescent="0.25">
      <c r="A22" s="39" t="s">
        <v>36</v>
      </c>
      <c r="B22" s="37">
        <v>695371.4</v>
      </c>
      <c r="C22" s="37">
        <v>719885</v>
      </c>
      <c r="D22" s="37">
        <v>24513.599999999999</v>
      </c>
      <c r="E22" s="37">
        <v>1705136.09</v>
      </c>
      <c r="F22" s="37">
        <v>1450235</v>
      </c>
      <c r="G22" s="37">
        <v>-254901.09</v>
      </c>
      <c r="H22" s="37">
        <v>8607346</v>
      </c>
      <c r="I22" s="37">
        <v>695371.4</v>
      </c>
      <c r="J22" s="37">
        <v>999255.73</v>
      </c>
      <c r="K22" s="37">
        <v>303884.33</v>
      </c>
      <c r="L22" s="37">
        <v>1705136.09</v>
      </c>
      <c r="M22" s="37">
        <v>2040605.19</v>
      </c>
      <c r="N22" s="37">
        <v>335469.09999999998</v>
      </c>
    </row>
    <row r="24" spans="1:14" ht="56.25" x14ac:dyDescent="0.25">
      <c r="A24" s="42" t="s">
        <v>54</v>
      </c>
      <c r="B24" s="40" t="s">
        <v>308</v>
      </c>
      <c r="C24" s="40" t="s">
        <v>307</v>
      </c>
      <c r="D24" s="40" t="s">
        <v>306</v>
      </c>
      <c r="E24" s="40" t="s">
        <v>305</v>
      </c>
      <c r="F24" s="40" t="s">
        <v>304</v>
      </c>
      <c r="G24" s="40" t="s">
        <v>303</v>
      </c>
      <c r="H24" s="40" t="s">
        <v>194</v>
      </c>
      <c r="I24" s="40" t="s">
        <v>302</v>
      </c>
      <c r="J24" s="40" t="s">
        <v>301</v>
      </c>
      <c r="K24" s="40" t="s">
        <v>300</v>
      </c>
      <c r="L24" s="40" t="s">
        <v>299</v>
      </c>
      <c r="M24" s="40" t="s">
        <v>298</v>
      </c>
      <c r="N24" s="40" t="s">
        <v>297</v>
      </c>
    </row>
    <row r="25" spans="1:14" x14ac:dyDescent="0.25">
      <c r="A25" s="39" t="s">
        <v>35</v>
      </c>
      <c r="B25" s="14">
        <v>804035.71</v>
      </c>
      <c r="C25" s="14">
        <v>616608</v>
      </c>
      <c r="D25" s="14">
        <v>-187427.71</v>
      </c>
      <c r="E25" s="14">
        <v>2165019.7799999998</v>
      </c>
      <c r="F25" s="14">
        <v>1844455</v>
      </c>
      <c r="G25" s="14">
        <v>-320564.78000000003</v>
      </c>
      <c r="H25" s="14">
        <v>7392948</v>
      </c>
      <c r="I25" s="14">
        <v>804035.71</v>
      </c>
      <c r="J25" s="14">
        <v>784779.39</v>
      </c>
      <c r="K25" s="14">
        <v>-19256.32</v>
      </c>
      <c r="L25" s="14">
        <v>2165019.7799999998</v>
      </c>
      <c r="M25" s="14">
        <v>2199330.83</v>
      </c>
      <c r="N25" s="14">
        <v>34311.050000000003</v>
      </c>
    </row>
    <row r="26" spans="1:14" x14ac:dyDescent="0.25">
      <c r="A26" s="39" t="s">
        <v>34</v>
      </c>
      <c r="B26" s="14">
        <v>32335.18</v>
      </c>
      <c r="C26" s="14">
        <v>22943</v>
      </c>
      <c r="D26" s="14">
        <v>-9392.18</v>
      </c>
      <c r="E26" s="14">
        <v>110017.98</v>
      </c>
      <c r="F26" s="14">
        <v>75530</v>
      </c>
      <c r="G26" s="14">
        <v>-34487.980000000003</v>
      </c>
      <c r="H26" s="14">
        <v>282232</v>
      </c>
      <c r="I26" s="14">
        <v>32335.18</v>
      </c>
      <c r="J26" s="14">
        <v>4009.62</v>
      </c>
      <c r="K26" s="14">
        <v>-28325.56</v>
      </c>
      <c r="L26" s="14">
        <v>110017.98</v>
      </c>
      <c r="M26" s="14">
        <v>42531.9</v>
      </c>
      <c r="N26" s="14">
        <v>-67486.080000000002</v>
      </c>
    </row>
    <row r="27" spans="1:14" x14ac:dyDescent="0.25">
      <c r="A27" s="39" t="s">
        <v>33</v>
      </c>
      <c r="B27" s="14">
        <v>1458.18</v>
      </c>
      <c r="C27" s="14">
        <v>1515</v>
      </c>
      <c r="D27" s="14">
        <v>56.82</v>
      </c>
      <c r="E27" s="14">
        <v>4312.46</v>
      </c>
      <c r="F27" s="14">
        <v>4524</v>
      </c>
      <c r="G27" s="14">
        <v>211.54</v>
      </c>
      <c r="H27" s="14">
        <v>18850</v>
      </c>
      <c r="I27" s="14">
        <v>1458.18</v>
      </c>
      <c r="J27" s="14">
        <v>1155.24</v>
      </c>
      <c r="K27" s="14">
        <v>-302.94</v>
      </c>
      <c r="L27" s="14">
        <v>4312.46</v>
      </c>
      <c r="M27" s="14">
        <v>3274.21</v>
      </c>
      <c r="N27" s="14">
        <v>-1038.25</v>
      </c>
    </row>
    <row r="28" spans="1:14" x14ac:dyDescent="0.25">
      <c r="A28" s="39" t="s">
        <v>32</v>
      </c>
      <c r="B28" s="14">
        <v>17.22</v>
      </c>
      <c r="C28" s="14">
        <v>59</v>
      </c>
      <c r="D28" s="14">
        <v>41.78</v>
      </c>
      <c r="E28" s="14">
        <v>32.020000000000003</v>
      </c>
      <c r="F28" s="14">
        <v>152</v>
      </c>
      <c r="G28" s="14">
        <v>119.98</v>
      </c>
      <c r="H28" s="14">
        <v>735</v>
      </c>
      <c r="I28" s="14">
        <v>17.22</v>
      </c>
      <c r="J28" s="14">
        <v>99.36</v>
      </c>
      <c r="K28" s="14">
        <v>82.14</v>
      </c>
      <c r="L28" s="14">
        <v>32.020000000000003</v>
      </c>
      <c r="M28" s="14">
        <v>261.81</v>
      </c>
      <c r="N28" s="14">
        <v>229.79</v>
      </c>
    </row>
    <row r="29" spans="1:14" x14ac:dyDescent="0.25">
      <c r="A29" s="39" t="s">
        <v>40</v>
      </c>
      <c r="B29" s="14">
        <v>3792.25</v>
      </c>
      <c r="C29" s="14">
        <v>6059</v>
      </c>
      <c r="D29" s="14">
        <v>2266.75</v>
      </c>
      <c r="E29" s="14">
        <v>-161128.51999999999</v>
      </c>
      <c r="F29" s="14">
        <v>18177</v>
      </c>
      <c r="G29" s="14">
        <v>179305.52</v>
      </c>
      <c r="H29" s="14">
        <v>72753</v>
      </c>
      <c r="I29" s="14">
        <v>3792.25</v>
      </c>
      <c r="J29" s="14">
        <v>6445.88</v>
      </c>
      <c r="K29" s="14">
        <v>2653.63</v>
      </c>
      <c r="L29" s="14">
        <v>-161128.51999999999</v>
      </c>
      <c r="M29" s="14">
        <v>18722.38</v>
      </c>
      <c r="N29" s="14">
        <v>179850.9</v>
      </c>
    </row>
    <row r="30" spans="1:14" x14ac:dyDescent="0.25">
      <c r="A30" s="39" t="s">
        <v>39</v>
      </c>
      <c r="B30" s="14">
        <v>400173.93</v>
      </c>
      <c r="C30" s="14">
        <v>245452</v>
      </c>
      <c r="D30" s="14">
        <v>-154721.93</v>
      </c>
      <c r="E30" s="14">
        <v>889031.09</v>
      </c>
      <c r="F30" s="14">
        <v>734579</v>
      </c>
      <c r="G30" s="14">
        <v>-154452.09</v>
      </c>
      <c r="H30" s="14">
        <v>2939391</v>
      </c>
      <c r="I30" s="14">
        <v>400173.93</v>
      </c>
      <c r="J30" s="14">
        <v>246890.86</v>
      </c>
      <c r="K30" s="14">
        <v>-153283.07</v>
      </c>
      <c r="L30" s="14">
        <v>889031.09</v>
      </c>
      <c r="M30" s="14">
        <v>688153.29</v>
      </c>
      <c r="N30" s="14">
        <v>-200877.8</v>
      </c>
    </row>
    <row r="31" spans="1:14" x14ac:dyDescent="0.25">
      <c r="A31" s="39" t="s">
        <v>38</v>
      </c>
      <c r="B31" s="14">
        <v>54022.14</v>
      </c>
      <c r="C31" s="14">
        <v>60273</v>
      </c>
      <c r="D31" s="14">
        <v>6250.86</v>
      </c>
      <c r="E31" s="14">
        <v>218156.83</v>
      </c>
      <c r="F31" s="14">
        <v>182327</v>
      </c>
      <c r="G31" s="14">
        <v>-35829.83</v>
      </c>
      <c r="H31" s="14">
        <v>699637</v>
      </c>
      <c r="I31" s="14">
        <v>54022.14</v>
      </c>
      <c r="J31" s="14">
        <v>56156.21</v>
      </c>
      <c r="K31" s="14">
        <v>2134.0700000000002</v>
      </c>
      <c r="L31" s="14">
        <v>218156.83</v>
      </c>
      <c r="M31" s="14">
        <v>188136.62</v>
      </c>
      <c r="N31" s="14">
        <v>-30020.21</v>
      </c>
    </row>
    <row r="32" spans="1:14" x14ac:dyDescent="0.25">
      <c r="A32" s="39" t="s">
        <v>37</v>
      </c>
      <c r="B32" s="14">
        <v>-158577.46</v>
      </c>
      <c r="C32" s="14">
        <v>-215500</v>
      </c>
      <c r="D32" s="14">
        <v>-56922.54</v>
      </c>
      <c r="E32" s="14">
        <v>-383048.4</v>
      </c>
      <c r="F32" s="14">
        <v>-672100</v>
      </c>
      <c r="G32" s="14">
        <v>-289051.59999999998</v>
      </c>
      <c r="H32" s="14">
        <v>-2799200</v>
      </c>
      <c r="I32" s="14">
        <v>-158577.46</v>
      </c>
      <c r="J32" s="14">
        <v>-1040.6099999999999</v>
      </c>
      <c r="K32" s="14">
        <v>157536.85</v>
      </c>
      <c r="L32" s="14">
        <v>-383048.4</v>
      </c>
      <c r="M32" s="14">
        <v>-1309.9000000000001</v>
      </c>
      <c r="N32" s="14">
        <v>381738.5</v>
      </c>
    </row>
    <row r="33" spans="1:14" x14ac:dyDescent="0.25">
      <c r="A33" s="39" t="s">
        <v>36</v>
      </c>
      <c r="B33" s="37">
        <v>1137257.1499999999</v>
      </c>
      <c r="C33" s="37">
        <v>737409</v>
      </c>
      <c r="D33" s="37">
        <v>-399848.15</v>
      </c>
      <c r="E33" s="37">
        <v>2842393.24</v>
      </c>
      <c r="F33" s="37">
        <v>2187644</v>
      </c>
      <c r="G33" s="37">
        <v>-654749.24</v>
      </c>
      <c r="H33" s="37">
        <v>8607346</v>
      </c>
      <c r="I33" s="37">
        <v>1137257.1499999999</v>
      </c>
      <c r="J33" s="37">
        <v>1098495.95</v>
      </c>
      <c r="K33" s="37">
        <v>-38761.199999999997</v>
      </c>
      <c r="L33" s="37">
        <v>2842393.24</v>
      </c>
      <c r="M33" s="37">
        <v>3139101.14</v>
      </c>
      <c r="N33" s="37">
        <v>296707.90000000002</v>
      </c>
    </row>
    <row r="35" spans="1:14" ht="56.25" x14ac:dyDescent="0.25">
      <c r="A35" s="42" t="s">
        <v>54</v>
      </c>
      <c r="B35" s="40" t="s">
        <v>296</v>
      </c>
      <c r="C35" s="40" t="s">
        <v>295</v>
      </c>
      <c r="D35" s="40" t="s">
        <v>294</v>
      </c>
      <c r="E35" s="40" t="s">
        <v>293</v>
      </c>
      <c r="F35" s="40" t="s">
        <v>292</v>
      </c>
      <c r="G35" s="40" t="s">
        <v>291</v>
      </c>
      <c r="H35" s="40" t="s">
        <v>194</v>
      </c>
      <c r="I35" s="40" t="s">
        <v>290</v>
      </c>
      <c r="J35" s="40" t="s">
        <v>289</v>
      </c>
      <c r="K35" s="40" t="s">
        <v>288</v>
      </c>
      <c r="L35" s="40" t="s">
        <v>287</v>
      </c>
      <c r="M35" s="40" t="s">
        <v>286</v>
      </c>
      <c r="N35" s="40" t="s">
        <v>285</v>
      </c>
    </row>
    <row r="36" spans="1:14" x14ac:dyDescent="0.25">
      <c r="A36" s="39" t="s">
        <v>35</v>
      </c>
      <c r="B36" s="14">
        <v>722712.48</v>
      </c>
      <c r="C36" s="14">
        <v>614692</v>
      </c>
      <c r="D36" s="14">
        <v>-108020.48</v>
      </c>
      <c r="E36" s="14">
        <v>2887732.26</v>
      </c>
      <c r="F36" s="14">
        <v>2459147</v>
      </c>
      <c r="G36" s="14">
        <v>-428585.26</v>
      </c>
      <c r="H36" s="14">
        <v>7392948</v>
      </c>
      <c r="I36" s="14">
        <v>722712.48</v>
      </c>
      <c r="J36" s="14">
        <v>670645.4</v>
      </c>
      <c r="K36" s="14">
        <v>-52067.08</v>
      </c>
      <c r="L36" s="14">
        <v>2887732.26</v>
      </c>
      <c r="M36" s="14">
        <v>2869976.23</v>
      </c>
      <c r="N36" s="14">
        <v>-17756.03</v>
      </c>
    </row>
    <row r="37" spans="1:14" x14ac:dyDescent="0.25">
      <c r="A37" s="39" t="s">
        <v>34</v>
      </c>
      <c r="B37" s="14">
        <v>23278.58</v>
      </c>
      <c r="C37" s="14">
        <v>22500</v>
      </c>
      <c r="D37" s="14">
        <v>-778.58</v>
      </c>
      <c r="E37" s="14">
        <v>133296.56</v>
      </c>
      <c r="F37" s="14">
        <v>98030</v>
      </c>
      <c r="G37" s="14">
        <v>-35266.559999999998</v>
      </c>
      <c r="H37" s="14">
        <v>282232</v>
      </c>
      <c r="I37" s="14">
        <v>23278.58</v>
      </c>
      <c r="J37" s="14">
        <v>4166.43</v>
      </c>
      <c r="K37" s="14">
        <v>-19112.150000000001</v>
      </c>
      <c r="L37" s="14">
        <v>133296.56</v>
      </c>
      <c r="M37" s="14">
        <v>46698.33</v>
      </c>
      <c r="N37" s="14">
        <v>-86598.23</v>
      </c>
    </row>
    <row r="38" spans="1:14" x14ac:dyDescent="0.25">
      <c r="A38" s="39" t="s">
        <v>33</v>
      </c>
      <c r="B38" s="14">
        <v>1467.64</v>
      </c>
      <c r="C38" s="14">
        <v>1588</v>
      </c>
      <c r="D38" s="14">
        <v>120.36</v>
      </c>
      <c r="E38" s="14">
        <v>5780.1</v>
      </c>
      <c r="F38" s="14">
        <v>6112</v>
      </c>
      <c r="G38" s="14">
        <v>331.9</v>
      </c>
      <c r="H38" s="14">
        <v>18850</v>
      </c>
      <c r="I38" s="14">
        <v>1467.64</v>
      </c>
      <c r="J38" s="14">
        <v>1119.5</v>
      </c>
      <c r="K38" s="14">
        <v>-348.14</v>
      </c>
      <c r="L38" s="14">
        <v>5780.1</v>
      </c>
      <c r="M38" s="14">
        <v>4393.71</v>
      </c>
      <c r="N38" s="14">
        <v>-1386.39</v>
      </c>
    </row>
    <row r="39" spans="1:14" x14ac:dyDescent="0.25">
      <c r="A39" s="39" t="s">
        <v>32</v>
      </c>
      <c r="B39" s="14">
        <v>136.88</v>
      </c>
      <c r="C39" s="14">
        <v>101</v>
      </c>
      <c r="D39" s="14">
        <v>-35.880000000000003</v>
      </c>
      <c r="E39" s="14">
        <v>168.9</v>
      </c>
      <c r="F39" s="14">
        <v>253</v>
      </c>
      <c r="G39" s="14">
        <v>84.1</v>
      </c>
      <c r="H39" s="14">
        <v>735</v>
      </c>
      <c r="I39" s="14">
        <v>136.88</v>
      </c>
      <c r="J39" s="14">
        <v>167.69</v>
      </c>
      <c r="K39" s="14">
        <v>30.81</v>
      </c>
      <c r="L39" s="14">
        <v>168.9</v>
      </c>
      <c r="M39" s="14">
        <v>429.5</v>
      </c>
      <c r="N39" s="14">
        <v>260.60000000000002</v>
      </c>
    </row>
    <row r="40" spans="1:14" x14ac:dyDescent="0.25">
      <c r="A40" s="39" t="s">
        <v>40</v>
      </c>
      <c r="B40" s="14">
        <v>8134.31</v>
      </c>
      <c r="C40" s="14">
        <v>6059</v>
      </c>
      <c r="D40" s="14">
        <v>-2075.31</v>
      </c>
      <c r="E40" s="14">
        <v>-152994.21</v>
      </c>
      <c r="F40" s="14">
        <v>24236</v>
      </c>
      <c r="G40" s="14">
        <v>177230.21</v>
      </c>
      <c r="H40" s="14">
        <v>72753</v>
      </c>
      <c r="I40" s="14">
        <v>8134.31</v>
      </c>
      <c r="J40" s="14">
        <v>6281.73</v>
      </c>
      <c r="K40" s="14">
        <v>-1852.58</v>
      </c>
      <c r="L40" s="14">
        <v>-152994.21</v>
      </c>
      <c r="M40" s="14">
        <v>25004.11</v>
      </c>
      <c r="N40" s="14">
        <v>177998.32</v>
      </c>
    </row>
    <row r="41" spans="1:14" x14ac:dyDescent="0.25">
      <c r="A41" s="39" t="s">
        <v>39</v>
      </c>
      <c r="B41" s="14">
        <v>286393.78000000003</v>
      </c>
      <c r="C41" s="14">
        <v>244074</v>
      </c>
      <c r="D41" s="14">
        <v>-42319.78</v>
      </c>
      <c r="E41" s="14">
        <v>1175424.8700000001</v>
      </c>
      <c r="F41" s="14">
        <v>978653</v>
      </c>
      <c r="G41" s="14">
        <v>-196771.87</v>
      </c>
      <c r="H41" s="14">
        <v>2939391</v>
      </c>
      <c r="I41" s="14">
        <v>286393.78000000003</v>
      </c>
      <c r="J41" s="14">
        <v>219294.48</v>
      </c>
      <c r="K41" s="14">
        <v>-67099.3</v>
      </c>
      <c r="L41" s="14">
        <v>1175424.8700000001</v>
      </c>
      <c r="M41" s="14">
        <v>907447.77</v>
      </c>
      <c r="N41" s="14">
        <v>-267977.09999999998</v>
      </c>
    </row>
    <row r="42" spans="1:14" x14ac:dyDescent="0.25">
      <c r="A42" s="39" t="s">
        <v>38</v>
      </c>
      <c r="B42" s="14">
        <v>55426.1</v>
      </c>
      <c r="C42" s="14">
        <v>57422</v>
      </c>
      <c r="D42" s="14">
        <v>1995.9</v>
      </c>
      <c r="E42" s="14">
        <v>273582.93</v>
      </c>
      <c r="F42" s="14">
        <v>239749</v>
      </c>
      <c r="G42" s="14">
        <v>-33833.93</v>
      </c>
      <c r="H42" s="14">
        <v>699637</v>
      </c>
      <c r="I42" s="14">
        <v>55426.1</v>
      </c>
      <c r="J42" s="14">
        <v>54728.36</v>
      </c>
      <c r="K42" s="14">
        <v>-697.74</v>
      </c>
      <c r="L42" s="14">
        <v>273582.93</v>
      </c>
      <c r="M42" s="14">
        <v>242864.98</v>
      </c>
      <c r="N42" s="14">
        <v>-30717.95</v>
      </c>
    </row>
    <row r="43" spans="1:14" x14ac:dyDescent="0.25">
      <c r="A43" s="39" t="s">
        <v>37</v>
      </c>
      <c r="B43" s="14">
        <v>-162368.73000000001</v>
      </c>
      <c r="C43" s="14">
        <v>-217400</v>
      </c>
      <c r="D43" s="14">
        <v>-55031.27</v>
      </c>
      <c r="E43" s="14">
        <v>-545417.13</v>
      </c>
      <c r="F43" s="14">
        <v>-889500</v>
      </c>
      <c r="G43" s="14">
        <v>-344082.87</v>
      </c>
      <c r="H43" s="14">
        <v>-2799200</v>
      </c>
      <c r="I43" s="14">
        <v>-162368.73000000001</v>
      </c>
      <c r="J43" s="14">
        <v>-2996.18</v>
      </c>
      <c r="K43" s="14">
        <v>159372.54999999999</v>
      </c>
      <c r="L43" s="14">
        <v>-545417.13</v>
      </c>
      <c r="M43" s="14">
        <v>-4306.08</v>
      </c>
      <c r="N43" s="14">
        <v>541111.05000000005</v>
      </c>
    </row>
    <row r="44" spans="1:14" x14ac:dyDescent="0.25">
      <c r="A44" s="39" t="s">
        <v>36</v>
      </c>
      <c r="B44" s="37">
        <v>935181.04</v>
      </c>
      <c r="C44" s="37">
        <v>729036</v>
      </c>
      <c r="D44" s="37">
        <v>-206145.04</v>
      </c>
      <c r="E44" s="37">
        <v>3777574.28</v>
      </c>
      <c r="F44" s="37">
        <v>2916680</v>
      </c>
      <c r="G44" s="37">
        <v>-860894.28</v>
      </c>
      <c r="H44" s="37">
        <v>8607346</v>
      </c>
      <c r="I44" s="37">
        <v>935181.04</v>
      </c>
      <c r="J44" s="37">
        <v>953407.41</v>
      </c>
      <c r="K44" s="37">
        <v>18226.37</v>
      </c>
      <c r="L44" s="37">
        <v>3777574.28</v>
      </c>
      <c r="M44" s="37">
        <v>4092508.55</v>
      </c>
      <c r="N44" s="37">
        <v>314934.27</v>
      </c>
    </row>
    <row r="46" spans="1:14" ht="56.25" x14ac:dyDescent="0.25">
      <c r="A46" s="42" t="s">
        <v>54</v>
      </c>
      <c r="B46" s="40" t="s">
        <v>284</v>
      </c>
      <c r="C46" s="40" t="s">
        <v>283</v>
      </c>
      <c r="D46" s="40" t="s">
        <v>282</v>
      </c>
      <c r="E46" s="40" t="s">
        <v>281</v>
      </c>
      <c r="F46" s="40" t="s">
        <v>280</v>
      </c>
      <c r="G46" s="40" t="s">
        <v>279</v>
      </c>
      <c r="H46" s="40" t="s">
        <v>194</v>
      </c>
      <c r="I46" s="40" t="s">
        <v>278</v>
      </c>
      <c r="J46" s="40" t="s">
        <v>277</v>
      </c>
      <c r="K46" s="40" t="s">
        <v>276</v>
      </c>
      <c r="L46" s="40" t="s">
        <v>275</v>
      </c>
      <c r="M46" s="40" t="s">
        <v>274</v>
      </c>
      <c r="N46" s="40" t="s">
        <v>273</v>
      </c>
    </row>
    <row r="47" spans="1:14" x14ac:dyDescent="0.25">
      <c r="A47" s="39" t="s">
        <v>35</v>
      </c>
      <c r="B47" s="14">
        <v>749905.38</v>
      </c>
      <c r="C47" s="14">
        <v>619847</v>
      </c>
      <c r="D47" s="14">
        <v>-130058.38</v>
      </c>
      <c r="E47" s="14">
        <v>3637637.64</v>
      </c>
      <c r="F47" s="14">
        <v>3078994</v>
      </c>
      <c r="G47" s="14">
        <v>-558643.64</v>
      </c>
      <c r="H47" s="14">
        <v>7392948</v>
      </c>
      <c r="I47" s="14">
        <v>749905.38</v>
      </c>
      <c r="J47" s="14">
        <v>644041.71</v>
      </c>
      <c r="K47" s="14">
        <v>-105863.67</v>
      </c>
      <c r="L47" s="14">
        <v>3637637.64</v>
      </c>
      <c r="M47" s="14">
        <v>3514017.94</v>
      </c>
      <c r="N47" s="14">
        <v>-123619.7</v>
      </c>
    </row>
    <row r="48" spans="1:14" x14ac:dyDescent="0.25">
      <c r="A48" s="39" t="s">
        <v>34</v>
      </c>
      <c r="B48" s="14">
        <v>19477.45</v>
      </c>
      <c r="C48" s="14">
        <v>23051</v>
      </c>
      <c r="D48" s="14">
        <v>3573.55</v>
      </c>
      <c r="E48" s="14">
        <v>152774.01</v>
      </c>
      <c r="F48" s="14">
        <v>121081</v>
      </c>
      <c r="G48" s="14">
        <v>-31693.01</v>
      </c>
      <c r="H48" s="14">
        <v>282232</v>
      </c>
      <c r="I48" s="14">
        <v>19477.45</v>
      </c>
      <c r="J48" s="14">
        <v>1313.6</v>
      </c>
      <c r="K48" s="14">
        <v>-18163.849999999999</v>
      </c>
      <c r="L48" s="14">
        <v>152774.01</v>
      </c>
      <c r="M48" s="14">
        <v>48011.93</v>
      </c>
      <c r="N48" s="14">
        <v>-104762.08</v>
      </c>
    </row>
    <row r="49" spans="1:14" x14ac:dyDescent="0.25">
      <c r="A49" s="39" t="s">
        <v>33</v>
      </c>
      <c r="B49" s="14">
        <v>1506.64</v>
      </c>
      <c r="C49" s="14">
        <v>1663</v>
      </c>
      <c r="D49" s="14">
        <v>156.36000000000001</v>
      </c>
      <c r="E49" s="14">
        <v>7286.74</v>
      </c>
      <c r="F49" s="14">
        <v>7775</v>
      </c>
      <c r="G49" s="14">
        <v>488.26</v>
      </c>
      <c r="H49" s="14">
        <v>18850</v>
      </c>
      <c r="I49" s="14">
        <v>1506.64</v>
      </c>
      <c r="J49" s="14">
        <v>1268.1199999999999</v>
      </c>
      <c r="K49" s="14">
        <v>-238.52</v>
      </c>
      <c r="L49" s="14">
        <v>7286.74</v>
      </c>
      <c r="M49" s="14">
        <v>5661.83</v>
      </c>
      <c r="N49" s="14">
        <v>-1624.91</v>
      </c>
    </row>
    <row r="50" spans="1:14" x14ac:dyDescent="0.25">
      <c r="A50" s="39" t="s">
        <v>32</v>
      </c>
      <c r="B50" s="14">
        <v>109.24</v>
      </c>
      <c r="C50" s="14">
        <v>87</v>
      </c>
      <c r="D50" s="14">
        <v>-22.24</v>
      </c>
      <c r="E50" s="14">
        <v>278.14</v>
      </c>
      <c r="F50" s="14">
        <v>340</v>
      </c>
      <c r="G50" s="14">
        <v>61.86</v>
      </c>
      <c r="H50" s="14">
        <v>735</v>
      </c>
      <c r="I50" s="14">
        <v>109.24</v>
      </c>
      <c r="J50" s="14">
        <v>139.69999999999999</v>
      </c>
      <c r="K50" s="14">
        <v>30.46</v>
      </c>
      <c r="L50" s="14">
        <v>278.14</v>
      </c>
      <c r="M50" s="14">
        <v>569.20000000000005</v>
      </c>
      <c r="N50" s="14">
        <v>291.06</v>
      </c>
    </row>
    <row r="51" spans="1:14" x14ac:dyDescent="0.25">
      <c r="A51" s="39" t="s">
        <v>40</v>
      </c>
      <c r="B51" s="14">
        <v>8293.5499999999993</v>
      </c>
      <c r="C51" s="14">
        <v>6066</v>
      </c>
      <c r="D51" s="14">
        <v>-2227.5500000000002</v>
      </c>
      <c r="E51" s="14">
        <v>-144700.66</v>
      </c>
      <c r="F51" s="14">
        <v>30302</v>
      </c>
      <c r="G51" s="14">
        <v>175002.66</v>
      </c>
      <c r="H51" s="14">
        <v>72753</v>
      </c>
      <c r="I51" s="14">
        <v>8293.5499999999993</v>
      </c>
      <c r="J51" s="14">
        <v>5782.44</v>
      </c>
      <c r="K51" s="14">
        <v>-2511.11</v>
      </c>
      <c r="L51" s="14">
        <v>-144700.66</v>
      </c>
      <c r="M51" s="14">
        <v>30786.55</v>
      </c>
      <c r="N51" s="14">
        <v>175487.21</v>
      </c>
    </row>
    <row r="52" spans="1:14" x14ac:dyDescent="0.25">
      <c r="A52" s="39" t="s">
        <v>39</v>
      </c>
      <c r="B52" s="14">
        <v>261803.23</v>
      </c>
      <c r="C52" s="14">
        <v>245216</v>
      </c>
      <c r="D52" s="14">
        <v>-16587.23</v>
      </c>
      <c r="E52" s="14">
        <v>1437228.1</v>
      </c>
      <c r="F52" s="14">
        <v>1223869</v>
      </c>
      <c r="G52" s="14">
        <v>-213359.1</v>
      </c>
      <c r="H52" s="14">
        <v>2939391</v>
      </c>
      <c r="I52" s="14">
        <v>261803.23</v>
      </c>
      <c r="J52" s="14">
        <v>206449.91</v>
      </c>
      <c r="K52" s="14">
        <v>-55353.32</v>
      </c>
      <c r="L52" s="14">
        <v>1437228.1</v>
      </c>
      <c r="M52" s="14">
        <v>1113897.68</v>
      </c>
      <c r="N52" s="14">
        <v>-323330.42</v>
      </c>
    </row>
    <row r="53" spans="1:14" x14ac:dyDescent="0.25">
      <c r="A53" s="39" t="s">
        <v>38</v>
      </c>
      <c r="B53" s="14">
        <v>57190.720000000001</v>
      </c>
      <c r="C53" s="14">
        <v>57824</v>
      </c>
      <c r="D53" s="14">
        <v>633.28</v>
      </c>
      <c r="E53" s="14">
        <v>330773.65000000002</v>
      </c>
      <c r="F53" s="14">
        <v>297573</v>
      </c>
      <c r="G53" s="14">
        <v>-33200.65</v>
      </c>
      <c r="H53" s="14">
        <v>699637</v>
      </c>
      <c r="I53" s="14">
        <v>57190.720000000001</v>
      </c>
      <c r="J53" s="14">
        <v>52840.6</v>
      </c>
      <c r="K53" s="14">
        <v>-4350.12</v>
      </c>
      <c r="L53" s="14">
        <v>330773.65000000002</v>
      </c>
      <c r="M53" s="14">
        <v>295705.58</v>
      </c>
      <c r="N53" s="14">
        <v>-35068.07</v>
      </c>
    </row>
    <row r="54" spans="1:14" x14ac:dyDescent="0.25">
      <c r="A54" s="39" t="s">
        <v>37</v>
      </c>
      <c r="B54" s="14">
        <v>-181088.1</v>
      </c>
      <c r="C54" s="14">
        <v>-217300</v>
      </c>
      <c r="D54" s="14">
        <v>-36211.9</v>
      </c>
      <c r="E54" s="14">
        <v>-726505.23</v>
      </c>
      <c r="F54" s="14">
        <v>-1106800</v>
      </c>
      <c r="G54" s="14">
        <v>-380294.77</v>
      </c>
      <c r="H54" s="14">
        <v>-2799200</v>
      </c>
      <c r="I54" s="14">
        <v>-181088.1</v>
      </c>
      <c r="J54" s="14">
        <v>-3166.25</v>
      </c>
      <c r="K54" s="14">
        <v>177921.85</v>
      </c>
      <c r="L54" s="14">
        <v>-726505.23</v>
      </c>
      <c r="M54" s="14">
        <v>-7472.33</v>
      </c>
      <c r="N54" s="14">
        <v>719032.9</v>
      </c>
    </row>
    <row r="55" spans="1:14" x14ac:dyDescent="0.25">
      <c r="A55" s="39" t="s">
        <v>36</v>
      </c>
      <c r="B55" s="37">
        <v>917198.11</v>
      </c>
      <c r="C55" s="37">
        <v>736454</v>
      </c>
      <c r="D55" s="37">
        <v>-180744.11</v>
      </c>
      <c r="E55" s="37">
        <v>4694772.3899999997</v>
      </c>
      <c r="F55" s="37">
        <v>3653134</v>
      </c>
      <c r="G55" s="37">
        <v>-1041638.39</v>
      </c>
      <c r="H55" s="37">
        <v>8607346</v>
      </c>
      <c r="I55" s="37">
        <v>917198.11</v>
      </c>
      <c r="J55" s="37">
        <v>908669.83</v>
      </c>
      <c r="K55" s="37">
        <v>-8528.2800000000007</v>
      </c>
      <c r="L55" s="37">
        <v>4694772.3899999997</v>
      </c>
      <c r="M55" s="37">
        <v>5001178.38</v>
      </c>
      <c r="N55" s="37">
        <v>306405.99</v>
      </c>
    </row>
    <row r="57" spans="1:14" ht="56.25" x14ac:dyDescent="0.25">
      <c r="A57" s="42" t="s">
        <v>54</v>
      </c>
      <c r="B57" s="40" t="s">
        <v>272</v>
      </c>
      <c r="C57" s="40" t="s">
        <v>271</v>
      </c>
      <c r="D57" s="40" t="s">
        <v>270</v>
      </c>
      <c r="E57" s="40" t="s">
        <v>269</v>
      </c>
      <c r="F57" s="40" t="s">
        <v>268</v>
      </c>
      <c r="G57" s="40" t="s">
        <v>267</v>
      </c>
      <c r="H57" s="40" t="s">
        <v>194</v>
      </c>
      <c r="I57" s="40" t="s">
        <v>266</v>
      </c>
      <c r="J57" s="40" t="s">
        <v>265</v>
      </c>
      <c r="K57" s="40" t="s">
        <v>264</v>
      </c>
      <c r="L57" s="40" t="s">
        <v>263</v>
      </c>
      <c r="M57" s="40" t="s">
        <v>262</v>
      </c>
      <c r="N57" s="40" t="s">
        <v>261</v>
      </c>
    </row>
    <row r="58" spans="1:14" x14ac:dyDescent="0.25">
      <c r="A58" s="39" t="s">
        <v>35</v>
      </c>
      <c r="B58" s="14">
        <v>678982.42</v>
      </c>
      <c r="C58" s="14">
        <v>613945</v>
      </c>
      <c r="D58" s="14">
        <v>-65037.42</v>
      </c>
      <c r="E58" s="14">
        <v>4316620.0599999996</v>
      </c>
      <c r="F58" s="14">
        <v>3692939</v>
      </c>
      <c r="G58" s="14">
        <v>-623681.06000000006</v>
      </c>
      <c r="H58" s="14">
        <v>7392948</v>
      </c>
      <c r="I58" s="14">
        <v>678982.42</v>
      </c>
      <c r="J58" s="14">
        <v>711659.06</v>
      </c>
      <c r="K58" s="14">
        <v>32676.639999999999</v>
      </c>
      <c r="L58" s="14">
        <v>4316620.0599999996</v>
      </c>
      <c r="M58" s="14">
        <v>4225677</v>
      </c>
      <c r="N58" s="14">
        <v>-90943.06</v>
      </c>
    </row>
    <row r="59" spans="1:14" x14ac:dyDescent="0.25">
      <c r="A59" s="39" t="s">
        <v>34</v>
      </c>
      <c r="B59" s="14">
        <v>14080.66</v>
      </c>
      <c r="C59" s="14">
        <v>20766</v>
      </c>
      <c r="D59" s="14">
        <v>6685.34</v>
      </c>
      <c r="E59" s="14">
        <v>166854.67000000001</v>
      </c>
      <c r="F59" s="14">
        <v>141847</v>
      </c>
      <c r="G59" s="14">
        <v>-25007.67</v>
      </c>
      <c r="H59" s="14">
        <v>282232</v>
      </c>
      <c r="I59" s="14">
        <v>14080.66</v>
      </c>
      <c r="J59" s="14">
        <v>1854.89</v>
      </c>
      <c r="K59" s="14">
        <v>-12225.77</v>
      </c>
      <c r="L59" s="14">
        <v>166854.67000000001</v>
      </c>
      <c r="M59" s="14">
        <v>49866.82</v>
      </c>
      <c r="N59" s="14">
        <v>-116987.85</v>
      </c>
    </row>
    <row r="60" spans="1:14" x14ac:dyDescent="0.25">
      <c r="A60" s="39" t="s">
        <v>33</v>
      </c>
      <c r="B60" s="14">
        <v>1340.07</v>
      </c>
      <c r="C60" s="14">
        <v>1447</v>
      </c>
      <c r="D60" s="14">
        <v>106.93</v>
      </c>
      <c r="E60" s="14">
        <v>8626.81</v>
      </c>
      <c r="F60" s="14">
        <v>9222</v>
      </c>
      <c r="G60" s="14">
        <v>595.19000000000005</v>
      </c>
      <c r="H60" s="14">
        <v>18850</v>
      </c>
      <c r="I60" s="14">
        <v>1340.07</v>
      </c>
      <c r="J60" s="14">
        <v>1294.93</v>
      </c>
      <c r="K60" s="14">
        <v>-45.14</v>
      </c>
      <c r="L60" s="14">
        <v>8626.81</v>
      </c>
      <c r="M60" s="14">
        <v>6956.76</v>
      </c>
      <c r="N60" s="14">
        <v>-1670.05</v>
      </c>
    </row>
    <row r="61" spans="1:14" x14ac:dyDescent="0.25">
      <c r="A61" s="39" t="s">
        <v>32</v>
      </c>
      <c r="B61" s="14">
        <v>114</v>
      </c>
      <c r="C61" s="14">
        <v>72</v>
      </c>
      <c r="D61" s="14">
        <v>-42</v>
      </c>
      <c r="E61" s="14">
        <v>392.14</v>
      </c>
      <c r="F61" s="14">
        <v>412</v>
      </c>
      <c r="G61" s="14">
        <v>19.86</v>
      </c>
      <c r="H61" s="14">
        <v>735</v>
      </c>
      <c r="I61" s="14">
        <v>114</v>
      </c>
      <c r="J61" s="14">
        <v>120.5</v>
      </c>
      <c r="K61" s="14">
        <v>6.5</v>
      </c>
      <c r="L61" s="14">
        <v>392.14</v>
      </c>
      <c r="M61" s="14">
        <v>689.7</v>
      </c>
      <c r="N61" s="14">
        <v>297.56</v>
      </c>
    </row>
    <row r="62" spans="1:14" x14ac:dyDescent="0.25">
      <c r="A62" s="39" t="s">
        <v>40</v>
      </c>
      <c r="B62" s="14">
        <v>7373.65</v>
      </c>
      <c r="C62" s="14">
        <v>6075</v>
      </c>
      <c r="D62" s="14">
        <v>-1298.6500000000001</v>
      </c>
      <c r="E62" s="14">
        <v>-137327.01</v>
      </c>
      <c r="F62" s="14">
        <v>36377</v>
      </c>
      <c r="G62" s="14">
        <v>173704.01</v>
      </c>
      <c r="H62" s="14">
        <v>72753</v>
      </c>
      <c r="I62" s="14">
        <v>7373.65</v>
      </c>
      <c r="J62" s="14">
        <v>5591.12</v>
      </c>
      <c r="K62" s="14">
        <v>-1782.53</v>
      </c>
      <c r="L62" s="14">
        <v>-137327.01</v>
      </c>
      <c r="M62" s="14">
        <v>36377.67</v>
      </c>
      <c r="N62" s="14">
        <v>173704.68</v>
      </c>
    </row>
    <row r="63" spans="1:14" x14ac:dyDescent="0.25">
      <c r="A63" s="39" t="s">
        <v>39</v>
      </c>
      <c r="B63" s="14">
        <v>268524.76</v>
      </c>
      <c r="C63" s="14">
        <v>245276</v>
      </c>
      <c r="D63" s="14">
        <v>-23248.76</v>
      </c>
      <c r="E63" s="14">
        <v>1705752.86</v>
      </c>
      <c r="F63" s="14">
        <v>1469145</v>
      </c>
      <c r="G63" s="14">
        <v>-236607.86</v>
      </c>
      <c r="H63" s="14">
        <v>2939391</v>
      </c>
      <c r="I63" s="14">
        <v>268524.76</v>
      </c>
      <c r="J63" s="14">
        <v>394542.32</v>
      </c>
      <c r="K63" s="14">
        <v>126017.56</v>
      </c>
      <c r="L63" s="14">
        <v>1705752.86</v>
      </c>
      <c r="M63" s="14">
        <v>1508440</v>
      </c>
      <c r="N63" s="14">
        <v>-197312.86</v>
      </c>
    </row>
    <row r="64" spans="1:14" x14ac:dyDescent="0.25">
      <c r="A64" s="39" t="s">
        <v>38</v>
      </c>
      <c r="B64" s="14">
        <v>49843.55</v>
      </c>
      <c r="C64" s="14">
        <v>57221</v>
      </c>
      <c r="D64" s="14">
        <v>7377.45</v>
      </c>
      <c r="E64" s="14">
        <v>380617.2</v>
      </c>
      <c r="F64" s="14">
        <v>354794</v>
      </c>
      <c r="G64" s="14">
        <v>-25823.200000000001</v>
      </c>
      <c r="H64" s="14">
        <v>699637</v>
      </c>
      <c r="I64" s="14">
        <v>49843.55</v>
      </c>
      <c r="J64" s="14">
        <v>55024.82</v>
      </c>
      <c r="K64" s="14">
        <v>5181.2700000000004</v>
      </c>
      <c r="L64" s="14">
        <v>380617.2</v>
      </c>
      <c r="M64" s="14">
        <v>350730.4</v>
      </c>
      <c r="N64" s="14">
        <v>-29886.799999999999</v>
      </c>
    </row>
    <row r="65" spans="1:14" x14ac:dyDescent="0.25">
      <c r="A65" s="39" t="s">
        <v>37</v>
      </c>
      <c r="B65" s="14">
        <v>-125061.33</v>
      </c>
      <c r="C65" s="14">
        <v>-229800</v>
      </c>
      <c r="D65" s="14">
        <v>-104738.67</v>
      </c>
      <c r="E65" s="14">
        <v>-851566.56</v>
      </c>
      <c r="F65" s="14">
        <v>-1336600</v>
      </c>
      <c r="G65" s="14">
        <v>-485033.44</v>
      </c>
      <c r="H65" s="14">
        <v>-2799200</v>
      </c>
      <c r="I65" s="14">
        <v>-125061.33</v>
      </c>
      <c r="J65" s="14">
        <v>-3950.63</v>
      </c>
      <c r="K65" s="14">
        <v>121110.7</v>
      </c>
      <c r="L65" s="14">
        <v>-851566.56</v>
      </c>
      <c r="M65" s="14">
        <v>-11422.96</v>
      </c>
      <c r="N65" s="14">
        <v>840143.6</v>
      </c>
    </row>
    <row r="66" spans="1:14" x14ac:dyDescent="0.25">
      <c r="A66" s="39" t="s">
        <v>36</v>
      </c>
      <c r="B66" s="37">
        <v>895197.78</v>
      </c>
      <c r="C66" s="37">
        <v>715002</v>
      </c>
      <c r="D66" s="37">
        <v>-180195.78</v>
      </c>
      <c r="E66" s="37">
        <v>5589970.1699999999</v>
      </c>
      <c r="F66" s="37">
        <v>4368136</v>
      </c>
      <c r="G66" s="37">
        <v>-1221834.17</v>
      </c>
      <c r="H66" s="37">
        <v>8607346</v>
      </c>
      <c r="I66" s="37">
        <v>895197.78</v>
      </c>
      <c r="J66" s="37">
        <v>1166137.01</v>
      </c>
      <c r="K66" s="37">
        <v>270939.23</v>
      </c>
      <c r="L66" s="37">
        <v>5589970.1699999999</v>
      </c>
      <c r="M66" s="37">
        <v>6167315.3899999997</v>
      </c>
      <c r="N66" s="37">
        <v>577345.22</v>
      </c>
    </row>
    <row r="68" spans="1:14" ht="56.25" x14ac:dyDescent="0.25">
      <c r="A68" s="42" t="s">
        <v>54</v>
      </c>
      <c r="B68" s="40" t="s">
        <v>260</v>
      </c>
      <c r="C68" s="40" t="s">
        <v>259</v>
      </c>
      <c r="D68" s="40" t="s">
        <v>258</v>
      </c>
      <c r="E68" s="40" t="s">
        <v>257</v>
      </c>
      <c r="F68" s="40" t="s">
        <v>256</v>
      </c>
      <c r="G68" s="40" t="s">
        <v>255</v>
      </c>
      <c r="H68" s="40" t="s">
        <v>194</v>
      </c>
      <c r="I68" s="40" t="s">
        <v>254</v>
      </c>
      <c r="J68" s="40" t="s">
        <v>253</v>
      </c>
      <c r="K68" s="40" t="s">
        <v>252</v>
      </c>
      <c r="L68" s="40" t="s">
        <v>251</v>
      </c>
      <c r="M68" s="40" t="s">
        <v>250</v>
      </c>
      <c r="N68" s="40" t="s">
        <v>249</v>
      </c>
    </row>
    <row r="69" spans="1:14" x14ac:dyDescent="0.25">
      <c r="A69" s="39" t="s">
        <v>35</v>
      </c>
      <c r="B69" s="14">
        <v>782359.81</v>
      </c>
      <c r="C69" s="14">
        <v>617563</v>
      </c>
      <c r="D69" s="14">
        <v>-164796.81</v>
      </c>
      <c r="E69" s="14">
        <v>5098979.87</v>
      </c>
      <c r="F69" s="14">
        <v>4310502</v>
      </c>
      <c r="G69" s="14">
        <v>-788477.87</v>
      </c>
      <c r="H69" s="14">
        <v>7392948</v>
      </c>
      <c r="I69" s="14">
        <v>782359.81</v>
      </c>
      <c r="J69" s="14">
        <v>687699.68</v>
      </c>
      <c r="K69" s="14">
        <v>-94660.13</v>
      </c>
      <c r="L69" s="14">
        <v>5098979.87</v>
      </c>
      <c r="M69" s="14">
        <v>4913376.68</v>
      </c>
      <c r="N69" s="14">
        <v>-185603.19</v>
      </c>
    </row>
    <row r="70" spans="1:14" x14ac:dyDescent="0.25">
      <c r="A70" s="39" t="s">
        <v>34</v>
      </c>
      <c r="B70" s="14">
        <v>23501.94</v>
      </c>
      <c r="C70" s="14">
        <v>21142</v>
      </c>
      <c r="D70" s="14">
        <v>-2359.94</v>
      </c>
      <c r="E70" s="14">
        <v>190356.61</v>
      </c>
      <c r="F70" s="14">
        <v>162989</v>
      </c>
      <c r="G70" s="14">
        <v>-27367.61</v>
      </c>
      <c r="H70" s="14">
        <v>282232</v>
      </c>
      <c r="I70" s="14">
        <v>23501.94</v>
      </c>
      <c r="J70" s="14">
        <v>935.93</v>
      </c>
      <c r="K70" s="14">
        <v>-22566.01</v>
      </c>
      <c r="L70" s="14">
        <v>190356.61</v>
      </c>
      <c r="M70" s="14">
        <v>50802.75</v>
      </c>
      <c r="N70" s="14">
        <v>-139553.85999999999</v>
      </c>
    </row>
    <row r="71" spans="1:14" x14ac:dyDescent="0.25">
      <c r="A71" s="39" t="s">
        <v>33</v>
      </c>
      <c r="B71" s="14">
        <v>1486.13</v>
      </c>
      <c r="C71" s="14">
        <v>1670</v>
      </c>
      <c r="D71" s="14">
        <v>183.87</v>
      </c>
      <c r="E71" s="14">
        <v>10112.94</v>
      </c>
      <c r="F71" s="14">
        <v>10892</v>
      </c>
      <c r="G71" s="14">
        <v>779.06</v>
      </c>
      <c r="H71" s="14">
        <v>18850</v>
      </c>
      <c r="I71" s="14">
        <v>1486.13</v>
      </c>
      <c r="J71" s="14">
        <v>1242.43</v>
      </c>
      <c r="K71" s="14">
        <v>-243.7</v>
      </c>
      <c r="L71" s="14">
        <v>10112.94</v>
      </c>
      <c r="M71" s="14">
        <v>8199.19</v>
      </c>
      <c r="N71" s="14">
        <v>-1913.75</v>
      </c>
    </row>
    <row r="72" spans="1:14" x14ac:dyDescent="0.25">
      <c r="A72" s="39" t="s">
        <v>32</v>
      </c>
      <c r="B72" s="14">
        <v>79.64</v>
      </c>
      <c r="C72" s="14">
        <v>51</v>
      </c>
      <c r="D72" s="14">
        <v>-28.64</v>
      </c>
      <c r="E72" s="14">
        <v>471.78</v>
      </c>
      <c r="F72" s="14">
        <v>463</v>
      </c>
      <c r="G72" s="14">
        <v>-8.7799999999999994</v>
      </c>
      <c r="H72" s="14">
        <v>735</v>
      </c>
      <c r="I72" s="14">
        <v>79.64</v>
      </c>
      <c r="J72" s="14">
        <v>90.93</v>
      </c>
      <c r="K72" s="14">
        <v>11.29</v>
      </c>
      <c r="L72" s="14">
        <v>471.78</v>
      </c>
      <c r="M72" s="14">
        <v>780.63</v>
      </c>
      <c r="N72" s="14">
        <v>308.85000000000002</v>
      </c>
    </row>
    <row r="73" spans="1:14" x14ac:dyDescent="0.25">
      <c r="A73" s="39" t="s">
        <v>40</v>
      </c>
      <c r="B73" s="14">
        <v>91316.08</v>
      </c>
      <c r="C73" s="14">
        <v>6076</v>
      </c>
      <c r="D73" s="14">
        <v>-85240.08</v>
      </c>
      <c r="E73" s="14">
        <v>-46010.93</v>
      </c>
      <c r="F73" s="14">
        <v>42453</v>
      </c>
      <c r="G73" s="14">
        <v>88463.93</v>
      </c>
      <c r="H73" s="14">
        <v>72753</v>
      </c>
      <c r="I73" s="14">
        <v>91316.08</v>
      </c>
      <c r="J73" s="14">
        <v>5807.22</v>
      </c>
      <c r="K73" s="14">
        <v>-85508.86</v>
      </c>
      <c r="L73" s="14">
        <v>-46010.93</v>
      </c>
      <c r="M73" s="14">
        <v>42184.89</v>
      </c>
      <c r="N73" s="14">
        <v>88195.82</v>
      </c>
    </row>
    <row r="74" spans="1:14" x14ac:dyDescent="0.25">
      <c r="A74" s="39" t="s">
        <v>39</v>
      </c>
      <c r="B74" s="14">
        <v>222991.83</v>
      </c>
      <c r="C74" s="14">
        <v>244452</v>
      </c>
      <c r="D74" s="14">
        <v>21460.17</v>
      </c>
      <c r="E74" s="14">
        <v>1928744.69</v>
      </c>
      <c r="F74" s="14">
        <v>1713597</v>
      </c>
      <c r="G74" s="14">
        <v>-215147.69</v>
      </c>
      <c r="H74" s="14">
        <v>2939391</v>
      </c>
      <c r="I74" s="14">
        <v>222991.83</v>
      </c>
      <c r="J74" s="14">
        <v>210036.37</v>
      </c>
      <c r="K74" s="14">
        <v>-12955.46</v>
      </c>
      <c r="L74" s="14">
        <v>1928744.69</v>
      </c>
      <c r="M74" s="14">
        <v>1718476.37</v>
      </c>
      <c r="N74" s="14">
        <v>-210268.32</v>
      </c>
    </row>
    <row r="75" spans="1:14" x14ac:dyDescent="0.25">
      <c r="A75" s="39" t="s">
        <v>38</v>
      </c>
      <c r="B75" s="14">
        <v>58440.74</v>
      </c>
      <c r="C75" s="14">
        <v>57501</v>
      </c>
      <c r="D75" s="14">
        <v>-939.74</v>
      </c>
      <c r="E75" s="14">
        <v>439057.94</v>
      </c>
      <c r="F75" s="14">
        <v>412295</v>
      </c>
      <c r="G75" s="14">
        <v>-26762.94</v>
      </c>
      <c r="H75" s="14">
        <v>699637</v>
      </c>
      <c r="I75" s="14">
        <v>58440.74</v>
      </c>
      <c r="J75" s="14">
        <v>51801.64</v>
      </c>
      <c r="K75" s="14">
        <v>-6639.1</v>
      </c>
      <c r="L75" s="14">
        <v>439057.94</v>
      </c>
      <c r="M75" s="14">
        <v>402532.04</v>
      </c>
      <c r="N75" s="14">
        <v>-36525.9</v>
      </c>
    </row>
    <row r="76" spans="1:14" x14ac:dyDescent="0.25">
      <c r="A76" s="39" t="s">
        <v>37</v>
      </c>
      <c r="B76" s="14">
        <v>-157875.01</v>
      </c>
      <c r="C76" s="14">
        <v>-232600</v>
      </c>
      <c r="D76" s="14">
        <v>-74724.990000000005</v>
      </c>
      <c r="E76" s="14">
        <v>-1009441.57</v>
      </c>
      <c r="F76" s="14">
        <v>-1569200</v>
      </c>
      <c r="G76" s="14">
        <v>-559758.43000000005</v>
      </c>
      <c r="H76" s="14">
        <v>-2799200</v>
      </c>
      <c r="I76" s="14">
        <v>-157875.01</v>
      </c>
      <c r="J76" s="14">
        <v>-2539.23</v>
      </c>
      <c r="K76" s="14">
        <v>155335.78</v>
      </c>
      <c r="L76" s="14">
        <v>-1009441.57</v>
      </c>
      <c r="M76" s="14">
        <v>-13962.19</v>
      </c>
      <c r="N76" s="14">
        <v>995479.38</v>
      </c>
    </row>
    <row r="77" spans="1:14" x14ac:dyDescent="0.25">
      <c r="A77" s="39" t="s">
        <v>36</v>
      </c>
      <c r="B77" s="37">
        <v>1022301.16</v>
      </c>
      <c r="C77" s="37">
        <v>715855</v>
      </c>
      <c r="D77" s="37">
        <v>-306446.15999999997</v>
      </c>
      <c r="E77" s="37">
        <v>6612271.3300000001</v>
      </c>
      <c r="F77" s="37">
        <v>5083991</v>
      </c>
      <c r="G77" s="37">
        <v>-1528280.33</v>
      </c>
      <c r="H77" s="37">
        <v>8607346</v>
      </c>
      <c r="I77" s="37">
        <v>1022301.16</v>
      </c>
      <c r="J77" s="37">
        <v>955074.97</v>
      </c>
      <c r="K77" s="37">
        <v>-67226.19</v>
      </c>
      <c r="L77" s="37">
        <v>6612271.3300000001</v>
      </c>
      <c r="M77" s="37">
        <v>7122390.3600000003</v>
      </c>
      <c r="N77" s="37">
        <v>510119.03</v>
      </c>
    </row>
    <row r="79" spans="1:14" ht="56.25" x14ac:dyDescent="0.25">
      <c r="A79" s="42" t="s">
        <v>54</v>
      </c>
      <c r="B79" s="40" t="s">
        <v>248</v>
      </c>
      <c r="C79" s="40" t="s">
        <v>247</v>
      </c>
      <c r="D79" s="40" t="s">
        <v>246</v>
      </c>
      <c r="E79" s="40" t="s">
        <v>245</v>
      </c>
      <c r="F79" s="40" t="s">
        <v>244</v>
      </c>
      <c r="G79" s="40" t="s">
        <v>243</v>
      </c>
      <c r="H79" s="40" t="s">
        <v>194</v>
      </c>
      <c r="I79" s="40" t="s">
        <v>242</v>
      </c>
      <c r="J79" s="40" t="s">
        <v>241</v>
      </c>
      <c r="K79" s="40" t="s">
        <v>240</v>
      </c>
      <c r="L79" s="40" t="s">
        <v>239</v>
      </c>
      <c r="M79" s="40" t="s">
        <v>238</v>
      </c>
      <c r="N79" s="40" t="s">
        <v>237</v>
      </c>
    </row>
    <row r="80" spans="1:14" x14ac:dyDescent="0.25">
      <c r="A80" s="39" t="s">
        <v>35</v>
      </c>
      <c r="B80" s="14">
        <v>711165.02</v>
      </c>
      <c r="C80" s="14">
        <v>619415</v>
      </c>
      <c r="D80" s="14">
        <v>-91750.02</v>
      </c>
      <c r="E80" s="14">
        <v>5810144.8899999997</v>
      </c>
      <c r="F80" s="14">
        <v>4929917</v>
      </c>
      <c r="G80" s="14">
        <v>-880227.89</v>
      </c>
      <c r="H80" s="14">
        <v>7392948</v>
      </c>
      <c r="I80" s="14">
        <v>711165.02</v>
      </c>
      <c r="J80" s="14">
        <v>676584.55</v>
      </c>
      <c r="K80" s="14">
        <v>-34580.47</v>
      </c>
      <c r="L80" s="14">
        <v>5810144.8899999997</v>
      </c>
      <c r="M80" s="14">
        <v>5589961.2300000004</v>
      </c>
      <c r="N80" s="14">
        <v>-220183.66</v>
      </c>
    </row>
    <row r="81" spans="1:14" x14ac:dyDescent="0.25">
      <c r="A81" s="39" t="s">
        <v>34</v>
      </c>
      <c r="B81" s="14">
        <v>25804.04</v>
      </c>
      <c r="C81" s="14">
        <v>21144</v>
      </c>
      <c r="D81" s="14">
        <v>-4660.04</v>
      </c>
      <c r="E81" s="14">
        <v>216160.65</v>
      </c>
      <c r="F81" s="14">
        <v>184133</v>
      </c>
      <c r="G81" s="14">
        <v>-32027.65</v>
      </c>
      <c r="H81" s="14">
        <v>282232</v>
      </c>
      <c r="I81" s="14">
        <v>25804.04</v>
      </c>
      <c r="J81" s="14">
        <v>7846.45</v>
      </c>
      <c r="K81" s="14">
        <v>-17957.59</v>
      </c>
      <c r="L81" s="14">
        <v>216160.65</v>
      </c>
      <c r="M81" s="14">
        <v>58649.2</v>
      </c>
      <c r="N81" s="14">
        <v>-157511.45000000001</v>
      </c>
    </row>
    <row r="82" spans="1:14" x14ac:dyDescent="0.25">
      <c r="A82" s="39" t="s">
        <v>33</v>
      </c>
      <c r="B82" s="14">
        <v>1496.16</v>
      </c>
      <c r="C82" s="14">
        <v>1600</v>
      </c>
      <c r="D82" s="14">
        <v>103.84</v>
      </c>
      <c r="E82" s="14">
        <v>11609.1</v>
      </c>
      <c r="F82" s="14">
        <v>12492</v>
      </c>
      <c r="G82" s="14">
        <v>882.9</v>
      </c>
      <c r="H82" s="14">
        <v>18850</v>
      </c>
      <c r="I82" s="14">
        <v>1496.16</v>
      </c>
      <c r="J82" s="14">
        <v>1358.67</v>
      </c>
      <c r="K82" s="14">
        <v>-137.49</v>
      </c>
      <c r="L82" s="14">
        <v>11609.1</v>
      </c>
      <c r="M82" s="14">
        <v>9557.86</v>
      </c>
      <c r="N82" s="14">
        <v>-2051.2399999999998</v>
      </c>
    </row>
    <row r="83" spans="1:14" x14ac:dyDescent="0.25">
      <c r="A83" s="39" t="s">
        <v>32</v>
      </c>
      <c r="B83" s="14">
        <v>110.64</v>
      </c>
      <c r="C83" s="14">
        <v>54</v>
      </c>
      <c r="D83" s="14">
        <v>-56.64</v>
      </c>
      <c r="E83" s="14">
        <v>582.41999999999996</v>
      </c>
      <c r="F83" s="14">
        <v>517</v>
      </c>
      <c r="G83" s="14">
        <v>-65.42</v>
      </c>
      <c r="H83" s="14">
        <v>735</v>
      </c>
      <c r="I83" s="14">
        <v>110.64</v>
      </c>
      <c r="J83" s="14">
        <v>96.7</v>
      </c>
      <c r="K83" s="14">
        <v>-13.94</v>
      </c>
      <c r="L83" s="14">
        <v>582.41999999999996</v>
      </c>
      <c r="M83" s="14">
        <v>877.33</v>
      </c>
      <c r="N83" s="14">
        <v>294.91000000000003</v>
      </c>
    </row>
    <row r="84" spans="1:14" x14ac:dyDescent="0.25">
      <c r="A84" s="39" t="s">
        <v>40</v>
      </c>
      <c r="B84" s="14">
        <v>255132.81</v>
      </c>
      <c r="C84" s="14">
        <v>6064</v>
      </c>
      <c r="D84" s="14">
        <v>-249068.81</v>
      </c>
      <c r="E84" s="14">
        <v>209121.88</v>
      </c>
      <c r="F84" s="14">
        <v>48517</v>
      </c>
      <c r="G84" s="14">
        <v>-160604.88</v>
      </c>
      <c r="H84" s="14">
        <v>72753</v>
      </c>
      <c r="I84" s="14">
        <v>255132.81</v>
      </c>
      <c r="J84" s="14">
        <v>5879.41</v>
      </c>
      <c r="K84" s="14">
        <v>-249253.4</v>
      </c>
      <c r="L84" s="14">
        <v>209121.88</v>
      </c>
      <c r="M84" s="14">
        <v>48064.3</v>
      </c>
      <c r="N84" s="14">
        <v>-161057.57999999999</v>
      </c>
    </row>
    <row r="85" spans="1:14" x14ac:dyDescent="0.25">
      <c r="A85" s="39" t="s">
        <v>39</v>
      </c>
      <c r="B85" s="14">
        <v>294932.71999999997</v>
      </c>
      <c r="C85" s="14">
        <v>245705</v>
      </c>
      <c r="D85" s="14">
        <v>-49227.72</v>
      </c>
      <c r="E85" s="14">
        <v>2223677.41</v>
      </c>
      <c r="F85" s="14">
        <v>1959302</v>
      </c>
      <c r="G85" s="14">
        <v>-264375.40999999997</v>
      </c>
      <c r="H85" s="14">
        <v>2939391</v>
      </c>
      <c r="I85" s="14">
        <v>294932.71999999997</v>
      </c>
      <c r="J85" s="14">
        <v>239569.85</v>
      </c>
      <c r="K85" s="14">
        <v>-55362.87</v>
      </c>
      <c r="L85" s="14">
        <v>2223677.41</v>
      </c>
      <c r="M85" s="14">
        <v>1958046.22</v>
      </c>
      <c r="N85" s="14">
        <v>-265631.19</v>
      </c>
    </row>
    <row r="86" spans="1:14" x14ac:dyDescent="0.25">
      <c r="A86" s="39" t="s">
        <v>38</v>
      </c>
      <c r="B86" s="14">
        <v>54296.58</v>
      </c>
      <c r="C86" s="14">
        <v>57616</v>
      </c>
      <c r="D86" s="14">
        <v>3319.42</v>
      </c>
      <c r="E86" s="14">
        <v>493354.52</v>
      </c>
      <c r="F86" s="14">
        <v>469911</v>
      </c>
      <c r="G86" s="14">
        <v>-23443.52</v>
      </c>
      <c r="H86" s="14">
        <v>699637</v>
      </c>
      <c r="I86" s="14">
        <v>54296.58</v>
      </c>
      <c r="J86" s="14">
        <v>52738.48</v>
      </c>
      <c r="K86" s="14">
        <v>-1558.1</v>
      </c>
      <c r="L86" s="14">
        <v>493354.52</v>
      </c>
      <c r="M86" s="14">
        <v>455270.52</v>
      </c>
      <c r="N86" s="14">
        <v>-38084</v>
      </c>
    </row>
    <row r="87" spans="1:14" x14ac:dyDescent="0.25">
      <c r="A87" s="39" t="s">
        <v>37</v>
      </c>
      <c r="B87" s="14">
        <v>-157331.6</v>
      </c>
      <c r="C87" s="14">
        <v>-229800</v>
      </c>
      <c r="D87" s="14">
        <v>-72468.399999999994</v>
      </c>
      <c r="E87" s="14">
        <v>-1166773.17</v>
      </c>
      <c r="F87" s="14">
        <v>-1799000</v>
      </c>
      <c r="G87" s="14">
        <v>-632226.82999999996</v>
      </c>
      <c r="H87" s="14">
        <v>-2799200</v>
      </c>
      <c r="I87" s="14">
        <v>-157331.6</v>
      </c>
      <c r="J87" s="14">
        <v>-1820.93</v>
      </c>
      <c r="K87" s="14">
        <v>155510.67000000001</v>
      </c>
      <c r="L87" s="14">
        <v>-1166773.17</v>
      </c>
      <c r="M87" s="14">
        <v>-15783.12</v>
      </c>
      <c r="N87" s="14">
        <v>1150990.05</v>
      </c>
    </row>
    <row r="88" spans="1:14" x14ac:dyDescent="0.25">
      <c r="A88" s="39" t="s">
        <v>36</v>
      </c>
      <c r="B88" s="37">
        <v>1185606.3700000001</v>
      </c>
      <c r="C88" s="37">
        <v>721798</v>
      </c>
      <c r="D88" s="37">
        <v>-463808.37</v>
      </c>
      <c r="E88" s="37">
        <v>7797877.7000000002</v>
      </c>
      <c r="F88" s="37">
        <v>5805789</v>
      </c>
      <c r="G88" s="37">
        <v>-1992088.7</v>
      </c>
      <c r="H88" s="37">
        <v>8607346</v>
      </c>
      <c r="I88" s="37">
        <v>1185606.3700000001</v>
      </c>
      <c r="J88" s="37">
        <v>982253.18</v>
      </c>
      <c r="K88" s="37">
        <v>-203353.19</v>
      </c>
      <c r="L88" s="37">
        <v>7797877.7000000002</v>
      </c>
      <c r="M88" s="37">
        <v>8104643.54</v>
      </c>
      <c r="N88" s="37">
        <v>306765.84000000003</v>
      </c>
    </row>
    <row r="90" spans="1:14" ht="56.25" x14ac:dyDescent="0.25">
      <c r="A90" s="42" t="s">
        <v>54</v>
      </c>
      <c r="B90" s="40" t="s">
        <v>236</v>
      </c>
      <c r="C90" s="40" t="s">
        <v>235</v>
      </c>
      <c r="D90" s="40" t="s">
        <v>234</v>
      </c>
      <c r="E90" s="40" t="s">
        <v>233</v>
      </c>
      <c r="F90" s="40" t="s">
        <v>232</v>
      </c>
      <c r="G90" s="40" t="s">
        <v>231</v>
      </c>
      <c r="H90" s="40" t="s">
        <v>194</v>
      </c>
      <c r="I90" s="40" t="s">
        <v>230</v>
      </c>
      <c r="J90" s="40" t="s">
        <v>229</v>
      </c>
      <c r="K90" s="40" t="s">
        <v>228</v>
      </c>
      <c r="L90" s="40" t="s">
        <v>227</v>
      </c>
      <c r="M90" s="40" t="s">
        <v>226</v>
      </c>
      <c r="N90" s="40" t="s">
        <v>225</v>
      </c>
    </row>
    <row r="91" spans="1:14" x14ac:dyDescent="0.25">
      <c r="A91" s="39" t="s">
        <v>35</v>
      </c>
      <c r="B91" s="14">
        <v>700229.49</v>
      </c>
      <c r="C91" s="14">
        <v>611928</v>
      </c>
      <c r="D91" s="14">
        <v>-88301.49</v>
      </c>
      <c r="E91" s="14">
        <v>6510374.3799999999</v>
      </c>
      <c r="F91" s="14">
        <v>5541845</v>
      </c>
      <c r="G91" s="14">
        <v>-968529.38</v>
      </c>
      <c r="H91" s="14">
        <v>7392948</v>
      </c>
      <c r="I91" s="14">
        <v>700229.49</v>
      </c>
      <c r="J91" s="14">
        <v>696037.51</v>
      </c>
      <c r="K91" s="14">
        <v>-4191.9799999999996</v>
      </c>
      <c r="L91" s="14">
        <v>6510374.3799999999</v>
      </c>
      <c r="M91" s="14">
        <v>6285998.7400000002</v>
      </c>
      <c r="N91" s="14">
        <v>-224375.64</v>
      </c>
    </row>
    <row r="92" spans="1:14" x14ac:dyDescent="0.25">
      <c r="A92" s="39" t="s">
        <v>34</v>
      </c>
      <c r="B92" s="14">
        <v>30958.97</v>
      </c>
      <c r="C92" s="14">
        <v>22627</v>
      </c>
      <c r="D92" s="14">
        <v>-8331.9699999999993</v>
      </c>
      <c r="E92" s="14">
        <v>247119.62</v>
      </c>
      <c r="F92" s="14">
        <v>206760</v>
      </c>
      <c r="G92" s="14">
        <v>-40359.620000000003</v>
      </c>
      <c r="H92" s="14">
        <v>282232</v>
      </c>
      <c r="I92" s="14">
        <v>30958.97</v>
      </c>
      <c r="J92" s="14">
        <v>333.99</v>
      </c>
      <c r="K92" s="14">
        <v>-30624.98</v>
      </c>
      <c r="L92" s="14">
        <v>247119.62</v>
      </c>
      <c r="M92" s="14">
        <v>58983.19</v>
      </c>
      <c r="N92" s="14">
        <v>-188136.43</v>
      </c>
    </row>
    <row r="93" spans="1:14" x14ac:dyDescent="0.25">
      <c r="A93" s="39" t="s">
        <v>33</v>
      </c>
      <c r="B93" s="14">
        <v>1431.61</v>
      </c>
      <c r="C93" s="14">
        <v>1528</v>
      </c>
      <c r="D93" s="14">
        <v>96.39</v>
      </c>
      <c r="E93" s="14">
        <v>13040.71</v>
      </c>
      <c r="F93" s="14">
        <v>14020</v>
      </c>
      <c r="G93" s="14">
        <v>979.29</v>
      </c>
      <c r="H93" s="14">
        <v>18850</v>
      </c>
      <c r="I93" s="14">
        <v>1431.61</v>
      </c>
      <c r="J93" s="14">
        <v>1353.68</v>
      </c>
      <c r="K93" s="14">
        <v>-77.930000000000007</v>
      </c>
      <c r="L93" s="14">
        <v>13040.71</v>
      </c>
      <c r="M93" s="14">
        <v>10911.54</v>
      </c>
      <c r="N93" s="14">
        <v>-2129.17</v>
      </c>
    </row>
    <row r="94" spans="1:14" x14ac:dyDescent="0.25">
      <c r="A94" s="39" t="s">
        <v>32</v>
      </c>
      <c r="B94" s="14">
        <v>73.11</v>
      </c>
      <c r="C94" s="14">
        <v>56</v>
      </c>
      <c r="D94" s="14">
        <v>-17.11</v>
      </c>
      <c r="E94" s="14">
        <v>655.53</v>
      </c>
      <c r="F94" s="14">
        <v>573</v>
      </c>
      <c r="G94" s="14">
        <v>-82.53</v>
      </c>
      <c r="H94" s="14">
        <v>735</v>
      </c>
      <c r="I94" s="14">
        <v>73.11</v>
      </c>
      <c r="J94" s="14">
        <v>98.73</v>
      </c>
      <c r="K94" s="14">
        <v>25.62</v>
      </c>
      <c r="L94" s="14">
        <v>655.53</v>
      </c>
      <c r="M94" s="14">
        <v>976.06</v>
      </c>
      <c r="N94" s="14">
        <v>320.52999999999997</v>
      </c>
    </row>
    <row r="95" spans="1:14" x14ac:dyDescent="0.25">
      <c r="A95" s="39" t="s">
        <v>40</v>
      </c>
      <c r="B95" s="14">
        <v>91070.6</v>
      </c>
      <c r="C95" s="14">
        <v>6059</v>
      </c>
      <c r="D95" s="14">
        <v>-85011.6</v>
      </c>
      <c r="E95" s="14">
        <v>300192.48</v>
      </c>
      <c r="F95" s="14">
        <v>54576</v>
      </c>
      <c r="G95" s="14">
        <v>-245616.48</v>
      </c>
      <c r="H95" s="14">
        <v>72753</v>
      </c>
      <c r="I95" s="14">
        <v>91070.6</v>
      </c>
      <c r="J95" s="14">
        <v>7387.14</v>
      </c>
      <c r="K95" s="14">
        <v>-83683.460000000006</v>
      </c>
      <c r="L95" s="14">
        <v>300192.48</v>
      </c>
      <c r="M95" s="14">
        <v>55451.44</v>
      </c>
      <c r="N95" s="14">
        <v>-244741.04</v>
      </c>
    </row>
    <row r="96" spans="1:14" x14ac:dyDescent="0.25">
      <c r="A96" s="39" t="s">
        <v>39</v>
      </c>
      <c r="B96" s="14">
        <v>271598.8</v>
      </c>
      <c r="C96" s="14">
        <v>243784</v>
      </c>
      <c r="D96" s="14">
        <v>-27814.799999999999</v>
      </c>
      <c r="E96" s="14">
        <v>2495276.21</v>
      </c>
      <c r="F96" s="14">
        <v>2203086</v>
      </c>
      <c r="G96" s="14">
        <v>-292190.21000000002</v>
      </c>
      <c r="H96" s="14">
        <v>2939391</v>
      </c>
      <c r="I96" s="14">
        <v>271598.8</v>
      </c>
      <c r="J96" s="14">
        <v>339014.47</v>
      </c>
      <c r="K96" s="14">
        <v>67415.67</v>
      </c>
      <c r="L96" s="14">
        <v>2495276.21</v>
      </c>
      <c r="M96" s="14">
        <v>2297060.69</v>
      </c>
      <c r="N96" s="14">
        <v>-198215.52</v>
      </c>
    </row>
    <row r="97" spans="1:14" x14ac:dyDescent="0.25">
      <c r="A97" s="39" t="s">
        <v>38</v>
      </c>
      <c r="B97" s="14">
        <v>49354.48</v>
      </c>
      <c r="C97" s="14">
        <v>57185</v>
      </c>
      <c r="D97" s="14">
        <v>7830.52</v>
      </c>
      <c r="E97" s="14">
        <v>542709</v>
      </c>
      <c r="F97" s="14">
        <v>527096</v>
      </c>
      <c r="G97" s="14">
        <v>-15613</v>
      </c>
      <c r="H97" s="14">
        <v>699637</v>
      </c>
      <c r="I97" s="14">
        <v>49354.48</v>
      </c>
      <c r="J97" s="14">
        <v>63790.97</v>
      </c>
      <c r="K97" s="14">
        <v>14436.49</v>
      </c>
      <c r="L97" s="14">
        <v>542709</v>
      </c>
      <c r="M97" s="14">
        <v>519061.49</v>
      </c>
      <c r="N97" s="14">
        <v>-23647.51</v>
      </c>
    </row>
    <row r="98" spans="1:14" x14ac:dyDescent="0.25">
      <c r="A98" s="39" t="s">
        <v>37</v>
      </c>
      <c r="B98" s="14">
        <v>-173217.41</v>
      </c>
      <c r="C98" s="14">
        <v>-232300</v>
      </c>
      <c r="D98" s="14">
        <v>-59082.59</v>
      </c>
      <c r="E98" s="14">
        <v>-1339990.58</v>
      </c>
      <c r="F98" s="14">
        <v>-2031300</v>
      </c>
      <c r="G98" s="14">
        <v>-691309.42</v>
      </c>
      <c r="H98" s="14">
        <v>-2799200</v>
      </c>
      <c r="I98" s="14">
        <v>-173217.41</v>
      </c>
      <c r="J98" s="14">
        <v>-1458.63</v>
      </c>
      <c r="K98" s="14">
        <v>171758.78</v>
      </c>
      <c r="L98" s="14">
        <v>-1339990.58</v>
      </c>
      <c r="M98" s="14">
        <v>-17241.75</v>
      </c>
      <c r="N98" s="14">
        <v>1322748.83</v>
      </c>
    </row>
    <row r="99" spans="1:14" x14ac:dyDescent="0.25">
      <c r="A99" s="39" t="s">
        <v>36</v>
      </c>
      <c r="B99" s="37">
        <v>971499.65</v>
      </c>
      <c r="C99" s="37">
        <v>710867</v>
      </c>
      <c r="D99" s="37">
        <v>-260632.65</v>
      </c>
      <c r="E99" s="37">
        <v>8769377.3499999996</v>
      </c>
      <c r="F99" s="37">
        <v>6516656</v>
      </c>
      <c r="G99" s="37">
        <v>-2252721.35</v>
      </c>
      <c r="H99" s="37">
        <v>8607346</v>
      </c>
      <c r="I99" s="37">
        <v>971499.65</v>
      </c>
      <c r="J99" s="37">
        <v>1106557.8600000001</v>
      </c>
      <c r="K99" s="37">
        <v>135058.21</v>
      </c>
      <c r="L99" s="37">
        <v>8769377.3499999996</v>
      </c>
      <c r="M99" s="37">
        <v>9211201.4000000004</v>
      </c>
      <c r="N99" s="37">
        <v>441824.05</v>
      </c>
    </row>
    <row r="101" spans="1:14" ht="56.25" x14ac:dyDescent="0.25">
      <c r="A101" s="42" t="s">
        <v>54</v>
      </c>
      <c r="B101" s="40" t="s">
        <v>224</v>
      </c>
      <c r="C101" s="40" t="s">
        <v>223</v>
      </c>
      <c r="D101" s="40" t="s">
        <v>222</v>
      </c>
      <c r="E101" s="40" t="s">
        <v>221</v>
      </c>
      <c r="F101" s="40" t="s">
        <v>220</v>
      </c>
      <c r="G101" s="40" t="s">
        <v>219</v>
      </c>
      <c r="H101" s="40" t="s">
        <v>194</v>
      </c>
      <c r="I101" s="40" t="s">
        <v>218</v>
      </c>
      <c r="J101" s="40" t="s">
        <v>217</v>
      </c>
      <c r="K101" s="40" t="s">
        <v>216</v>
      </c>
      <c r="L101" s="40" t="s">
        <v>215</v>
      </c>
      <c r="M101" s="40" t="s">
        <v>214</v>
      </c>
      <c r="N101" s="40" t="s">
        <v>213</v>
      </c>
    </row>
    <row r="102" spans="1:14" x14ac:dyDescent="0.25">
      <c r="A102" s="39" t="s">
        <v>35</v>
      </c>
      <c r="B102" s="14">
        <v>765947.23</v>
      </c>
      <c r="C102" s="14">
        <v>619803</v>
      </c>
      <c r="D102" s="14">
        <v>-146144.23000000001</v>
      </c>
      <c r="E102" s="14">
        <v>7276321.6100000003</v>
      </c>
      <c r="F102" s="14">
        <v>6161648</v>
      </c>
      <c r="G102" s="14">
        <v>-1114673.6100000001</v>
      </c>
      <c r="H102" s="14">
        <v>7392948</v>
      </c>
      <c r="I102" s="14">
        <v>765947.23</v>
      </c>
      <c r="J102" s="14">
        <v>627419.74</v>
      </c>
      <c r="K102" s="14">
        <v>-138527.49</v>
      </c>
      <c r="L102" s="14">
        <v>7276321.6100000003</v>
      </c>
      <c r="M102" s="14">
        <v>6913418.4800000004</v>
      </c>
      <c r="N102" s="14">
        <v>-362903.13</v>
      </c>
    </row>
    <row r="103" spans="1:14" x14ac:dyDescent="0.25">
      <c r="A103" s="39" t="s">
        <v>34</v>
      </c>
      <c r="B103" s="14">
        <v>44353.82</v>
      </c>
      <c r="C103" s="14">
        <v>23293</v>
      </c>
      <c r="D103" s="14">
        <v>-21060.82</v>
      </c>
      <c r="E103" s="14">
        <v>291473.44</v>
      </c>
      <c r="F103" s="14">
        <v>230053</v>
      </c>
      <c r="G103" s="14">
        <v>-61420.44</v>
      </c>
      <c r="H103" s="14">
        <v>282232</v>
      </c>
      <c r="I103" s="14">
        <v>44353.82</v>
      </c>
      <c r="J103" s="14">
        <v>5777.37</v>
      </c>
      <c r="K103" s="14">
        <v>-38576.449999999997</v>
      </c>
      <c r="L103" s="14">
        <v>291473.44</v>
      </c>
      <c r="M103" s="14">
        <v>64760.56</v>
      </c>
      <c r="N103" s="14">
        <v>-226712.88</v>
      </c>
    </row>
    <row r="104" spans="1:14" x14ac:dyDescent="0.25">
      <c r="A104" s="39" t="s">
        <v>33</v>
      </c>
      <c r="B104" s="14">
        <v>1539.2</v>
      </c>
      <c r="C104" s="14">
        <v>1674</v>
      </c>
      <c r="D104" s="14">
        <v>134.80000000000001</v>
      </c>
      <c r="E104" s="14">
        <v>14579.91</v>
      </c>
      <c r="F104" s="14">
        <v>15694</v>
      </c>
      <c r="G104" s="14">
        <v>1114.0899999999999</v>
      </c>
      <c r="H104" s="14">
        <v>18850</v>
      </c>
      <c r="I104" s="14">
        <v>1539.2</v>
      </c>
      <c r="J104" s="14">
        <v>1442.5</v>
      </c>
      <c r="K104" s="14">
        <v>-96.7</v>
      </c>
      <c r="L104" s="14">
        <v>14579.91</v>
      </c>
      <c r="M104" s="14">
        <v>12354.04</v>
      </c>
      <c r="N104" s="14">
        <v>-2225.87</v>
      </c>
    </row>
    <row r="105" spans="1:14" x14ac:dyDescent="0.25">
      <c r="A105" s="39" t="s">
        <v>32</v>
      </c>
      <c r="B105" s="14">
        <v>90.92</v>
      </c>
      <c r="C105" s="14">
        <v>63</v>
      </c>
      <c r="D105" s="14">
        <v>-27.92</v>
      </c>
      <c r="E105" s="14">
        <v>746.45</v>
      </c>
      <c r="F105" s="14">
        <v>636</v>
      </c>
      <c r="G105" s="14">
        <v>-110.45</v>
      </c>
      <c r="H105" s="14">
        <v>735</v>
      </c>
      <c r="I105" s="14">
        <v>90.92</v>
      </c>
      <c r="J105" s="14">
        <v>115.81</v>
      </c>
      <c r="K105" s="14">
        <v>24.89</v>
      </c>
      <c r="L105" s="14">
        <v>746.45</v>
      </c>
      <c r="M105" s="14">
        <v>1091.8699999999999</v>
      </c>
      <c r="N105" s="14">
        <v>345.42</v>
      </c>
    </row>
    <row r="106" spans="1:14" x14ac:dyDescent="0.25">
      <c r="A106" s="39" t="s">
        <v>40</v>
      </c>
      <c r="B106" s="14">
        <v>90834.87</v>
      </c>
      <c r="C106" s="14">
        <v>6059</v>
      </c>
      <c r="D106" s="14">
        <v>-84775.87</v>
      </c>
      <c r="E106" s="14">
        <v>391027.35</v>
      </c>
      <c r="F106" s="14">
        <v>60635</v>
      </c>
      <c r="G106" s="14">
        <v>-330392.34999999998</v>
      </c>
      <c r="H106" s="14">
        <v>72753</v>
      </c>
      <c r="I106" s="14">
        <v>90834.87</v>
      </c>
      <c r="J106" s="14">
        <v>6925.01</v>
      </c>
      <c r="K106" s="14">
        <v>-83909.86</v>
      </c>
      <c r="L106" s="14">
        <v>391027.35</v>
      </c>
      <c r="M106" s="14">
        <v>62376.45</v>
      </c>
      <c r="N106" s="14">
        <v>-328650.90000000002</v>
      </c>
    </row>
    <row r="107" spans="1:14" x14ac:dyDescent="0.25">
      <c r="A107" s="39" t="s">
        <v>39</v>
      </c>
      <c r="B107" s="14">
        <v>296198.39</v>
      </c>
      <c r="C107" s="14">
        <v>246375</v>
      </c>
      <c r="D107" s="14">
        <v>-49823.39</v>
      </c>
      <c r="E107" s="14">
        <v>2791474.6</v>
      </c>
      <c r="F107" s="14">
        <v>2449461</v>
      </c>
      <c r="G107" s="14">
        <v>-342013.6</v>
      </c>
      <c r="H107" s="14">
        <v>2939391</v>
      </c>
      <c r="I107" s="14">
        <v>296198.39</v>
      </c>
      <c r="J107" s="14">
        <v>206701.82</v>
      </c>
      <c r="K107" s="14">
        <v>-89496.57</v>
      </c>
      <c r="L107" s="14">
        <v>2791474.6</v>
      </c>
      <c r="M107" s="14">
        <v>2503762.5099999998</v>
      </c>
      <c r="N107" s="14">
        <v>-287712.09000000003</v>
      </c>
    </row>
    <row r="108" spans="1:14" x14ac:dyDescent="0.25">
      <c r="A108" s="39" t="s">
        <v>38</v>
      </c>
      <c r="B108" s="14">
        <v>56412.42</v>
      </c>
      <c r="C108" s="14">
        <v>57685</v>
      </c>
      <c r="D108" s="14">
        <v>1272.58</v>
      </c>
      <c r="E108" s="14">
        <v>599121.42000000004</v>
      </c>
      <c r="F108" s="14">
        <v>584781</v>
      </c>
      <c r="G108" s="14">
        <v>-14340.42</v>
      </c>
      <c r="H108" s="14">
        <v>699637</v>
      </c>
      <c r="I108" s="14">
        <v>56412.42</v>
      </c>
      <c r="J108" s="14">
        <v>50945.36</v>
      </c>
      <c r="K108" s="14">
        <v>-5467.06</v>
      </c>
      <c r="L108" s="14">
        <v>599121.42000000004</v>
      </c>
      <c r="M108" s="14">
        <v>570006.85</v>
      </c>
      <c r="N108" s="14">
        <v>-29114.57</v>
      </c>
    </row>
    <row r="109" spans="1:14" x14ac:dyDescent="0.25">
      <c r="A109" s="39" t="s">
        <v>37</v>
      </c>
      <c r="B109" s="14">
        <v>-199209.04</v>
      </c>
      <c r="C109" s="14">
        <v>-303300</v>
      </c>
      <c r="D109" s="14">
        <v>-104090.96</v>
      </c>
      <c r="E109" s="14">
        <v>-1539199.62</v>
      </c>
      <c r="F109" s="14">
        <v>-2334600</v>
      </c>
      <c r="G109" s="14">
        <v>-795400.38</v>
      </c>
      <c r="H109" s="14">
        <v>-2799200</v>
      </c>
      <c r="I109" s="14">
        <v>-199209.04</v>
      </c>
      <c r="J109" s="14">
        <v>-5000.57</v>
      </c>
      <c r="K109" s="14">
        <v>194208.47</v>
      </c>
      <c r="L109" s="14">
        <v>-1539199.62</v>
      </c>
      <c r="M109" s="14">
        <v>-22242.32</v>
      </c>
      <c r="N109" s="14">
        <v>1516957.3</v>
      </c>
    </row>
    <row r="110" spans="1:14" x14ac:dyDescent="0.25">
      <c r="A110" s="39" t="s">
        <v>36</v>
      </c>
      <c r="B110" s="37">
        <v>1056167.81</v>
      </c>
      <c r="C110" s="37">
        <v>651652</v>
      </c>
      <c r="D110" s="37">
        <v>-404515.81</v>
      </c>
      <c r="E110" s="37">
        <v>9825545.1600000001</v>
      </c>
      <c r="F110" s="37">
        <v>7168308</v>
      </c>
      <c r="G110" s="37">
        <v>-2657237.16</v>
      </c>
      <c r="H110" s="37">
        <v>8607346</v>
      </c>
      <c r="I110" s="37">
        <v>1056167.81</v>
      </c>
      <c r="J110" s="37">
        <v>894327.04</v>
      </c>
      <c r="K110" s="37">
        <v>-161840.76999999999</v>
      </c>
      <c r="L110" s="37">
        <v>9825545.1600000001</v>
      </c>
      <c r="M110" s="37">
        <v>10105528.439999999</v>
      </c>
      <c r="N110" s="37">
        <v>279983.28000000003</v>
      </c>
    </row>
    <row r="112" spans="1:14" ht="56.25" x14ac:dyDescent="0.25">
      <c r="A112" s="42" t="s">
        <v>54</v>
      </c>
      <c r="B112" s="40" t="s">
        <v>212</v>
      </c>
      <c r="C112" s="40" t="s">
        <v>211</v>
      </c>
      <c r="D112" s="40" t="s">
        <v>210</v>
      </c>
      <c r="E112" s="40" t="s">
        <v>209</v>
      </c>
      <c r="F112" s="40" t="s">
        <v>208</v>
      </c>
      <c r="G112" s="40" t="s">
        <v>207</v>
      </c>
      <c r="H112" s="40" t="s">
        <v>194</v>
      </c>
      <c r="I112" s="40" t="s">
        <v>206</v>
      </c>
      <c r="J112" s="40" t="s">
        <v>205</v>
      </c>
      <c r="K112" s="40" t="s">
        <v>204</v>
      </c>
      <c r="L112" s="40" t="s">
        <v>203</v>
      </c>
      <c r="M112" s="40" t="s">
        <v>202</v>
      </c>
      <c r="N112" s="40" t="s">
        <v>201</v>
      </c>
    </row>
    <row r="113" spans="1:14" x14ac:dyDescent="0.25">
      <c r="A113" s="39" t="s">
        <v>35</v>
      </c>
      <c r="B113" s="14">
        <v>701736.74</v>
      </c>
      <c r="C113" s="14">
        <v>616608</v>
      </c>
      <c r="D113" s="14">
        <v>-85128.74</v>
      </c>
      <c r="E113" s="14">
        <v>7978058.3499999996</v>
      </c>
      <c r="F113" s="14">
        <v>6778256</v>
      </c>
      <c r="G113" s="14">
        <v>-1199802.3500000001</v>
      </c>
      <c r="H113" s="14">
        <v>7392948</v>
      </c>
      <c r="I113" s="14">
        <v>701736.74</v>
      </c>
      <c r="J113" s="14">
        <v>624257.78</v>
      </c>
      <c r="K113" s="14">
        <v>-77478.960000000006</v>
      </c>
      <c r="L113" s="14">
        <v>7978058.3499999996</v>
      </c>
      <c r="M113" s="14">
        <v>7537676.2599999998</v>
      </c>
      <c r="N113" s="14">
        <v>-440382.09</v>
      </c>
    </row>
    <row r="114" spans="1:14" x14ac:dyDescent="0.25">
      <c r="A114" s="39" t="s">
        <v>34</v>
      </c>
      <c r="B114" s="14">
        <v>39319.14</v>
      </c>
      <c r="C114" s="14">
        <v>25888</v>
      </c>
      <c r="D114" s="14">
        <v>-13431.14</v>
      </c>
      <c r="E114" s="14">
        <v>330792.58</v>
      </c>
      <c r="F114" s="14">
        <v>255941</v>
      </c>
      <c r="G114" s="14">
        <v>-74851.58</v>
      </c>
      <c r="H114" s="14">
        <v>282232</v>
      </c>
      <c r="I114" s="14">
        <v>39319.14</v>
      </c>
      <c r="J114" s="14">
        <v>2965.91</v>
      </c>
      <c r="K114" s="14">
        <v>-36353.230000000003</v>
      </c>
      <c r="L114" s="14">
        <v>330792.58</v>
      </c>
      <c r="M114" s="14">
        <v>67726.47</v>
      </c>
      <c r="N114" s="14">
        <v>-263066.11</v>
      </c>
    </row>
    <row r="115" spans="1:14" x14ac:dyDescent="0.25">
      <c r="A115" s="39" t="s">
        <v>33</v>
      </c>
      <c r="B115" s="14">
        <v>1509.82</v>
      </c>
      <c r="C115" s="14">
        <v>1542</v>
      </c>
      <c r="D115" s="14">
        <v>32.18</v>
      </c>
      <c r="E115" s="14">
        <v>16089.73</v>
      </c>
      <c r="F115" s="14">
        <v>17236</v>
      </c>
      <c r="G115" s="14">
        <v>1146.27</v>
      </c>
      <c r="H115" s="14">
        <v>18850</v>
      </c>
      <c r="I115" s="14">
        <v>1509.82</v>
      </c>
      <c r="J115" s="14">
        <v>1417.39</v>
      </c>
      <c r="K115" s="14">
        <v>-92.43</v>
      </c>
      <c r="L115" s="14">
        <v>16089.73</v>
      </c>
      <c r="M115" s="14">
        <v>13771.43</v>
      </c>
      <c r="N115" s="14">
        <v>-2318.3000000000002</v>
      </c>
    </row>
    <row r="116" spans="1:14" x14ac:dyDescent="0.25">
      <c r="A116" s="39" t="s">
        <v>32</v>
      </c>
      <c r="B116" s="14">
        <v>89.55</v>
      </c>
      <c r="C116" s="14">
        <v>62</v>
      </c>
      <c r="D116" s="14">
        <v>-27.55</v>
      </c>
      <c r="E116" s="14">
        <v>836</v>
      </c>
      <c r="F116" s="14">
        <v>698</v>
      </c>
      <c r="G116" s="14">
        <v>-138</v>
      </c>
      <c r="H116" s="14">
        <v>735</v>
      </c>
      <c r="I116" s="14">
        <v>89.55</v>
      </c>
      <c r="J116" s="14">
        <v>107.65</v>
      </c>
      <c r="K116" s="14">
        <v>18.100000000000001</v>
      </c>
      <c r="L116" s="14">
        <v>836</v>
      </c>
      <c r="M116" s="14">
        <v>1199.52</v>
      </c>
      <c r="N116" s="14">
        <v>363.52</v>
      </c>
    </row>
    <row r="117" spans="1:14" x14ac:dyDescent="0.25">
      <c r="A117" s="39" t="s">
        <v>40</v>
      </c>
      <c r="B117" s="14">
        <v>91452.87</v>
      </c>
      <c r="C117" s="14">
        <v>6059</v>
      </c>
      <c r="D117" s="14">
        <v>-85393.87</v>
      </c>
      <c r="E117" s="14">
        <v>482480.22</v>
      </c>
      <c r="F117" s="14">
        <v>66694</v>
      </c>
      <c r="G117" s="14">
        <v>-415786.22</v>
      </c>
      <c r="H117" s="14">
        <v>72753</v>
      </c>
      <c r="I117" s="14">
        <v>91452.87</v>
      </c>
      <c r="J117" s="14">
        <v>6855.03</v>
      </c>
      <c r="K117" s="14">
        <v>-84597.84</v>
      </c>
      <c r="L117" s="14">
        <v>482480.22</v>
      </c>
      <c r="M117" s="14">
        <v>69231.48</v>
      </c>
      <c r="N117" s="14">
        <v>-413248.74</v>
      </c>
    </row>
    <row r="118" spans="1:14" x14ac:dyDescent="0.25">
      <c r="A118" s="39" t="s">
        <v>39</v>
      </c>
      <c r="B118" s="14">
        <v>134086.71</v>
      </c>
      <c r="C118" s="14">
        <v>245654</v>
      </c>
      <c r="D118" s="14">
        <v>111567.29</v>
      </c>
      <c r="E118" s="14">
        <v>2925561.31</v>
      </c>
      <c r="F118" s="14">
        <v>2695115</v>
      </c>
      <c r="G118" s="14">
        <v>-230446.31</v>
      </c>
      <c r="H118" s="14">
        <v>2939391</v>
      </c>
      <c r="I118" s="14">
        <v>134086.71</v>
      </c>
      <c r="J118" s="14">
        <v>279621.23</v>
      </c>
      <c r="K118" s="14">
        <v>145534.51999999999</v>
      </c>
      <c r="L118" s="14">
        <v>2925561.31</v>
      </c>
      <c r="M118" s="14">
        <v>2783383.74</v>
      </c>
      <c r="N118" s="14">
        <v>-142177.57</v>
      </c>
    </row>
    <row r="119" spans="1:14" x14ac:dyDescent="0.25">
      <c r="A119" s="39" t="s">
        <v>38</v>
      </c>
      <c r="B119" s="14">
        <v>51522.05</v>
      </c>
      <c r="C119" s="14">
        <v>57633</v>
      </c>
      <c r="D119" s="14">
        <v>6110.95</v>
      </c>
      <c r="E119" s="14">
        <v>650643.47</v>
      </c>
      <c r="F119" s="14">
        <v>642414</v>
      </c>
      <c r="G119" s="14">
        <v>-8229.4699999999993</v>
      </c>
      <c r="H119" s="14">
        <v>699637</v>
      </c>
      <c r="I119" s="14">
        <v>51522.05</v>
      </c>
      <c r="J119" s="14">
        <v>48320.87</v>
      </c>
      <c r="K119" s="14">
        <v>-3201.18</v>
      </c>
      <c r="L119" s="14">
        <v>650643.47</v>
      </c>
      <c r="M119" s="14">
        <v>618327.72</v>
      </c>
      <c r="N119" s="14">
        <v>-32315.75</v>
      </c>
    </row>
    <row r="120" spans="1:14" x14ac:dyDescent="0.25">
      <c r="A120" s="39" t="s">
        <v>37</v>
      </c>
      <c r="B120" s="14">
        <v>-162342.63</v>
      </c>
      <c r="C120" s="14">
        <v>-236000</v>
      </c>
      <c r="D120" s="14">
        <v>-73657.37</v>
      </c>
      <c r="E120" s="14">
        <v>-1701542.25</v>
      </c>
      <c r="F120" s="14">
        <v>-2570600</v>
      </c>
      <c r="G120" s="14">
        <v>-869057.75</v>
      </c>
      <c r="H120" s="14">
        <v>-2799200</v>
      </c>
      <c r="I120" s="14">
        <v>-162342.63</v>
      </c>
      <c r="J120" s="14">
        <v>-2733.4</v>
      </c>
      <c r="K120" s="14">
        <v>159609.23000000001</v>
      </c>
      <c r="L120" s="14">
        <v>-1701542.25</v>
      </c>
      <c r="M120" s="14">
        <v>-24975.72</v>
      </c>
      <c r="N120" s="14">
        <v>1676566.53</v>
      </c>
    </row>
    <row r="121" spans="1:14" x14ac:dyDescent="0.25">
      <c r="A121" s="39" t="s">
        <v>36</v>
      </c>
      <c r="B121" s="37">
        <v>857374.25</v>
      </c>
      <c r="C121" s="37">
        <v>717446</v>
      </c>
      <c r="D121" s="37">
        <v>-139928.25</v>
      </c>
      <c r="E121" s="37">
        <v>10682919.41</v>
      </c>
      <c r="F121" s="37">
        <v>7885754</v>
      </c>
      <c r="G121" s="37">
        <v>-2797165.41</v>
      </c>
      <c r="H121" s="37">
        <v>8607346</v>
      </c>
      <c r="I121" s="37">
        <v>857374.25</v>
      </c>
      <c r="J121" s="37">
        <v>960812.46</v>
      </c>
      <c r="K121" s="37">
        <v>103438.21</v>
      </c>
      <c r="L121" s="37">
        <v>10682919.41</v>
      </c>
      <c r="M121" s="37">
        <v>11066340.9</v>
      </c>
      <c r="N121" s="37">
        <v>383421.49</v>
      </c>
    </row>
    <row r="123" spans="1:14" ht="56.25" x14ac:dyDescent="0.25">
      <c r="A123" s="42" t="s">
        <v>54</v>
      </c>
      <c r="B123" s="40" t="s">
        <v>200</v>
      </c>
      <c r="C123" s="40" t="s">
        <v>199</v>
      </c>
      <c r="D123" s="40" t="s">
        <v>198</v>
      </c>
      <c r="E123" s="40" t="s">
        <v>197</v>
      </c>
      <c r="F123" s="40" t="s">
        <v>196</v>
      </c>
      <c r="G123" s="40" t="s">
        <v>195</v>
      </c>
      <c r="H123" s="40" t="s">
        <v>194</v>
      </c>
      <c r="I123" s="40" t="s">
        <v>193</v>
      </c>
      <c r="J123" s="40" t="s">
        <v>192</v>
      </c>
      <c r="K123" s="40" t="s">
        <v>191</v>
      </c>
      <c r="L123" s="40" t="s">
        <v>190</v>
      </c>
      <c r="M123" s="40" t="s">
        <v>189</v>
      </c>
      <c r="N123" s="40" t="s">
        <v>188</v>
      </c>
    </row>
    <row r="124" spans="1:14" x14ac:dyDescent="0.25">
      <c r="A124" s="39" t="s">
        <v>35</v>
      </c>
      <c r="B124" s="14">
        <v>574378.09</v>
      </c>
      <c r="C124" s="14">
        <v>614692</v>
      </c>
      <c r="D124" s="14">
        <v>40313.910000000003</v>
      </c>
      <c r="E124" s="14">
        <v>8552436.4399999995</v>
      </c>
      <c r="F124" s="14">
        <v>7392948</v>
      </c>
      <c r="G124" s="14">
        <v>-1159488.44</v>
      </c>
      <c r="H124" s="14">
        <v>7392948</v>
      </c>
      <c r="I124" s="14">
        <v>574378.09</v>
      </c>
      <c r="J124" s="14">
        <v>607034.52</v>
      </c>
      <c r="K124" s="14">
        <v>32656.43</v>
      </c>
      <c r="L124" s="14">
        <v>8552436.4399999995</v>
      </c>
      <c r="M124" s="14">
        <v>8144710.7800000003</v>
      </c>
      <c r="N124" s="14">
        <v>-407725.66</v>
      </c>
    </row>
    <row r="125" spans="1:14" x14ac:dyDescent="0.25">
      <c r="A125" s="39" t="s">
        <v>34</v>
      </c>
      <c r="B125" s="14">
        <v>17087.75</v>
      </c>
      <c r="C125" s="14">
        <v>26291</v>
      </c>
      <c r="D125" s="14">
        <v>9203.25</v>
      </c>
      <c r="E125" s="14">
        <v>347880.33</v>
      </c>
      <c r="F125" s="14">
        <v>282232</v>
      </c>
      <c r="G125" s="14">
        <v>-65648.33</v>
      </c>
      <c r="H125" s="14">
        <v>282232</v>
      </c>
      <c r="I125" s="14">
        <v>17087.75</v>
      </c>
      <c r="J125" s="14">
        <v>8527.1</v>
      </c>
      <c r="K125" s="14">
        <v>-8560.65</v>
      </c>
      <c r="L125" s="14">
        <v>347880.33</v>
      </c>
      <c r="M125" s="14">
        <v>76253.570000000007</v>
      </c>
      <c r="N125" s="14">
        <v>-271626.76</v>
      </c>
    </row>
    <row r="126" spans="1:14" x14ac:dyDescent="0.25">
      <c r="A126" s="39" t="s">
        <v>33</v>
      </c>
      <c r="B126" s="14">
        <v>1527.12</v>
      </c>
      <c r="C126" s="14">
        <v>1614</v>
      </c>
      <c r="D126" s="14">
        <v>86.88</v>
      </c>
      <c r="E126" s="14">
        <v>17616.849999999999</v>
      </c>
      <c r="F126" s="14">
        <v>18850</v>
      </c>
      <c r="G126" s="14">
        <v>1233.1500000000001</v>
      </c>
      <c r="H126" s="14">
        <v>18850</v>
      </c>
      <c r="I126" s="14">
        <v>1527.12</v>
      </c>
      <c r="J126" s="14">
        <v>1425.64</v>
      </c>
      <c r="K126" s="14">
        <v>-101.48</v>
      </c>
      <c r="L126" s="14">
        <v>17616.849999999999</v>
      </c>
      <c r="M126" s="14">
        <v>15197.07</v>
      </c>
      <c r="N126" s="14">
        <v>-2419.7800000000002</v>
      </c>
    </row>
    <row r="127" spans="1:14" x14ac:dyDescent="0.25">
      <c r="A127" s="39" t="s">
        <v>32</v>
      </c>
      <c r="B127" s="14">
        <v>87.82</v>
      </c>
      <c r="C127" s="14">
        <v>37</v>
      </c>
      <c r="D127" s="14">
        <v>-50.82</v>
      </c>
      <c r="E127" s="14">
        <v>923.82</v>
      </c>
      <c r="F127" s="14">
        <v>735</v>
      </c>
      <c r="G127" s="14">
        <v>-188.82</v>
      </c>
      <c r="H127" s="14">
        <v>735</v>
      </c>
      <c r="I127" s="14">
        <v>87.82</v>
      </c>
      <c r="J127" s="14">
        <v>69.12</v>
      </c>
      <c r="K127" s="14">
        <v>-18.7</v>
      </c>
      <c r="L127" s="14">
        <v>923.82</v>
      </c>
      <c r="M127" s="14">
        <v>1268.6400000000001</v>
      </c>
      <c r="N127" s="14">
        <v>344.82</v>
      </c>
    </row>
    <row r="128" spans="1:14" x14ac:dyDescent="0.25">
      <c r="A128" s="39" t="s">
        <v>40</v>
      </c>
      <c r="B128" s="14">
        <v>114242.11</v>
      </c>
      <c r="C128" s="14">
        <v>6059</v>
      </c>
      <c r="D128" s="14">
        <v>-108183.11</v>
      </c>
      <c r="E128" s="14">
        <v>596722.32999999996</v>
      </c>
      <c r="F128" s="14">
        <v>72753</v>
      </c>
      <c r="G128" s="14">
        <v>-523969.33</v>
      </c>
      <c r="H128" s="14">
        <v>72753</v>
      </c>
      <c r="I128" s="14">
        <v>114242.11</v>
      </c>
      <c r="J128" s="14">
        <v>690483.19</v>
      </c>
      <c r="K128" s="14">
        <v>576241.07999999996</v>
      </c>
      <c r="L128" s="14">
        <v>596722.32999999996</v>
      </c>
      <c r="M128" s="14">
        <v>759714.67</v>
      </c>
      <c r="N128" s="14">
        <v>162992.34</v>
      </c>
    </row>
    <row r="129" spans="1:14" x14ac:dyDescent="0.25">
      <c r="A129" s="39" t="s">
        <v>39</v>
      </c>
      <c r="B129" s="14">
        <v>290171.28999999998</v>
      </c>
      <c r="C129" s="14">
        <v>244276</v>
      </c>
      <c r="D129" s="14">
        <v>-45895.29</v>
      </c>
      <c r="E129" s="14">
        <v>3215732.6</v>
      </c>
      <c r="F129" s="14">
        <v>2939391</v>
      </c>
      <c r="G129" s="14">
        <v>-276341.59999999998</v>
      </c>
      <c r="H129" s="14">
        <v>2939391</v>
      </c>
      <c r="I129" s="14">
        <v>290171.28999999998</v>
      </c>
      <c r="J129" s="14">
        <v>137680.91</v>
      </c>
      <c r="K129" s="14">
        <v>-152490.38</v>
      </c>
      <c r="L129" s="14">
        <v>3215732.6</v>
      </c>
      <c r="M129" s="14">
        <v>2921064.65</v>
      </c>
      <c r="N129" s="14">
        <v>-294667.95</v>
      </c>
    </row>
    <row r="130" spans="1:14" x14ac:dyDescent="0.25">
      <c r="A130" s="39" t="s">
        <v>38</v>
      </c>
      <c r="B130" s="14">
        <v>60369.34</v>
      </c>
      <c r="C130" s="14">
        <v>57223</v>
      </c>
      <c r="D130" s="14">
        <v>-3146.34</v>
      </c>
      <c r="E130" s="14">
        <v>711012.81</v>
      </c>
      <c r="F130" s="14">
        <v>699637</v>
      </c>
      <c r="G130" s="14">
        <v>-11375.81</v>
      </c>
      <c r="H130" s="14">
        <v>699637</v>
      </c>
      <c r="I130" s="14">
        <v>60369.34</v>
      </c>
      <c r="J130" s="14">
        <v>60232.97</v>
      </c>
      <c r="K130" s="14">
        <v>-136.37</v>
      </c>
      <c r="L130" s="14">
        <v>711012.81</v>
      </c>
      <c r="M130" s="14">
        <v>678560.69</v>
      </c>
      <c r="N130" s="14">
        <v>-32452.12</v>
      </c>
    </row>
    <row r="131" spans="1:14" x14ac:dyDescent="0.25">
      <c r="A131" s="39" t="s">
        <v>37</v>
      </c>
      <c r="B131" s="14">
        <v>-117582.37</v>
      </c>
      <c r="C131" s="14">
        <v>-228600</v>
      </c>
      <c r="D131" s="14">
        <v>-111017.63</v>
      </c>
      <c r="E131" s="14">
        <v>-1819124.62</v>
      </c>
      <c r="F131" s="14">
        <v>-2799200</v>
      </c>
      <c r="G131" s="14">
        <v>-980075.38</v>
      </c>
      <c r="H131" s="14">
        <v>-2799200</v>
      </c>
      <c r="I131" s="14">
        <v>-117582.37</v>
      </c>
      <c r="J131" s="14">
        <v>-2019.56</v>
      </c>
      <c r="K131" s="14">
        <v>115562.81</v>
      </c>
      <c r="L131" s="14">
        <v>-1819124.62</v>
      </c>
      <c r="M131" s="14">
        <v>-26995.279999999999</v>
      </c>
      <c r="N131" s="14">
        <v>1792129.34</v>
      </c>
    </row>
    <row r="132" spans="1:14" x14ac:dyDescent="0.25">
      <c r="A132" s="39" t="s">
        <v>36</v>
      </c>
      <c r="B132" s="37">
        <v>940281.15</v>
      </c>
      <c r="C132" s="37">
        <v>721592</v>
      </c>
      <c r="D132" s="37">
        <v>-218689.15</v>
      </c>
      <c r="E132" s="37">
        <v>11623200.560000001</v>
      </c>
      <c r="F132" s="37">
        <v>8607346</v>
      </c>
      <c r="G132" s="37">
        <v>-3015854.56</v>
      </c>
      <c r="H132" s="37">
        <v>8607346</v>
      </c>
      <c r="I132" s="37">
        <v>940281.15</v>
      </c>
      <c r="J132" s="37">
        <v>1503433.89</v>
      </c>
      <c r="K132" s="37">
        <v>563152.74</v>
      </c>
      <c r="L132" s="37">
        <v>11623200.560000001</v>
      </c>
      <c r="M132" s="37">
        <v>12569774.789999999</v>
      </c>
      <c r="N132" s="37">
        <v>946574.23</v>
      </c>
    </row>
    <row r="134" spans="1:14" x14ac:dyDescent="0.25">
      <c r="A134" t="s">
        <v>35</v>
      </c>
      <c r="B134" s="36">
        <f>SUMIF(A3:A127,A3,B3:B127)</f>
        <v>8552436.4400000013</v>
      </c>
      <c r="C134" s="36">
        <f>SUMIF(A3:A127,A3,C3:C127)</f>
        <v>7392948</v>
      </c>
    </row>
    <row r="135" spans="1:14" x14ac:dyDescent="0.25">
      <c r="A135" t="s">
        <v>34</v>
      </c>
      <c r="B135" s="36">
        <f>SUMIF(A4:A128,A4,B4:B128)</f>
        <v>347880.33</v>
      </c>
      <c r="C135" s="36">
        <f>SUMIF(A4:A128,A4,C4:C128)</f>
        <v>282232</v>
      </c>
    </row>
    <row r="136" spans="1:14" x14ac:dyDescent="0.25">
      <c r="A136" t="s">
        <v>33</v>
      </c>
      <c r="B136" s="36">
        <f>SUMIF(A5:A129,A5,B5:B129)</f>
        <v>17616.850000000002</v>
      </c>
      <c r="C136" s="36">
        <f>SUMIF(A5:A129,A5,C5:C129)</f>
        <v>18850</v>
      </c>
    </row>
    <row r="137" spans="1:14" x14ac:dyDescent="0.25">
      <c r="A137" t="s">
        <v>32</v>
      </c>
      <c r="B137" s="36">
        <f>SUMIF(A6:A130,A6,B6:B130)</f>
        <v>923.81999999999994</v>
      </c>
      <c r="C137" s="36">
        <f>SUMIF(A6:A130,A6,C6:C130)</f>
        <v>735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7"/>
  <sheetViews>
    <sheetView showGridLines="0" workbookViewId="0">
      <selection activeCell="F2" sqref="F2"/>
    </sheetView>
  </sheetViews>
  <sheetFormatPr defaultRowHeight="15" x14ac:dyDescent="0.25"/>
  <cols>
    <col min="1" max="1" width="19.42578125" customWidth="1"/>
    <col min="2" max="2" width="13.28515625" style="35" bestFit="1" customWidth="1"/>
    <col min="3" max="3" width="13.42578125" style="35" bestFit="1" customWidth="1"/>
    <col min="4" max="4" width="10.5703125" bestFit="1" customWidth="1"/>
    <col min="5" max="6" width="12.140625" bestFit="1" customWidth="1"/>
    <col min="7" max="7" width="11.85546875" bestFit="1" customWidth="1"/>
    <col min="8" max="8" width="12.140625" bestFit="1" customWidth="1"/>
    <col min="9" max="10" width="11.28515625" bestFit="1" customWidth="1"/>
    <col min="11" max="11" width="10.5703125" bestFit="1" customWidth="1"/>
    <col min="12" max="13" width="12.140625" bestFit="1" customWidth="1"/>
    <col min="14" max="14" width="10.5703125" bestFit="1" customWidth="1"/>
  </cols>
  <sheetData>
    <row r="1" spans="1:16" x14ac:dyDescent="0.25">
      <c r="A1" t="s">
        <v>187</v>
      </c>
      <c r="P1" t="s">
        <v>362</v>
      </c>
    </row>
    <row r="2" spans="1:16" ht="56.25" x14ac:dyDescent="0.25">
      <c r="A2" s="42" t="s">
        <v>54</v>
      </c>
      <c r="B2" s="41" t="s">
        <v>186</v>
      </c>
      <c r="C2" s="41" t="s">
        <v>185</v>
      </c>
      <c r="D2" s="40" t="s">
        <v>184</v>
      </c>
      <c r="E2" s="40" t="s">
        <v>183</v>
      </c>
      <c r="F2" s="40" t="s">
        <v>182</v>
      </c>
      <c r="G2" s="40" t="s">
        <v>181</v>
      </c>
      <c r="H2" s="40" t="s">
        <v>47</v>
      </c>
      <c r="I2" s="40" t="s">
        <v>180</v>
      </c>
      <c r="J2" s="40" t="s">
        <v>179</v>
      </c>
      <c r="K2" s="40" t="s">
        <v>178</v>
      </c>
      <c r="L2" s="40" t="s">
        <v>177</v>
      </c>
      <c r="M2" s="40" t="s">
        <v>176</v>
      </c>
      <c r="N2" s="40" t="s">
        <v>175</v>
      </c>
    </row>
    <row r="3" spans="1:16" x14ac:dyDescent="0.25">
      <c r="A3" s="39" t="s">
        <v>35</v>
      </c>
      <c r="B3" s="20">
        <v>767610.75</v>
      </c>
      <c r="C3" s="20">
        <v>661501</v>
      </c>
      <c r="D3" s="14">
        <v>-106109.75</v>
      </c>
      <c r="E3" s="14">
        <v>767610.75</v>
      </c>
      <c r="F3" s="14">
        <v>661501</v>
      </c>
      <c r="G3" s="14">
        <v>-106109.75</v>
      </c>
      <c r="H3" s="14">
        <v>7918231</v>
      </c>
      <c r="I3" s="14">
        <v>767610.75</v>
      </c>
      <c r="J3" s="14">
        <v>729260.31</v>
      </c>
      <c r="K3" s="14">
        <v>-38350.44</v>
      </c>
      <c r="L3" s="14">
        <v>767610.75</v>
      </c>
      <c r="M3" s="14">
        <v>729260.31</v>
      </c>
      <c r="N3" s="14">
        <v>-38350.44</v>
      </c>
    </row>
    <row r="4" spans="1:16" x14ac:dyDescent="0.25">
      <c r="A4" s="39" t="s">
        <v>34</v>
      </c>
      <c r="B4" s="20">
        <v>17856.2</v>
      </c>
      <c r="C4" s="20">
        <v>11855</v>
      </c>
      <c r="D4" s="14">
        <v>-6001.2</v>
      </c>
      <c r="E4" s="14">
        <v>17856.2</v>
      </c>
      <c r="F4" s="14">
        <v>11855</v>
      </c>
      <c r="G4" s="14">
        <v>-6001.2</v>
      </c>
      <c r="H4" s="14">
        <v>64792</v>
      </c>
      <c r="I4" s="14">
        <v>17856.2</v>
      </c>
      <c r="J4" s="14">
        <v>48349.67</v>
      </c>
      <c r="K4" s="14">
        <v>30493.47</v>
      </c>
      <c r="L4" s="14">
        <v>17856.2</v>
      </c>
      <c r="M4" s="14">
        <v>48349.67</v>
      </c>
      <c r="N4" s="14">
        <v>30493.47</v>
      </c>
    </row>
    <row r="5" spans="1:16" x14ac:dyDescent="0.25">
      <c r="A5" s="39" t="s">
        <v>33</v>
      </c>
      <c r="B5" s="20">
        <v>1609.55</v>
      </c>
      <c r="C5" s="20">
        <v>1686</v>
      </c>
      <c r="D5" s="14">
        <v>76.45</v>
      </c>
      <c r="E5" s="14">
        <v>1609.55</v>
      </c>
      <c r="F5" s="14">
        <v>1686</v>
      </c>
      <c r="G5" s="14">
        <v>76.45</v>
      </c>
      <c r="H5" s="14">
        <v>19907</v>
      </c>
      <c r="I5" s="14">
        <v>1609.55</v>
      </c>
      <c r="J5" s="14">
        <v>1624.2</v>
      </c>
      <c r="K5" s="14">
        <v>14.65</v>
      </c>
      <c r="L5" s="14">
        <v>1609.55</v>
      </c>
      <c r="M5" s="14">
        <v>1624.2</v>
      </c>
      <c r="N5" s="14">
        <v>14.65</v>
      </c>
    </row>
    <row r="6" spans="1:16" x14ac:dyDescent="0.25">
      <c r="A6" s="39" t="s">
        <v>32</v>
      </c>
      <c r="B6" s="20">
        <v>69.33</v>
      </c>
      <c r="C6" s="20">
        <v>61</v>
      </c>
      <c r="D6" s="14">
        <v>-8.33</v>
      </c>
      <c r="E6" s="14">
        <v>69.33</v>
      </c>
      <c r="F6" s="14">
        <v>61</v>
      </c>
      <c r="G6" s="14">
        <v>-8.33</v>
      </c>
      <c r="H6" s="14">
        <v>760</v>
      </c>
      <c r="I6" s="14">
        <v>69.33</v>
      </c>
      <c r="J6" s="14">
        <v>10.55</v>
      </c>
      <c r="K6" s="14">
        <v>-58.78</v>
      </c>
      <c r="L6" s="14">
        <v>69.33</v>
      </c>
      <c r="M6" s="14">
        <v>10.55</v>
      </c>
      <c r="N6" s="14">
        <v>-58.78</v>
      </c>
    </row>
    <row r="7" spans="1:16" x14ac:dyDescent="0.25">
      <c r="A7" s="39" t="s">
        <v>40</v>
      </c>
      <c r="B7" s="20">
        <v>107953.88</v>
      </c>
      <c r="C7" s="20">
        <v>6408</v>
      </c>
      <c r="D7" s="14">
        <v>-101545.88</v>
      </c>
      <c r="E7" s="14">
        <v>107953.88</v>
      </c>
      <c r="F7" s="14">
        <v>6408</v>
      </c>
      <c r="G7" s="14">
        <v>-101545.88</v>
      </c>
      <c r="H7" s="14">
        <v>576896</v>
      </c>
      <c r="I7" s="14">
        <v>107953.88</v>
      </c>
      <c r="J7" s="14">
        <v>6430.36</v>
      </c>
      <c r="K7" s="14">
        <v>-101523.52</v>
      </c>
      <c r="L7" s="14">
        <v>107953.88</v>
      </c>
      <c r="M7" s="14">
        <v>6430.36</v>
      </c>
      <c r="N7" s="14">
        <v>-101523.52</v>
      </c>
    </row>
    <row r="8" spans="1:16" x14ac:dyDescent="0.25">
      <c r="A8" s="39" t="s">
        <v>39</v>
      </c>
      <c r="B8" s="20">
        <v>243348.21</v>
      </c>
      <c r="C8" s="20">
        <v>295989</v>
      </c>
      <c r="D8" s="14">
        <v>52640.79</v>
      </c>
      <c r="E8" s="14">
        <v>243348.21</v>
      </c>
      <c r="F8" s="14">
        <v>295989</v>
      </c>
      <c r="G8" s="14">
        <v>52640.79</v>
      </c>
      <c r="H8" s="14">
        <v>3578252</v>
      </c>
      <c r="I8" s="14">
        <v>243348.21</v>
      </c>
      <c r="J8" s="14">
        <v>277094.84999999998</v>
      </c>
      <c r="K8" s="14">
        <v>33746.639999999999</v>
      </c>
      <c r="L8" s="14">
        <v>243348.21</v>
      </c>
      <c r="M8" s="14">
        <v>277094.84999999998</v>
      </c>
      <c r="N8" s="14">
        <v>33746.639999999999</v>
      </c>
    </row>
    <row r="9" spans="1:16" x14ac:dyDescent="0.25">
      <c r="A9" s="39" t="s">
        <v>38</v>
      </c>
      <c r="B9" s="20">
        <v>73388.240000000005</v>
      </c>
      <c r="C9" s="20">
        <v>62914</v>
      </c>
      <c r="D9" s="14">
        <v>-10474.24</v>
      </c>
      <c r="E9" s="14">
        <v>73388.240000000005</v>
      </c>
      <c r="F9" s="14">
        <v>62914</v>
      </c>
      <c r="G9" s="14">
        <v>-10474.24</v>
      </c>
      <c r="H9" s="14">
        <v>727973</v>
      </c>
      <c r="I9" s="14">
        <v>73388.240000000005</v>
      </c>
      <c r="J9" s="14">
        <v>66625.820000000007</v>
      </c>
      <c r="K9" s="14">
        <v>-6762.42</v>
      </c>
      <c r="L9" s="14">
        <v>73388.240000000005</v>
      </c>
      <c r="M9" s="14">
        <v>66625.820000000007</v>
      </c>
      <c r="N9" s="14">
        <v>-6762.42</v>
      </c>
    </row>
    <row r="10" spans="1:16" x14ac:dyDescent="0.25">
      <c r="A10" s="39" t="s">
        <v>37</v>
      </c>
      <c r="B10" s="20">
        <v>-132005.85</v>
      </c>
      <c r="C10" s="20">
        <v>-4210</v>
      </c>
      <c r="D10" s="14">
        <v>127795.85</v>
      </c>
      <c r="E10" s="14">
        <v>-132005.85</v>
      </c>
      <c r="F10" s="14">
        <v>-4210</v>
      </c>
      <c r="G10" s="14">
        <v>127795.85</v>
      </c>
      <c r="H10" s="14">
        <v>-44800</v>
      </c>
      <c r="I10" s="14">
        <v>-132005.85</v>
      </c>
      <c r="J10" s="14">
        <v>-119631.07</v>
      </c>
      <c r="K10" s="14">
        <v>12374.78</v>
      </c>
      <c r="L10" s="14">
        <v>-132005.85</v>
      </c>
      <c r="M10" s="14">
        <v>-119631.07</v>
      </c>
      <c r="N10" s="14">
        <v>12374.78</v>
      </c>
    </row>
    <row r="11" spans="1:16" x14ac:dyDescent="0.25">
      <c r="A11" s="39" t="s">
        <v>36</v>
      </c>
      <c r="B11" s="38">
        <v>1079830.31</v>
      </c>
      <c r="C11" s="38">
        <v>1036204</v>
      </c>
      <c r="D11" s="37">
        <v>-43626.31</v>
      </c>
      <c r="E11" s="37">
        <v>1079830.31</v>
      </c>
      <c r="F11" s="37">
        <v>1036204</v>
      </c>
      <c r="G11" s="37">
        <v>-43626.31</v>
      </c>
      <c r="H11" s="37">
        <v>12842011</v>
      </c>
      <c r="I11" s="37">
        <v>1079830.31</v>
      </c>
      <c r="J11" s="37">
        <v>1009764.69</v>
      </c>
      <c r="K11" s="37">
        <v>-70065.62</v>
      </c>
      <c r="L11" s="37">
        <v>1079830.31</v>
      </c>
      <c r="M11" s="37">
        <v>1009764.69</v>
      </c>
      <c r="N11" s="37">
        <v>-70065.62</v>
      </c>
    </row>
    <row r="13" spans="1:16" ht="56.25" x14ac:dyDescent="0.25">
      <c r="A13" s="42" t="s">
        <v>54</v>
      </c>
      <c r="B13" s="41" t="s">
        <v>174</v>
      </c>
      <c r="C13" s="41" t="s">
        <v>173</v>
      </c>
      <c r="D13" s="40" t="s">
        <v>172</v>
      </c>
      <c r="E13" s="40" t="s">
        <v>171</v>
      </c>
      <c r="F13" s="40" t="s">
        <v>170</v>
      </c>
      <c r="G13" s="40" t="s">
        <v>169</v>
      </c>
      <c r="H13" s="40" t="s">
        <v>47</v>
      </c>
      <c r="I13" s="40" t="s">
        <v>168</v>
      </c>
      <c r="J13" s="40" t="s">
        <v>167</v>
      </c>
      <c r="K13" s="40" t="s">
        <v>166</v>
      </c>
      <c r="L13" s="40" t="s">
        <v>165</v>
      </c>
      <c r="M13" s="40" t="s">
        <v>164</v>
      </c>
      <c r="N13" s="40" t="s">
        <v>163</v>
      </c>
    </row>
    <row r="14" spans="1:16" x14ac:dyDescent="0.25">
      <c r="A14" s="39" t="s">
        <v>35</v>
      </c>
      <c r="B14" s="20">
        <v>746137.66</v>
      </c>
      <c r="C14" s="20">
        <v>654221</v>
      </c>
      <c r="D14" s="14">
        <v>-91916.66</v>
      </c>
      <c r="E14" s="14">
        <v>1513748.41</v>
      </c>
      <c r="F14" s="14">
        <v>1315722</v>
      </c>
      <c r="G14" s="14">
        <v>-198026.41</v>
      </c>
      <c r="H14" s="14">
        <v>7918231</v>
      </c>
      <c r="I14" s="14">
        <v>746137.66</v>
      </c>
      <c r="J14" s="14">
        <v>631723.76</v>
      </c>
      <c r="K14" s="14">
        <v>-114413.9</v>
      </c>
      <c r="L14" s="14">
        <v>1513748.41</v>
      </c>
      <c r="M14" s="14">
        <v>1360984.07</v>
      </c>
      <c r="N14" s="14">
        <v>-152764.34</v>
      </c>
    </row>
    <row r="15" spans="1:16" x14ac:dyDescent="0.25">
      <c r="A15" s="39" t="s">
        <v>34</v>
      </c>
      <c r="B15" s="20">
        <v>29279.61</v>
      </c>
      <c r="C15" s="20">
        <v>4731</v>
      </c>
      <c r="D15" s="14">
        <v>-24548.61</v>
      </c>
      <c r="E15" s="14">
        <v>47135.81</v>
      </c>
      <c r="F15" s="14">
        <v>16586</v>
      </c>
      <c r="G15" s="14">
        <v>-30549.81</v>
      </c>
      <c r="H15" s="14">
        <v>64792</v>
      </c>
      <c r="I15" s="14">
        <v>29279.61</v>
      </c>
      <c r="J15" s="14">
        <v>29333.13</v>
      </c>
      <c r="K15" s="14">
        <v>53.52</v>
      </c>
      <c r="L15" s="14">
        <v>47135.81</v>
      </c>
      <c r="M15" s="14">
        <v>77682.8</v>
      </c>
      <c r="N15" s="14">
        <v>30546.99</v>
      </c>
    </row>
    <row r="16" spans="1:16" x14ac:dyDescent="0.25">
      <c r="A16" s="39" t="s">
        <v>33</v>
      </c>
      <c r="B16" s="20">
        <v>2500.5300000000002</v>
      </c>
      <c r="C16" s="20">
        <v>1461</v>
      </c>
      <c r="D16" s="14">
        <v>-1039.53</v>
      </c>
      <c r="E16" s="14">
        <v>4110.08</v>
      </c>
      <c r="F16" s="14">
        <v>3147</v>
      </c>
      <c r="G16" s="14">
        <v>-963.08</v>
      </c>
      <c r="H16" s="14">
        <v>19907</v>
      </c>
      <c r="I16" s="14">
        <v>2500.5300000000002</v>
      </c>
      <c r="J16" s="14">
        <v>1230.08</v>
      </c>
      <c r="K16" s="14">
        <v>-1270.45</v>
      </c>
      <c r="L16" s="14">
        <v>4110.08</v>
      </c>
      <c r="M16" s="14">
        <v>2854.28</v>
      </c>
      <c r="N16" s="14">
        <v>-1255.8</v>
      </c>
    </row>
    <row r="17" spans="1:14" x14ac:dyDescent="0.25">
      <c r="A17" s="39" t="s">
        <v>32</v>
      </c>
      <c r="B17" s="20">
        <v>74.14</v>
      </c>
      <c r="C17" s="20">
        <v>35</v>
      </c>
      <c r="D17" s="14">
        <v>-39.14</v>
      </c>
      <c r="E17" s="14">
        <v>143.47</v>
      </c>
      <c r="F17" s="14">
        <v>96</v>
      </c>
      <c r="G17" s="14">
        <v>-47.47</v>
      </c>
      <c r="H17" s="14">
        <v>760</v>
      </c>
      <c r="I17" s="14">
        <v>74.14</v>
      </c>
      <c r="J17" s="14">
        <v>4.25</v>
      </c>
      <c r="K17" s="14">
        <v>-69.89</v>
      </c>
      <c r="L17" s="14">
        <v>143.47</v>
      </c>
      <c r="M17" s="14">
        <v>14.8</v>
      </c>
      <c r="N17" s="14">
        <v>-128.66999999999999</v>
      </c>
    </row>
    <row r="18" spans="1:14" x14ac:dyDescent="0.25">
      <c r="A18" s="39" t="s">
        <v>40</v>
      </c>
      <c r="B18" s="20">
        <v>63761.27</v>
      </c>
      <c r="C18" s="20">
        <v>506408</v>
      </c>
      <c r="D18" s="14">
        <v>442646.73</v>
      </c>
      <c r="E18" s="14">
        <v>171715.15</v>
      </c>
      <c r="F18" s="14">
        <v>512816</v>
      </c>
      <c r="G18" s="14">
        <v>341100.85</v>
      </c>
      <c r="H18" s="14">
        <v>576896</v>
      </c>
      <c r="I18" s="14">
        <v>63761.27</v>
      </c>
      <c r="J18" s="14">
        <v>-171351.13</v>
      </c>
      <c r="K18" s="14">
        <v>-235112.4</v>
      </c>
      <c r="L18" s="14">
        <v>171715.15</v>
      </c>
      <c r="M18" s="14">
        <v>-164920.76999999999</v>
      </c>
      <c r="N18" s="14">
        <v>-336635.92</v>
      </c>
    </row>
    <row r="19" spans="1:14" x14ac:dyDescent="0.25">
      <c r="A19" s="39" t="s">
        <v>39</v>
      </c>
      <c r="B19" s="20">
        <v>270835.27</v>
      </c>
      <c r="C19" s="20">
        <v>295119</v>
      </c>
      <c r="D19" s="14">
        <v>24283.73</v>
      </c>
      <c r="E19" s="14">
        <v>514183.48</v>
      </c>
      <c r="F19" s="14">
        <v>591108</v>
      </c>
      <c r="G19" s="14">
        <v>76924.52</v>
      </c>
      <c r="H19" s="14">
        <v>3578252</v>
      </c>
      <c r="I19" s="14">
        <v>270835.27</v>
      </c>
      <c r="J19" s="14">
        <v>211762.31</v>
      </c>
      <c r="K19" s="14">
        <v>-59072.959999999999</v>
      </c>
      <c r="L19" s="14">
        <v>514183.48</v>
      </c>
      <c r="M19" s="14">
        <v>488857.16</v>
      </c>
      <c r="N19" s="14">
        <v>-25326.32</v>
      </c>
    </row>
    <row r="20" spans="1:14" x14ac:dyDescent="0.25">
      <c r="A20" s="39" t="s">
        <v>38</v>
      </c>
      <c r="B20" s="20">
        <v>97215.039999999994</v>
      </c>
      <c r="C20" s="20">
        <v>66494</v>
      </c>
      <c r="D20" s="14">
        <v>-30721.040000000001</v>
      </c>
      <c r="E20" s="14">
        <v>170603.28</v>
      </c>
      <c r="F20" s="14">
        <v>129408</v>
      </c>
      <c r="G20" s="14">
        <v>-41195.279999999999</v>
      </c>
      <c r="H20" s="14">
        <v>727973</v>
      </c>
      <c r="I20" s="14">
        <v>97215.039999999994</v>
      </c>
      <c r="J20" s="14">
        <v>97508.87</v>
      </c>
      <c r="K20" s="14">
        <v>293.83</v>
      </c>
      <c r="L20" s="14">
        <v>170603.28</v>
      </c>
      <c r="M20" s="14">
        <v>164134.69</v>
      </c>
      <c r="N20" s="14">
        <v>-6468.59</v>
      </c>
    </row>
    <row r="21" spans="1:14" x14ac:dyDescent="0.25">
      <c r="A21" s="39" t="s">
        <v>37</v>
      </c>
      <c r="B21" s="20">
        <v>-68270.289999999994</v>
      </c>
      <c r="C21" s="20">
        <v>-3630</v>
      </c>
      <c r="D21" s="14">
        <v>64640.29</v>
      </c>
      <c r="E21" s="14">
        <v>-200276.14</v>
      </c>
      <c r="F21" s="14">
        <v>-7840</v>
      </c>
      <c r="G21" s="14">
        <v>192436.14</v>
      </c>
      <c r="H21" s="14">
        <v>-44800</v>
      </c>
      <c r="I21" s="14">
        <v>-68270.289999999994</v>
      </c>
      <c r="J21" s="14">
        <v>-104839.87</v>
      </c>
      <c r="K21" s="14">
        <v>-36569.58</v>
      </c>
      <c r="L21" s="14">
        <v>-200276.14</v>
      </c>
      <c r="M21" s="14">
        <v>-224470.94</v>
      </c>
      <c r="N21" s="14">
        <v>-24194.799999999999</v>
      </c>
    </row>
    <row r="22" spans="1:14" x14ac:dyDescent="0.25">
      <c r="A22" s="39" t="s">
        <v>36</v>
      </c>
      <c r="B22" s="38">
        <v>1141533.23</v>
      </c>
      <c r="C22" s="38">
        <v>1524839</v>
      </c>
      <c r="D22" s="37">
        <v>383305.77</v>
      </c>
      <c r="E22" s="37">
        <v>2221363.54</v>
      </c>
      <c r="F22" s="37">
        <v>2561043</v>
      </c>
      <c r="G22" s="37">
        <v>339679.46</v>
      </c>
      <c r="H22" s="37">
        <v>12842011</v>
      </c>
      <c r="I22" s="37">
        <v>1141533.23</v>
      </c>
      <c r="J22" s="37">
        <v>695371.4</v>
      </c>
      <c r="K22" s="37">
        <v>-446161.83</v>
      </c>
      <c r="L22" s="37">
        <v>2221363.54</v>
      </c>
      <c r="M22" s="37">
        <v>1705136.09</v>
      </c>
      <c r="N22" s="37">
        <v>-516227.45</v>
      </c>
    </row>
    <row r="24" spans="1:14" ht="56.25" x14ac:dyDescent="0.25">
      <c r="A24" s="42" t="s">
        <v>54</v>
      </c>
      <c r="B24" s="41" t="s">
        <v>162</v>
      </c>
      <c r="C24" s="41" t="s">
        <v>161</v>
      </c>
      <c r="D24" s="40" t="s">
        <v>160</v>
      </c>
      <c r="E24" s="40" t="s">
        <v>159</v>
      </c>
      <c r="F24" s="40" t="s">
        <v>158</v>
      </c>
      <c r="G24" s="40" t="s">
        <v>157</v>
      </c>
      <c r="H24" s="40" t="s">
        <v>47</v>
      </c>
      <c r="I24" s="40" t="s">
        <v>156</v>
      </c>
      <c r="J24" s="40" t="s">
        <v>155</v>
      </c>
      <c r="K24" s="40" t="s">
        <v>154</v>
      </c>
      <c r="L24" s="40" t="s">
        <v>153</v>
      </c>
      <c r="M24" s="40" t="s">
        <v>152</v>
      </c>
      <c r="N24" s="40" t="s">
        <v>151</v>
      </c>
    </row>
    <row r="25" spans="1:14" x14ac:dyDescent="0.25">
      <c r="A25" s="39" t="s">
        <v>35</v>
      </c>
      <c r="B25" s="20">
        <v>785596.46</v>
      </c>
      <c r="C25" s="20">
        <v>661574</v>
      </c>
      <c r="D25" s="14">
        <v>-124022.46</v>
      </c>
      <c r="E25" s="14">
        <v>2299344.87</v>
      </c>
      <c r="F25" s="14">
        <v>1977296</v>
      </c>
      <c r="G25" s="14">
        <v>-322048.87</v>
      </c>
      <c r="H25" s="14">
        <v>7918231</v>
      </c>
      <c r="I25" s="14">
        <v>785596.46</v>
      </c>
      <c r="J25" s="14">
        <v>804035.71</v>
      </c>
      <c r="K25" s="14">
        <v>18439.25</v>
      </c>
      <c r="L25" s="14">
        <v>2299344.87</v>
      </c>
      <c r="M25" s="14">
        <v>2165019.7799999998</v>
      </c>
      <c r="N25" s="14">
        <v>-134325.09</v>
      </c>
    </row>
    <row r="26" spans="1:14" x14ac:dyDescent="0.25">
      <c r="A26" s="39" t="s">
        <v>34</v>
      </c>
      <c r="B26" s="20">
        <v>17877.37</v>
      </c>
      <c r="C26" s="20">
        <v>4786</v>
      </c>
      <c r="D26" s="14">
        <v>-13091.37</v>
      </c>
      <c r="E26" s="14">
        <v>65013.18</v>
      </c>
      <c r="F26" s="14">
        <v>21372</v>
      </c>
      <c r="G26" s="14">
        <v>-43641.18</v>
      </c>
      <c r="H26" s="14">
        <v>64792</v>
      </c>
      <c r="I26" s="14">
        <v>17877.37</v>
      </c>
      <c r="J26" s="14">
        <v>32335.18</v>
      </c>
      <c r="K26" s="14">
        <v>14457.81</v>
      </c>
      <c r="L26" s="14">
        <v>65013.18</v>
      </c>
      <c r="M26" s="14">
        <v>110017.98</v>
      </c>
      <c r="N26" s="14">
        <v>45004.800000000003</v>
      </c>
    </row>
    <row r="27" spans="1:14" x14ac:dyDescent="0.25">
      <c r="A27" s="39" t="s">
        <v>33</v>
      </c>
      <c r="B27" s="20">
        <v>1667.88</v>
      </c>
      <c r="C27" s="20">
        <v>1667</v>
      </c>
      <c r="D27" s="14">
        <v>-0.88</v>
      </c>
      <c r="E27" s="14">
        <v>5777.96</v>
      </c>
      <c r="F27" s="14">
        <v>4814</v>
      </c>
      <c r="G27" s="14">
        <v>-963.96</v>
      </c>
      <c r="H27" s="14">
        <v>19907</v>
      </c>
      <c r="I27" s="14">
        <v>1667.88</v>
      </c>
      <c r="J27" s="14">
        <v>1458.18</v>
      </c>
      <c r="K27" s="14">
        <v>-209.7</v>
      </c>
      <c r="L27" s="14">
        <v>5777.96</v>
      </c>
      <c r="M27" s="14">
        <v>4312.46</v>
      </c>
      <c r="N27" s="14">
        <v>-1465.5</v>
      </c>
    </row>
    <row r="28" spans="1:14" x14ac:dyDescent="0.25">
      <c r="A28" s="39" t="s">
        <v>32</v>
      </c>
      <c r="B28" s="20">
        <v>87.85</v>
      </c>
      <c r="C28" s="20">
        <v>61</v>
      </c>
      <c r="D28" s="14">
        <v>-26.85</v>
      </c>
      <c r="E28" s="14">
        <v>231.32</v>
      </c>
      <c r="F28" s="14">
        <v>157</v>
      </c>
      <c r="G28" s="14">
        <v>-74.319999999999993</v>
      </c>
      <c r="H28" s="14">
        <v>760</v>
      </c>
      <c r="I28" s="14">
        <v>87.85</v>
      </c>
      <c r="J28" s="14">
        <v>17.22</v>
      </c>
      <c r="K28" s="14">
        <v>-70.63</v>
      </c>
      <c r="L28" s="14">
        <v>231.32</v>
      </c>
      <c r="M28" s="14">
        <v>32.020000000000003</v>
      </c>
      <c r="N28" s="14">
        <v>-199.3</v>
      </c>
    </row>
    <row r="29" spans="1:14" x14ac:dyDescent="0.25">
      <c r="A29" s="39" t="s">
        <v>40</v>
      </c>
      <c r="B29" s="20">
        <v>64239.69</v>
      </c>
      <c r="C29" s="20">
        <v>6408</v>
      </c>
      <c r="D29" s="14">
        <v>-57831.69</v>
      </c>
      <c r="E29" s="14">
        <v>235954.84</v>
      </c>
      <c r="F29" s="14">
        <v>519224</v>
      </c>
      <c r="G29" s="14">
        <v>283269.15999999997</v>
      </c>
      <c r="H29" s="14">
        <v>576896</v>
      </c>
      <c r="I29" s="14">
        <v>64239.69</v>
      </c>
      <c r="J29" s="14">
        <v>3792.25</v>
      </c>
      <c r="K29" s="14">
        <v>-60447.44</v>
      </c>
      <c r="L29" s="14">
        <v>235954.84</v>
      </c>
      <c r="M29" s="14">
        <v>-161128.51999999999</v>
      </c>
      <c r="N29" s="14">
        <v>-397083.36</v>
      </c>
    </row>
    <row r="30" spans="1:14" x14ac:dyDescent="0.25">
      <c r="A30" s="39" t="s">
        <v>39</v>
      </c>
      <c r="B30" s="20">
        <v>174404.06</v>
      </c>
      <c r="C30" s="20">
        <v>297119</v>
      </c>
      <c r="D30" s="14">
        <v>122714.94</v>
      </c>
      <c r="E30" s="14">
        <v>688587.54</v>
      </c>
      <c r="F30" s="14">
        <v>888227</v>
      </c>
      <c r="G30" s="14">
        <v>199639.46</v>
      </c>
      <c r="H30" s="14">
        <v>3578252</v>
      </c>
      <c r="I30" s="14">
        <v>174404.06</v>
      </c>
      <c r="J30" s="14">
        <v>400173.93</v>
      </c>
      <c r="K30" s="14">
        <v>225769.87</v>
      </c>
      <c r="L30" s="14">
        <v>688587.54</v>
      </c>
      <c r="M30" s="14">
        <v>889031.09</v>
      </c>
      <c r="N30" s="14">
        <v>200443.55</v>
      </c>
    </row>
    <row r="31" spans="1:14" x14ac:dyDescent="0.25">
      <c r="A31" s="39" t="s">
        <v>38</v>
      </c>
      <c r="B31" s="20">
        <v>60541.75</v>
      </c>
      <c r="C31" s="20">
        <v>60321</v>
      </c>
      <c r="D31" s="14">
        <v>-220.75</v>
      </c>
      <c r="E31" s="14">
        <v>231145.03</v>
      </c>
      <c r="F31" s="14">
        <v>189729</v>
      </c>
      <c r="G31" s="14">
        <v>-41416.03</v>
      </c>
      <c r="H31" s="14">
        <v>727973</v>
      </c>
      <c r="I31" s="14">
        <v>60541.75</v>
      </c>
      <c r="J31" s="14">
        <v>54022.14</v>
      </c>
      <c r="K31" s="14">
        <v>-6519.61</v>
      </c>
      <c r="L31" s="14">
        <v>231145.03</v>
      </c>
      <c r="M31" s="14">
        <v>218156.83</v>
      </c>
      <c r="N31" s="14">
        <v>-12988.2</v>
      </c>
    </row>
    <row r="32" spans="1:14" x14ac:dyDescent="0.25">
      <c r="A32" s="39" t="s">
        <v>37</v>
      </c>
      <c r="B32" s="20">
        <v>-133802.35</v>
      </c>
      <c r="C32" s="20">
        <v>-3750</v>
      </c>
      <c r="D32" s="14">
        <v>130052.35</v>
      </c>
      <c r="E32" s="14">
        <v>-334078.49</v>
      </c>
      <c r="F32" s="14">
        <v>-11590</v>
      </c>
      <c r="G32" s="14">
        <v>322488.49</v>
      </c>
      <c r="H32" s="14">
        <v>-44800</v>
      </c>
      <c r="I32" s="14">
        <v>-133802.35</v>
      </c>
      <c r="J32" s="14">
        <v>-158577.46</v>
      </c>
      <c r="K32" s="14">
        <v>-24775.11</v>
      </c>
      <c r="L32" s="14">
        <v>-334078.49</v>
      </c>
      <c r="M32" s="14">
        <v>-383048.4</v>
      </c>
      <c r="N32" s="14">
        <v>-48969.91</v>
      </c>
    </row>
    <row r="33" spans="1:14" x14ac:dyDescent="0.25">
      <c r="A33" s="39" t="s">
        <v>36</v>
      </c>
      <c r="B33" s="38">
        <v>970612.71</v>
      </c>
      <c r="C33" s="38">
        <v>1028186</v>
      </c>
      <c r="D33" s="37">
        <v>57573.29</v>
      </c>
      <c r="E33" s="37">
        <v>3191976.25</v>
      </c>
      <c r="F33" s="37">
        <v>3589229</v>
      </c>
      <c r="G33" s="37">
        <v>397252.75</v>
      </c>
      <c r="H33" s="37">
        <v>12842011</v>
      </c>
      <c r="I33" s="37">
        <v>970612.71</v>
      </c>
      <c r="J33" s="37">
        <v>1137257.1499999999</v>
      </c>
      <c r="K33" s="37">
        <v>166644.44</v>
      </c>
      <c r="L33" s="37">
        <v>3191976.25</v>
      </c>
      <c r="M33" s="37">
        <v>2842393.24</v>
      </c>
      <c r="N33" s="37">
        <v>-349583.01</v>
      </c>
    </row>
    <row r="35" spans="1:14" ht="56.25" x14ac:dyDescent="0.25">
      <c r="A35" s="42" t="s">
        <v>54</v>
      </c>
      <c r="B35" s="41" t="s">
        <v>150</v>
      </c>
      <c r="C35" s="41" t="s">
        <v>149</v>
      </c>
      <c r="D35" s="40" t="s">
        <v>148</v>
      </c>
      <c r="E35" s="40" t="s">
        <v>147</v>
      </c>
      <c r="F35" s="40" t="s">
        <v>146</v>
      </c>
      <c r="G35" s="40" t="s">
        <v>145</v>
      </c>
      <c r="H35" s="40" t="s">
        <v>47</v>
      </c>
      <c r="I35" s="40" t="s">
        <v>144</v>
      </c>
      <c r="J35" s="40" t="s">
        <v>143</v>
      </c>
      <c r="K35" s="40" t="s">
        <v>142</v>
      </c>
      <c r="L35" s="40" t="s">
        <v>141</v>
      </c>
      <c r="M35" s="40" t="s">
        <v>140</v>
      </c>
      <c r="N35" s="40" t="s">
        <v>139</v>
      </c>
    </row>
    <row r="36" spans="1:14" x14ac:dyDescent="0.25">
      <c r="A36" s="39" t="s">
        <v>35</v>
      </c>
      <c r="B36" s="20">
        <v>786358.08</v>
      </c>
      <c r="C36" s="20">
        <v>660580</v>
      </c>
      <c r="D36" s="14">
        <v>-125778.08</v>
      </c>
      <c r="E36" s="14">
        <v>3085702.95</v>
      </c>
      <c r="F36" s="14">
        <v>2637876</v>
      </c>
      <c r="G36" s="14">
        <v>-447826.95</v>
      </c>
      <c r="H36" s="14">
        <v>7918231</v>
      </c>
      <c r="I36" s="14">
        <v>786358.08</v>
      </c>
      <c r="J36" s="14">
        <v>722712.48</v>
      </c>
      <c r="K36" s="14">
        <v>-63645.599999999999</v>
      </c>
      <c r="L36" s="14">
        <v>3085702.95</v>
      </c>
      <c r="M36" s="14">
        <v>2887732.26</v>
      </c>
      <c r="N36" s="14">
        <v>-197970.69</v>
      </c>
    </row>
    <row r="37" spans="1:14" x14ac:dyDescent="0.25">
      <c r="A37" s="39" t="s">
        <v>34</v>
      </c>
      <c r="B37" s="20">
        <v>18556.22</v>
      </c>
      <c r="C37" s="20">
        <v>4353</v>
      </c>
      <c r="D37" s="14">
        <v>-14203.22</v>
      </c>
      <c r="E37" s="14">
        <v>83569.399999999994</v>
      </c>
      <c r="F37" s="14">
        <v>25725</v>
      </c>
      <c r="G37" s="14">
        <v>-57844.4</v>
      </c>
      <c r="H37" s="14">
        <v>64792</v>
      </c>
      <c r="I37" s="14">
        <v>18556.22</v>
      </c>
      <c r="J37" s="14">
        <v>23278.58</v>
      </c>
      <c r="K37" s="14">
        <v>4722.3599999999997</v>
      </c>
      <c r="L37" s="14">
        <v>83569.399999999994</v>
      </c>
      <c r="M37" s="14">
        <v>133296.56</v>
      </c>
      <c r="N37" s="14">
        <v>49727.16</v>
      </c>
    </row>
    <row r="38" spans="1:14" x14ac:dyDescent="0.25">
      <c r="A38" s="39" t="s">
        <v>33</v>
      </c>
      <c r="B38" s="20">
        <v>1672.52</v>
      </c>
      <c r="C38" s="20">
        <v>1674</v>
      </c>
      <c r="D38" s="14">
        <v>1.48</v>
      </c>
      <c r="E38" s="14">
        <v>7450.48</v>
      </c>
      <c r="F38" s="14">
        <v>6488</v>
      </c>
      <c r="G38" s="14">
        <v>-962.48</v>
      </c>
      <c r="H38" s="14">
        <v>19907</v>
      </c>
      <c r="I38" s="14">
        <v>1672.52</v>
      </c>
      <c r="J38" s="14">
        <v>1467.64</v>
      </c>
      <c r="K38" s="14">
        <v>-204.88</v>
      </c>
      <c r="L38" s="14">
        <v>7450.48</v>
      </c>
      <c r="M38" s="14">
        <v>5780.1</v>
      </c>
      <c r="N38" s="14">
        <v>-1670.38</v>
      </c>
    </row>
    <row r="39" spans="1:14" x14ac:dyDescent="0.25">
      <c r="A39" s="39" t="s">
        <v>32</v>
      </c>
      <c r="B39" s="20">
        <v>4.58</v>
      </c>
      <c r="C39" s="20">
        <v>104</v>
      </c>
      <c r="D39" s="14">
        <v>99.42</v>
      </c>
      <c r="E39" s="14">
        <v>235.9</v>
      </c>
      <c r="F39" s="14">
        <v>261</v>
      </c>
      <c r="G39" s="14">
        <v>25.1</v>
      </c>
      <c r="H39" s="14">
        <v>760</v>
      </c>
      <c r="I39" s="14">
        <v>4.58</v>
      </c>
      <c r="J39" s="14">
        <v>136.88</v>
      </c>
      <c r="K39" s="14">
        <v>132.30000000000001</v>
      </c>
      <c r="L39" s="14">
        <v>235.9</v>
      </c>
      <c r="M39" s="14">
        <v>168.9</v>
      </c>
      <c r="N39" s="14">
        <v>-67</v>
      </c>
    </row>
    <row r="40" spans="1:14" x14ac:dyDescent="0.25">
      <c r="A40" s="39" t="s">
        <v>40</v>
      </c>
      <c r="B40" s="20">
        <v>64168.82</v>
      </c>
      <c r="C40" s="20">
        <v>6408</v>
      </c>
      <c r="D40" s="14">
        <v>-57760.82</v>
      </c>
      <c r="E40" s="14">
        <v>300123.65999999997</v>
      </c>
      <c r="F40" s="14">
        <v>525632</v>
      </c>
      <c r="G40" s="14">
        <v>225508.34</v>
      </c>
      <c r="H40" s="14">
        <v>576896</v>
      </c>
      <c r="I40" s="14">
        <v>64168.82</v>
      </c>
      <c r="J40" s="14">
        <v>8134.31</v>
      </c>
      <c r="K40" s="14">
        <v>-56034.51</v>
      </c>
      <c r="L40" s="14">
        <v>300123.65999999997</v>
      </c>
      <c r="M40" s="14">
        <v>-152994.21</v>
      </c>
      <c r="N40" s="14">
        <v>-453117.87</v>
      </c>
    </row>
    <row r="41" spans="1:14" x14ac:dyDescent="0.25">
      <c r="A41" s="39" t="s">
        <v>39</v>
      </c>
      <c r="B41" s="20">
        <v>239901.56</v>
      </c>
      <c r="C41" s="20">
        <v>295889</v>
      </c>
      <c r="D41" s="14">
        <v>55987.44</v>
      </c>
      <c r="E41" s="14">
        <v>928489.1</v>
      </c>
      <c r="F41" s="14">
        <v>1184116</v>
      </c>
      <c r="G41" s="14">
        <v>255626.9</v>
      </c>
      <c r="H41" s="14">
        <v>3578252</v>
      </c>
      <c r="I41" s="14">
        <v>239901.56</v>
      </c>
      <c r="J41" s="14">
        <v>286393.78000000003</v>
      </c>
      <c r="K41" s="14">
        <v>46492.22</v>
      </c>
      <c r="L41" s="14">
        <v>928489.1</v>
      </c>
      <c r="M41" s="14">
        <v>1175424.8700000001</v>
      </c>
      <c r="N41" s="14">
        <v>246935.77</v>
      </c>
    </row>
    <row r="42" spans="1:14" x14ac:dyDescent="0.25">
      <c r="A42" s="39" t="s">
        <v>38</v>
      </c>
      <c r="B42" s="20">
        <v>59905.85</v>
      </c>
      <c r="C42" s="20">
        <v>60131</v>
      </c>
      <c r="D42" s="14">
        <v>225.15</v>
      </c>
      <c r="E42" s="14">
        <v>291050.88</v>
      </c>
      <c r="F42" s="14">
        <v>249860</v>
      </c>
      <c r="G42" s="14">
        <v>-41190.879999999997</v>
      </c>
      <c r="H42" s="14">
        <v>727973</v>
      </c>
      <c r="I42" s="14">
        <v>59905.85</v>
      </c>
      <c r="J42" s="14">
        <v>55426.1</v>
      </c>
      <c r="K42" s="14">
        <v>-4479.75</v>
      </c>
      <c r="L42" s="14">
        <v>291050.88</v>
      </c>
      <c r="M42" s="14">
        <v>273582.93</v>
      </c>
      <c r="N42" s="14">
        <v>-17467.95</v>
      </c>
    </row>
    <row r="43" spans="1:14" x14ac:dyDescent="0.25">
      <c r="A43" s="39" t="s">
        <v>37</v>
      </c>
      <c r="B43" s="20">
        <v>-194622.1</v>
      </c>
      <c r="C43" s="20">
        <v>-3700</v>
      </c>
      <c r="D43" s="14">
        <v>190922.1</v>
      </c>
      <c r="E43" s="14">
        <v>-528700.59</v>
      </c>
      <c r="F43" s="14">
        <v>-15290</v>
      </c>
      <c r="G43" s="14">
        <v>513410.59</v>
      </c>
      <c r="H43" s="14">
        <v>-44800</v>
      </c>
      <c r="I43" s="14">
        <v>-194622.1</v>
      </c>
      <c r="J43" s="14">
        <v>-162368.73000000001</v>
      </c>
      <c r="K43" s="14">
        <v>32253.37</v>
      </c>
      <c r="L43" s="14">
        <v>-528700.59</v>
      </c>
      <c r="M43" s="14">
        <v>-545417.13</v>
      </c>
      <c r="N43" s="14">
        <v>-16716.54</v>
      </c>
    </row>
    <row r="44" spans="1:14" x14ac:dyDescent="0.25">
      <c r="A44" s="39" t="s">
        <v>36</v>
      </c>
      <c r="B44" s="38">
        <v>975945.53</v>
      </c>
      <c r="C44" s="38">
        <v>1025439</v>
      </c>
      <c r="D44" s="37">
        <v>49493.47</v>
      </c>
      <c r="E44" s="37">
        <v>4167921.78</v>
      </c>
      <c r="F44" s="37">
        <v>4614668</v>
      </c>
      <c r="G44" s="37">
        <v>446746.22</v>
      </c>
      <c r="H44" s="37">
        <v>12842011</v>
      </c>
      <c r="I44" s="37">
        <v>975945.53</v>
      </c>
      <c r="J44" s="37">
        <v>935181.04</v>
      </c>
      <c r="K44" s="37">
        <v>-40764.49</v>
      </c>
      <c r="L44" s="37">
        <v>4167921.78</v>
      </c>
      <c r="M44" s="37">
        <v>3777574.28</v>
      </c>
      <c r="N44" s="37">
        <v>-390347.5</v>
      </c>
    </row>
    <row r="46" spans="1:14" ht="56.25" x14ac:dyDescent="0.25">
      <c r="A46" s="42" t="s">
        <v>54</v>
      </c>
      <c r="B46" s="41" t="s">
        <v>138</v>
      </c>
      <c r="C46" s="41" t="s">
        <v>137</v>
      </c>
      <c r="D46" s="40" t="s">
        <v>136</v>
      </c>
      <c r="E46" s="40" t="s">
        <v>135</v>
      </c>
      <c r="F46" s="40" t="s">
        <v>134</v>
      </c>
      <c r="G46" s="40" t="s">
        <v>133</v>
      </c>
      <c r="H46" s="40" t="s">
        <v>47</v>
      </c>
      <c r="I46" s="40" t="s">
        <v>132</v>
      </c>
      <c r="J46" s="40" t="s">
        <v>131</v>
      </c>
      <c r="K46" s="40" t="s">
        <v>130</v>
      </c>
      <c r="L46" s="40" t="s">
        <v>129</v>
      </c>
      <c r="M46" s="40" t="s">
        <v>128</v>
      </c>
      <c r="N46" s="40" t="s">
        <v>127</v>
      </c>
    </row>
    <row r="47" spans="1:14" x14ac:dyDescent="0.25">
      <c r="A47" s="39" t="s">
        <v>35</v>
      </c>
      <c r="B47" s="20">
        <v>742413.43</v>
      </c>
      <c r="C47" s="20">
        <v>658838</v>
      </c>
      <c r="D47" s="14">
        <v>-83575.429999999993</v>
      </c>
      <c r="E47" s="14">
        <v>3828116.38</v>
      </c>
      <c r="F47" s="14">
        <v>3296714</v>
      </c>
      <c r="G47" s="14">
        <v>-531402.38</v>
      </c>
      <c r="H47" s="14">
        <v>7918231</v>
      </c>
      <c r="I47" s="14">
        <v>742413.43</v>
      </c>
      <c r="J47" s="14">
        <v>749905.38</v>
      </c>
      <c r="K47" s="14">
        <v>7491.95</v>
      </c>
      <c r="L47" s="14">
        <v>3828116.38</v>
      </c>
      <c r="M47" s="14">
        <v>3637637.64</v>
      </c>
      <c r="N47" s="14">
        <v>-190478.74</v>
      </c>
    </row>
    <row r="48" spans="1:14" x14ac:dyDescent="0.25">
      <c r="A48" s="39" t="s">
        <v>34</v>
      </c>
      <c r="B48" s="20">
        <v>13879.85</v>
      </c>
      <c r="C48" s="20">
        <v>4925</v>
      </c>
      <c r="D48" s="14">
        <v>-8954.85</v>
      </c>
      <c r="E48" s="14">
        <v>97449.25</v>
      </c>
      <c r="F48" s="14">
        <v>30650</v>
      </c>
      <c r="G48" s="14">
        <v>-66799.25</v>
      </c>
      <c r="H48" s="14">
        <v>64792</v>
      </c>
      <c r="I48" s="14">
        <v>13879.85</v>
      </c>
      <c r="J48" s="14">
        <v>19477.45</v>
      </c>
      <c r="K48" s="14">
        <v>5597.6</v>
      </c>
      <c r="L48" s="14">
        <v>97449.25</v>
      </c>
      <c r="M48" s="14">
        <v>152774.01</v>
      </c>
      <c r="N48" s="14">
        <v>55324.76</v>
      </c>
    </row>
    <row r="49" spans="1:14" x14ac:dyDescent="0.25">
      <c r="A49" s="39" t="s">
        <v>33</v>
      </c>
      <c r="B49" s="20">
        <v>1574.6</v>
      </c>
      <c r="C49" s="20">
        <v>1599</v>
      </c>
      <c r="D49" s="14">
        <v>24.4</v>
      </c>
      <c r="E49" s="14">
        <v>9025.08</v>
      </c>
      <c r="F49" s="14">
        <v>8087</v>
      </c>
      <c r="G49" s="14">
        <v>-938.08</v>
      </c>
      <c r="H49" s="14">
        <v>19907</v>
      </c>
      <c r="I49" s="14">
        <v>1574.6</v>
      </c>
      <c r="J49" s="14">
        <v>1506.64</v>
      </c>
      <c r="K49" s="14">
        <v>-67.959999999999994</v>
      </c>
      <c r="L49" s="14">
        <v>9025.08</v>
      </c>
      <c r="M49" s="14">
        <v>7286.74</v>
      </c>
      <c r="N49" s="14">
        <v>-1738.34</v>
      </c>
    </row>
    <row r="50" spans="1:14" x14ac:dyDescent="0.25">
      <c r="A50" s="39" t="s">
        <v>32</v>
      </c>
      <c r="B50" s="20">
        <v>3.61</v>
      </c>
      <c r="C50" s="20">
        <v>90</v>
      </c>
      <c r="D50" s="14">
        <v>86.39</v>
      </c>
      <c r="E50" s="14">
        <v>239.51</v>
      </c>
      <c r="F50" s="14">
        <v>351</v>
      </c>
      <c r="G50" s="14">
        <v>111.49</v>
      </c>
      <c r="H50" s="14">
        <v>760</v>
      </c>
      <c r="I50" s="14">
        <v>3.61</v>
      </c>
      <c r="J50" s="14">
        <v>109.24</v>
      </c>
      <c r="K50" s="14">
        <v>105.63</v>
      </c>
      <c r="L50" s="14">
        <v>239.51</v>
      </c>
      <c r="M50" s="14">
        <v>278.14</v>
      </c>
      <c r="N50" s="14">
        <v>38.630000000000003</v>
      </c>
    </row>
    <row r="51" spans="1:14" x14ac:dyDescent="0.25">
      <c r="A51" s="39" t="s">
        <v>40</v>
      </c>
      <c r="B51" s="20">
        <v>63776.92</v>
      </c>
      <c r="C51" s="20">
        <v>6408</v>
      </c>
      <c r="D51" s="14">
        <v>-57368.92</v>
      </c>
      <c r="E51" s="14">
        <v>363900.58</v>
      </c>
      <c r="F51" s="14">
        <v>532040</v>
      </c>
      <c r="G51" s="14">
        <v>168139.42</v>
      </c>
      <c r="H51" s="14">
        <v>576896</v>
      </c>
      <c r="I51" s="14">
        <v>63776.92</v>
      </c>
      <c r="J51" s="14">
        <v>8293.5499999999993</v>
      </c>
      <c r="K51" s="14">
        <v>-55483.37</v>
      </c>
      <c r="L51" s="14">
        <v>363900.58</v>
      </c>
      <c r="M51" s="14">
        <v>-144700.66</v>
      </c>
      <c r="N51" s="14">
        <v>-508601.24</v>
      </c>
    </row>
    <row r="52" spans="1:14" x14ac:dyDescent="0.25">
      <c r="A52" s="39" t="s">
        <v>39</v>
      </c>
      <c r="B52" s="20">
        <v>221404.61</v>
      </c>
      <c r="C52" s="20">
        <v>295611</v>
      </c>
      <c r="D52" s="14">
        <v>74206.39</v>
      </c>
      <c r="E52" s="14">
        <v>1149893.71</v>
      </c>
      <c r="F52" s="14">
        <v>1479727</v>
      </c>
      <c r="G52" s="14">
        <v>329833.28999999998</v>
      </c>
      <c r="H52" s="14">
        <v>3578252</v>
      </c>
      <c r="I52" s="14">
        <v>221404.61</v>
      </c>
      <c r="J52" s="14">
        <v>261803.23</v>
      </c>
      <c r="K52" s="14">
        <v>40398.620000000003</v>
      </c>
      <c r="L52" s="14">
        <v>1149893.71</v>
      </c>
      <c r="M52" s="14">
        <v>1437228.1</v>
      </c>
      <c r="N52" s="14">
        <v>287334.39</v>
      </c>
    </row>
    <row r="53" spans="1:14" x14ac:dyDescent="0.25">
      <c r="A53" s="39" t="s">
        <v>38</v>
      </c>
      <c r="B53" s="20">
        <v>56667.24</v>
      </c>
      <c r="C53" s="20">
        <v>59871</v>
      </c>
      <c r="D53" s="14">
        <v>3203.76</v>
      </c>
      <c r="E53" s="14">
        <v>347718.12</v>
      </c>
      <c r="F53" s="14">
        <v>309731</v>
      </c>
      <c r="G53" s="14">
        <v>-37987.120000000003</v>
      </c>
      <c r="H53" s="14">
        <v>727973</v>
      </c>
      <c r="I53" s="14">
        <v>56667.24</v>
      </c>
      <c r="J53" s="14">
        <v>57190.720000000001</v>
      </c>
      <c r="K53" s="14">
        <v>523.48</v>
      </c>
      <c r="L53" s="14">
        <v>347718.12</v>
      </c>
      <c r="M53" s="14">
        <v>330773.65000000002</v>
      </c>
      <c r="N53" s="14">
        <v>-16944.47</v>
      </c>
    </row>
    <row r="54" spans="1:14" x14ac:dyDescent="0.25">
      <c r="A54" s="39" t="s">
        <v>37</v>
      </c>
      <c r="B54" s="20">
        <v>-178647.22</v>
      </c>
      <c r="C54" s="20">
        <v>-3570</v>
      </c>
      <c r="D54" s="14">
        <v>175077.22</v>
      </c>
      <c r="E54" s="14">
        <v>-707347.81</v>
      </c>
      <c r="F54" s="14">
        <v>-18860</v>
      </c>
      <c r="G54" s="14">
        <v>688487.81</v>
      </c>
      <c r="H54" s="14">
        <v>-44800</v>
      </c>
      <c r="I54" s="14">
        <v>-178647.22</v>
      </c>
      <c r="J54" s="14">
        <v>-181088.1</v>
      </c>
      <c r="K54" s="14">
        <v>-2440.88</v>
      </c>
      <c r="L54" s="14">
        <v>-707347.81</v>
      </c>
      <c r="M54" s="14">
        <v>-726505.23</v>
      </c>
      <c r="N54" s="14">
        <v>-19157.419999999998</v>
      </c>
    </row>
    <row r="55" spans="1:14" x14ac:dyDescent="0.25">
      <c r="A55" s="39" t="s">
        <v>36</v>
      </c>
      <c r="B55" s="38">
        <v>921073.04</v>
      </c>
      <c r="C55" s="38">
        <v>1023772</v>
      </c>
      <c r="D55" s="37">
        <v>102698.96</v>
      </c>
      <c r="E55" s="37">
        <v>5088994.82</v>
      </c>
      <c r="F55" s="37">
        <v>5638440</v>
      </c>
      <c r="G55" s="37">
        <v>549445.18000000005</v>
      </c>
      <c r="H55" s="37">
        <v>12842011</v>
      </c>
      <c r="I55" s="37">
        <v>921073.04</v>
      </c>
      <c r="J55" s="37">
        <v>917198.11</v>
      </c>
      <c r="K55" s="37">
        <v>-3874.93</v>
      </c>
      <c r="L55" s="37">
        <v>5088994.82</v>
      </c>
      <c r="M55" s="37">
        <v>4694772.3899999997</v>
      </c>
      <c r="N55" s="37">
        <v>-394222.43</v>
      </c>
    </row>
    <row r="57" spans="1:14" ht="56.25" x14ac:dyDescent="0.25">
      <c r="A57" s="42" t="s">
        <v>54</v>
      </c>
      <c r="B57" s="41" t="s">
        <v>126</v>
      </c>
      <c r="C57" s="41" t="s">
        <v>125</v>
      </c>
      <c r="D57" s="40" t="s">
        <v>124</v>
      </c>
      <c r="E57" s="40" t="s">
        <v>123</v>
      </c>
      <c r="F57" s="40" t="s">
        <v>122</v>
      </c>
      <c r="G57" s="40" t="s">
        <v>121</v>
      </c>
      <c r="H57" s="40" t="s">
        <v>47</v>
      </c>
      <c r="I57" s="40" t="s">
        <v>120</v>
      </c>
      <c r="J57" s="40" t="s">
        <v>119</v>
      </c>
      <c r="K57" s="40" t="s">
        <v>118</v>
      </c>
      <c r="L57" s="40" t="s">
        <v>117</v>
      </c>
      <c r="M57" s="40" t="s">
        <v>116</v>
      </c>
      <c r="N57" s="40" t="s">
        <v>115</v>
      </c>
    </row>
    <row r="58" spans="1:14" x14ac:dyDescent="0.25">
      <c r="A58" s="39" t="s">
        <v>35</v>
      </c>
      <c r="B58" s="20">
        <v>791154.56</v>
      </c>
      <c r="C58" s="20">
        <v>660812</v>
      </c>
      <c r="D58" s="14">
        <v>-130342.56</v>
      </c>
      <c r="E58" s="14">
        <v>4619270.9400000004</v>
      </c>
      <c r="F58" s="14">
        <v>3957526</v>
      </c>
      <c r="G58" s="14">
        <v>-661744.93999999994</v>
      </c>
      <c r="H58" s="14">
        <v>7918231</v>
      </c>
      <c r="I58" s="14">
        <v>791154.56</v>
      </c>
      <c r="J58" s="14">
        <v>678982.42</v>
      </c>
      <c r="K58" s="14">
        <v>-112172.14</v>
      </c>
      <c r="L58" s="14">
        <v>4619270.9400000004</v>
      </c>
      <c r="M58" s="14">
        <v>4316620.0599999996</v>
      </c>
      <c r="N58" s="14">
        <v>-302650.88</v>
      </c>
    </row>
    <row r="59" spans="1:14" x14ac:dyDescent="0.25">
      <c r="A59" s="39" t="s">
        <v>34</v>
      </c>
      <c r="B59" s="20">
        <v>22743.919999999998</v>
      </c>
      <c r="C59" s="20">
        <v>2568</v>
      </c>
      <c r="D59" s="14">
        <v>-20175.919999999998</v>
      </c>
      <c r="E59" s="14">
        <v>120193.17</v>
      </c>
      <c r="F59" s="14">
        <v>33218</v>
      </c>
      <c r="G59" s="14">
        <v>-86975.17</v>
      </c>
      <c r="H59" s="14">
        <v>64792</v>
      </c>
      <c r="I59" s="14">
        <v>22743.919999999998</v>
      </c>
      <c r="J59" s="14">
        <v>14080.66</v>
      </c>
      <c r="K59" s="14">
        <v>-8663.26</v>
      </c>
      <c r="L59" s="14">
        <v>120193.17</v>
      </c>
      <c r="M59" s="14">
        <v>166854.67000000001</v>
      </c>
      <c r="N59" s="14">
        <v>46661.5</v>
      </c>
    </row>
    <row r="60" spans="1:14" x14ac:dyDescent="0.25">
      <c r="A60" s="39" t="s">
        <v>33</v>
      </c>
      <c r="B60" s="20">
        <v>1685.22</v>
      </c>
      <c r="C60" s="20">
        <v>1678</v>
      </c>
      <c r="D60" s="14">
        <v>-7.22</v>
      </c>
      <c r="E60" s="14">
        <v>10710.3</v>
      </c>
      <c r="F60" s="14">
        <v>9765</v>
      </c>
      <c r="G60" s="14">
        <v>-945.3</v>
      </c>
      <c r="H60" s="14">
        <v>19907</v>
      </c>
      <c r="I60" s="14">
        <v>1685.22</v>
      </c>
      <c r="J60" s="14">
        <v>1340.07</v>
      </c>
      <c r="K60" s="14">
        <v>-345.15</v>
      </c>
      <c r="L60" s="14">
        <v>10710.3</v>
      </c>
      <c r="M60" s="14">
        <v>8626.81</v>
      </c>
      <c r="N60" s="14">
        <v>-2083.4899999999998</v>
      </c>
    </row>
    <row r="61" spans="1:14" x14ac:dyDescent="0.25">
      <c r="A61" s="39" t="s">
        <v>32</v>
      </c>
      <c r="B61" s="20">
        <v>10.26</v>
      </c>
      <c r="C61" s="20">
        <v>74</v>
      </c>
      <c r="D61" s="14">
        <v>63.74</v>
      </c>
      <c r="E61" s="14">
        <v>249.77</v>
      </c>
      <c r="F61" s="14">
        <v>425</v>
      </c>
      <c r="G61" s="14">
        <v>175.23</v>
      </c>
      <c r="H61" s="14">
        <v>760</v>
      </c>
      <c r="I61" s="14">
        <v>10.26</v>
      </c>
      <c r="J61" s="14">
        <v>114</v>
      </c>
      <c r="K61" s="14">
        <v>103.74</v>
      </c>
      <c r="L61" s="14">
        <v>249.77</v>
      </c>
      <c r="M61" s="14">
        <v>392.14</v>
      </c>
      <c r="N61" s="14">
        <v>142.37</v>
      </c>
    </row>
    <row r="62" spans="1:14" x14ac:dyDescent="0.25">
      <c r="A62" s="39" t="s">
        <v>40</v>
      </c>
      <c r="B62" s="20">
        <v>65419.23</v>
      </c>
      <c r="C62" s="20">
        <v>6408</v>
      </c>
      <c r="D62" s="14">
        <v>-59011.23</v>
      </c>
      <c r="E62" s="14">
        <v>429319.81</v>
      </c>
      <c r="F62" s="14">
        <v>538448</v>
      </c>
      <c r="G62" s="14">
        <v>109128.19</v>
      </c>
      <c r="H62" s="14">
        <v>576896</v>
      </c>
      <c r="I62" s="14">
        <v>65419.23</v>
      </c>
      <c r="J62" s="14">
        <v>7373.65</v>
      </c>
      <c r="K62" s="14">
        <v>-58045.58</v>
      </c>
      <c r="L62" s="14">
        <v>429319.81</v>
      </c>
      <c r="M62" s="14">
        <v>-137327.01</v>
      </c>
      <c r="N62" s="14">
        <v>-566646.81999999995</v>
      </c>
    </row>
    <row r="63" spans="1:14" x14ac:dyDescent="0.25">
      <c r="A63" s="39" t="s">
        <v>39</v>
      </c>
      <c r="B63" s="20">
        <v>407260.08</v>
      </c>
      <c r="C63" s="20">
        <v>297025</v>
      </c>
      <c r="D63" s="14">
        <v>-110235.08</v>
      </c>
      <c r="E63" s="14">
        <v>1557153.79</v>
      </c>
      <c r="F63" s="14">
        <v>1776752</v>
      </c>
      <c r="G63" s="14">
        <v>219598.21</v>
      </c>
      <c r="H63" s="14">
        <v>3578252</v>
      </c>
      <c r="I63" s="14">
        <v>407260.08</v>
      </c>
      <c r="J63" s="14">
        <v>268524.76</v>
      </c>
      <c r="K63" s="14">
        <v>-138735.32</v>
      </c>
      <c r="L63" s="14">
        <v>1557153.79</v>
      </c>
      <c r="M63" s="14">
        <v>1705752.86</v>
      </c>
      <c r="N63" s="14">
        <v>148599.07</v>
      </c>
    </row>
    <row r="64" spans="1:14" x14ac:dyDescent="0.25">
      <c r="A64" s="39" t="s">
        <v>38</v>
      </c>
      <c r="B64" s="20">
        <v>57715.08</v>
      </c>
      <c r="C64" s="20">
        <v>59749</v>
      </c>
      <c r="D64" s="14">
        <v>2033.92</v>
      </c>
      <c r="E64" s="14">
        <v>405433.2</v>
      </c>
      <c r="F64" s="14">
        <v>369480</v>
      </c>
      <c r="G64" s="14">
        <v>-35953.199999999997</v>
      </c>
      <c r="H64" s="14">
        <v>727973</v>
      </c>
      <c r="I64" s="14">
        <v>57715.08</v>
      </c>
      <c r="J64" s="14">
        <v>49843.55</v>
      </c>
      <c r="K64" s="14">
        <v>-7871.53</v>
      </c>
      <c r="L64" s="14">
        <v>405433.2</v>
      </c>
      <c r="M64" s="14">
        <v>380617.2</v>
      </c>
      <c r="N64" s="14">
        <v>-24816</v>
      </c>
    </row>
    <row r="65" spans="1:14" x14ac:dyDescent="0.25">
      <c r="A65" s="39" t="s">
        <v>37</v>
      </c>
      <c r="B65" s="20">
        <v>-231997.26</v>
      </c>
      <c r="C65" s="20">
        <v>-3640</v>
      </c>
      <c r="D65" s="14">
        <v>228357.26</v>
      </c>
      <c r="E65" s="14">
        <v>-939345.07</v>
      </c>
      <c r="F65" s="14">
        <v>-22500</v>
      </c>
      <c r="G65" s="14">
        <v>916845.07</v>
      </c>
      <c r="H65" s="14">
        <v>-44800</v>
      </c>
      <c r="I65" s="14">
        <v>-231997.26</v>
      </c>
      <c r="J65" s="14">
        <v>-125061.33</v>
      </c>
      <c r="K65" s="14">
        <v>106935.93</v>
      </c>
      <c r="L65" s="14">
        <v>-939345.07</v>
      </c>
      <c r="M65" s="14">
        <v>-851566.56</v>
      </c>
      <c r="N65" s="14">
        <v>87778.51</v>
      </c>
    </row>
    <row r="66" spans="1:14" x14ac:dyDescent="0.25">
      <c r="A66" s="39" t="s">
        <v>36</v>
      </c>
      <c r="B66" s="38">
        <v>1113991.0900000001</v>
      </c>
      <c r="C66" s="38">
        <v>1024674</v>
      </c>
      <c r="D66" s="37">
        <v>-89317.09</v>
      </c>
      <c r="E66" s="37">
        <v>6202985.9100000001</v>
      </c>
      <c r="F66" s="37">
        <v>6663114</v>
      </c>
      <c r="G66" s="37">
        <v>460128.09</v>
      </c>
      <c r="H66" s="37">
        <v>12842011</v>
      </c>
      <c r="I66" s="37">
        <v>1113991.0900000001</v>
      </c>
      <c r="J66" s="37">
        <v>895197.78</v>
      </c>
      <c r="K66" s="37">
        <v>-218793.31</v>
      </c>
      <c r="L66" s="37">
        <v>6202985.9100000001</v>
      </c>
      <c r="M66" s="37">
        <v>5589970.1699999999</v>
      </c>
      <c r="N66" s="37">
        <v>-613015.74</v>
      </c>
    </row>
    <row r="68" spans="1:14" ht="56.25" x14ac:dyDescent="0.25">
      <c r="A68" s="42" t="s">
        <v>54</v>
      </c>
      <c r="B68" s="41" t="s">
        <v>114</v>
      </c>
      <c r="C68" s="41" t="s">
        <v>113</v>
      </c>
      <c r="D68" s="40" t="s">
        <v>112</v>
      </c>
      <c r="E68" s="40" t="s">
        <v>111</v>
      </c>
      <c r="F68" s="40" t="s">
        <v>110</v>
      </c>
      <c r="G68" s="40" t="s">
        <v>109</v>
      </c>
      <c r="H68" s="40" t="s">
        <v>47</v>
      </c>
      <c r="I68" s="40" t="s">
        <v>108</v>
      </c>
      <c r="J68" s="40" t="s">
        <v>107</v>
      </c>
      <c r="K68" s="40" t="s">
        <v>106</v>
      </c>
      <c r="L68" s="40" t="s">
        <v>105</v>
      </c>
      <c r="M68" s="40" t="s">
        <v>104</v>
      </c>
      <c r="N68" s="40" t="s">
        <v>103</v>
      </c>
    </row>
    <row r="69" spans="1:14" x14ac:dyDescent="0.25">
      <c r="A69" s="39" t="s">
        <v>35</v>
      </c>
      <c r="B69" s="20">
        <v>819492.08</v>
      </c>
      <c r="C69" s="20">
        <v>663674</v>
      </c>
      <c r="D69" s="14">
        <v>-155818.07999999999</v>
      </c>
      <c r="E69" s="14">
        <v>5438763.0199999996</v>
      </c>
      <c r="F69" s="14">
        <v>4621200</v>
      </c>
      <c r="G69" s="14">
        <v>-817563.02</v>
      </c>
      <c r="H69" s="14">
        <v>7918231</v>
      </c>
      <c r="I69" s="14">
        <v>819492.08</v>
      </c>
      <c r="J69" s="14">
        <v>782359.81</v>
      </c>
      <c r="K69" s="14">
        <v>-37132.269999999997</v>
      </c>
      <c r="L69" s="14">
        <v>5438763.0199999996</v>
      </c>
      <c r="M69" s="14">
        <v>5098979.87</v>
      </c>
      <c r="N69" s="14">
        <v>-339783.15</v>
      </c>
    </row>
    <row r="70" spans="1:14" x14ac:dyDescent="0.25">
      <c r="A70" s="39" t="s">
        <v>34</v>
      </c>
      <c r="B70" s="20">
        <v>19531.36</v>
      </c>
      <c r="C70" s="20">
        <v>2966</v>
      </c>
      <c r="D70" s="14">
        <v>-16565.36</v>
      </c>
      <c r="E70" s="14">
        <v>139724.53</v>
      </c>
      <c r="F70" s="14">
        <v>36184</v>
      </c>
      <c r="G70" s="14">
        <v>-103540.53</v>
      </c>
      <c r="H70" s="14">
        <v>64792</v>
      </c>
      <c r="I70" s="14">
        <v>19531.36</v>
      </c>
      <c r="J70" s="14">
        <v>23501.94</v>
      </c>
      <c r="K70" s="14">
        <v>3970.58</v>
      </c>
      <c r="L70" s="14">
        <v>139724.53</v>
      </c>
      <c r="M70" s="14">
        <v>190356.61</v>
      </c>
      <c r="N70" s="14">
        <v>50632.08</v>
      </c>
    </row>
    <row r="71" spans="1:14" x14ac:dyDescent="0.25">
      <c r="A71" s="39" t="s">
        <v>33</v>
      </c>
      <c r="B71" s="20">
        <v>1670.72</v>
      </c>
      <c r="C71" s="20">
        <v>1761</v>
      </c>
      <c r="D71" s="14">
        <v>90.28</v>
      </c>
      <c r="E71" s="14">
        <v>12381.02</v>
      </c>
      <c r="F71" s="14">
        <v>11526</v>
      </c>
      <c r="G71" s="14">
        <v>-855.02</v>
      </c>
      <c r="H71" s="14">
        <v>19907</v>
      </c>
      <c r="I71" s="14">
        <v>1670.72</v>
      </c>
      <c r="J71" s="14">
        <v>1486.13</v>
      </c>
      <c r="K71" s="14">
        <v>-184.59</v>
      </c>
      <c r="L71" s="14">
        <v>12381.02</v>
      </c>
      <c r="M71" s="14">
        <v>10112.94</v>
      </c>
      <c r="N71" s="14">
        <v>-2268.08</v>
      </c>
    </row>
    <row r="72" spans="1:14" x14ac:dyDescent="0.25">
      <c r="A72" s="39" t="s">
        <v>32</v>
      </c>
      <c r="B72" s="20">
        <v>10.51</v>
      </c>
      <c r="C72" s="20">
        <v>53</v>
      </c>
      <c r="D72" s="14">
        <v>42.49</v>
      </c>
      <c r="E72" s="14">
        <v>260.27999999999997</v>
      </c>
      <c r="F72" s="14">
        <v>478</v>
      </c>
      <c r="G72" s="14">
        <v>217.72</v>
      </c>
      <c r="H72" s="14">
        <v>760</v>
      </c>
      <c r="I72" s="14">
        <v>10.51</v>
      </c>
      <c r="J72" s="14">
        <v>79.64</v>
      </c>
      <c r="K72" s="14">
        <v>69.13</v>
      </c>
      <c r="L72" s="14">
        <v>260.27999999999997</v>
      </c>
      <c r="M72" s="14">
        <v>471.78</v>
      </c>
      <c r="N72" s="14">
        <v>211.5</v>
      </c>
    </row>
    <row r="73" spans="1:14" x14ac:dyDescent="0.25">
      <c r="A73" s="39" t="s">
        <v>40</v>
      </c>
      <c r="B73" s="20">
        <v>64437.86</v>
      </c>
      <c r="C73" s="20">
        <v>6408</v>
      </c>
      <c r="D73" s="14">
        <v>-58029.86</v>
      </c>
      <c r="E73" s="14">
        <v>493757.67</v>
      </c>
      <c r="F73" s="14">
        <v>544856</v>
      </c>
      <c r="G73" s="14">
        <v>51098.33</v>
      </c>
      <c r="H73" s="14">
        <v>576896</v>
      </c>
      <c r="I73" s="14">
        <v>64437.86</v>
      </c>
      <c r="J73" s="14">
        <v>91316.08</v>
      </c>
      <c r="K73" s="14">
        <v>26878.22</v>
      </c>
      <c r="L73" s="14">
        <v>493757.67</v>
      </c>
      <c r="M73" s="14">
        <v>-46010.93</v>
      </c>
      <c r="N73" s="14">
        <v>-539768.6</v>
      </c>
    </row>
    <row r="74" spans="1:14" x14ac:dyDescent="0.25">
      <c r="A74" s="39" t="s">
        <v>39</v>
      </c>
      <c r="B74" s="20">
        <v>322905.62</v>
      </c>
      <c r="C74" s="20">
        <v>296219</v>
      </c>
      <c r="D74" s="14">
        <v>-26686.62</v>
      </c>
      <c r="E74" s="14">
        <v>1880059.41</v>
      </c>
      <c r="F74" s="14">
        <v>2072971</v>
      </c>
      <c r="G74" s="14">
        <v>192911.59</v>
      </c>
      <c r="H74" s="14">
        <v>3578252</v>
      </c>
      <c r="I74" s="14">
        <v>322905.62</v>
      </c>
      <c r="J74" s="14">
        <v>222991.83</v>
      </c>
      <c r="K74" s="14">
        <v>-99913.79</v>
      </c>
      <c r="L74" s="14">
        <v>1880059.41</v>
      </c>
      <c r="M74" s="14">
        <v>1928744.69</v>
      </c>
      <c r="N74" s="14">
        <v>48685.279999999999</v>
      </c>
    </row>
    <row r="75" spans="1:14" x14ac:dyDescent="0.25">
      <c r="A75" s="39" t="s">
        <v>38</v>
      </c>
      <c r="B75" s="20">
        <v>49019.32</v>
      </c>
      <c r="C75" s="20">
        <v>59899</v>
      </c>
      <c r="D75" s="14">
        <v>10879.68</v>
      </c>
      <c r="E75" s="14">
        <v>454452.52</v>
      </c>
      <c r="F75" s="14">
        <v>429379</v>
      </c>
      <c r="G75" s="14">
        <v>-25073.52</v>
      </c>
      <c r="H75" s="14">
        <v>727973</v>
      </c>
      <c r="I75" s="14">
        <v>49019.32</v>
      </c>
      <c r="J75" s="14">
        <v>58440.74</v>
      </c>
      <c r="K75" s="14">
        <v>9421.42</v>
      </c>
      <c r="L75" s="14">
        <v>454452.52</v>
      </c>
      <c r="M75" s="14">
        <v>439057.94</v>
      </c>
      <c r="N75" s="14">
        <v>-15394.58</v>
      </c>
    </row>
    <row r="76" spans="1:14" x14ac:dyDescent="0.25">
      <c r="A76" s="39" t="s">
        <v>37</v>
      </c>
      <c r="B76" s="20">
        <v>-233165.17</v>
      </c>
      <c r="C76" s="20">
        <v>-3750</v>
      </c>
      <c r="D76" s="14">
        <v>229415.17</v>
      </c>
      <c r="E76" s="14">
        <v>-1172510.24</v>
      </c>
      <c r="F76" s="14">
        <v>-26250</v>
      </c>
      <c r="G76" s="14">
        <v>1146260.24</v>
      </c>
      <c r="H76" s="14">
        <v>-44800</v>
      </c>
      <c r="I76" s="14">
        <v>-233165.17</v>
      </c>
      <c r="J76" s="14">
        <v>-157875.01</v>
      </c>
      <c r="K76" s="14">
        <v>75290.16</v>
      </c>
      <c r="L76" s="14">
        <v>-1172510.24</v>
      </c>
      <c r="M76" s="14">
        <v>-1009441.57</v>
      </c>
      <c r="N76" s="14">
        <v>163068.67000000001</v>
      </c>
    </row>
    <row r="77" spans="1:14" x14ac:dyDescent="0.25">
      <c r="A77" s="39" t="s">
        <v>36</v>
      </c>
      <c r="B77" s="38">
        <v>1043902.3</v>
      </c>
      <c r="C77" s="38">
        <v>1027230</v>
      </c>
      <c r="D77" s="37">
        <v>-16672.3</v>
      </c>
      <c r="E77" s="37">
        <v>7246888.21</v>
      </c>
      <c r="F77" s="37">
        <v>7690344</v>
      </c>
      <c r="G77" s="37">
        <v>443455.79</v>
      </c>
      <c r="H77" s="37">
        <v>12842011</v>
      </c>
      <c r="I77" s="37">
        <v>1043902.3</v>
      </c>
      <c r="J77" s="37">
        <v>1022301.16</v>
      </c>
      <c r="K77" s="37">
        <v>-21601.14</v>
      </c>
      <c r="L77" s="37">
        <v>7246888.21</v>
      </c>
      <c r="M77" s="37">
        <v>6612271.3300000001</v>
      </c>
      <c r="N77" s="37">
        <v>-634616.88</v>
      </c>
    </row>
    <row r="79" spans="1:14" ht="56.25" x14ac:dyDescent="0.25">
      <c r="A79" s="42" t="s">
        <v>54</v>
      </c>
      <c r="B79" s="41" t="s">
        <v>102</v>
      </c>
      <c r="C79" s="41" t="s">
        <v>101</v>
      </c>
      <c r="D79" s="40" t="s">
        <v>100</v>
      </c>
      <c r="E79" s="40" t="s">
        <v>99</v>
      </c>
      <c r="F79" s="40" t="s">
        <v>98</v>
      </c>
      <c r="G79" s="40" t="s">
        <v>97</v>
      </c>
      <c r="H79" s="40" t="s">
        <v>47</v>
      </c>
      <c r="I79" s="40" t="s">
        <v>96</v>
      </c>
      <c r="J79" s="40" t="s">
        <v>95</v>
      </c>
      <c r="K79" s="40" t="s">
        <v>94</v>
      </c>
      <c r="L79" s="40" t="s">
        <v>93</v>
      </c>
      <c r="M79" s="40" t="s">
        <v>92</v>
      </c>
      <c r="N79" s="40" t="s">
        <v>91</v>
      </c>
    </row>
    <row r="80" spans="1:14" x14ac:dyDescent="0.25">
      <c r="A80" s="39" t="s">
        <v>35</v>
      </c>
      <c r="B80" s="20">
        <v>657589.59</v>
      </c>
      <c r="C80" s="20">
        <v>657833</v>
      </c>
      <c r="D80" s="14">
        <v>243.41</v>
      </c>
      <c r="E80" s="14">
        <v>6096352.6100000003</v>
      </c>
      <c r="F80" s="14">
        <v>5279033</v>
      </c>
      <c r="G80" s="14">
        <v>-817319.61</v>
      </c>
      <c r="H80" s="14">
        <v>7918231</v>
      </c>
      <c r="I80" s="14">
        <v>657589.59</v>
      </c>
      <c r="J80" s="14">
        <v>711165.02</v>
      </c>
      <c r="K80" s="14">
        <v>53575.43</v>
      </c>
      <c r="L80" s="14">
        <v>6096352.6100000003</v>
      </c>
      <c r="M80" s="14">
        <v>5810144.8899999997</v>
      </c>
      <c r="N80" s="14">
        <v>-286207.71999999997</v>
      </c>
    </row>
    <row r="81" spans="1:14" x14ac:dyDescent="0.25">
      <c r="A81" s="39" t="s">
        <v>34</v>
      </c>
      <c r="B81" s="20">
        <v>21600.58</v>
      </c>
      <c r="C81" s="20">
        <v>2929</v>
      </c>
      <c r="D81" s="14">
        <v>-18671.580000000002</v>
      </c>
      <c r="E81" s="14">
        <v>161325.10999999999</v>
      </c>
      <c r="F81" s="14">
        <v>39113</v>
      </c>
      <c r="G81" s="14">
        <v>-122212.11</v>
      </c>
      <c r="H81" s="14">
        <v>64792</v>
      </c>
      <c r="I81" s="14">
        <v>21600.58</v>
      </c>
      <c r="J81" s="14">
        <v>25804.04</v>
      </c>
      <c r="K81" s="14">
        <v>4203.46</v>
      </c>
      <c r="L81" s="14">
        <v>161325.10999999999</v>
      </c>
      <c r="M81" s="14">
        <v>216160.65</v>
      </c>
      <c r="N81" s="14">
        <v>54835.54</v>
      </c>
    </row>
    <row r="82" spans="1:14" x14ac:dyDescent="0.25">
      <c r="A82" s="39" t="s">
        <v>33</v>
      </c>
      <c r="B82" s="20">
        <v>1563.94</v>
      </c>
      <c r="C82" s="20">
        <v>1608</v>
      </c>
      <c r="D82" s="14">
        <v>44.06</v>
      </c>
      <c r="E82" s="14">
        <v>13944.96</v>
      </c>
      <c r="F82" s="14">
        <v>13134</v>
      </c>
      <c r="G82" s="14">
        <v>-810.96</v>
      </c>
      <c r="H82" s="14">
        <v>19907</v>
      </c>
      <c r="I82" s="14">
        <v>1563.94</v>
      </c>
      <c r="J82" s="14">
        <v>1496.16</v>
      </c>
      <c r="K82" s="14">
        <v>-67.78</v>
      </c>
      <c r="L82" s="14">
        <v>13944.96</v>
      </c>
      <c r="M82" s="14">
        <v>11609.1</v>
      </c>
      <c r="N82" s="14">
        <v>-2335.86</v>
      </c>
    </row>
    <row r="83" spans="1:14" x14ac:dyDescent="0.25">
      <c r="A83" s="39" t="s">
        <v>32</v>
      </c>
      <c r="B83" s="20">
        <v>7.97</v>
      </c>
      <c r="C83" s="20">
        <v>56</v>
      </c>
      <c r="D83" s="14">
        <v>48.03</v>
      </c>
      <c r="E83" s="14">
        <v>268.25</v>
      </c>
      <c r="F83" s="14">
        <v>534</v>
      </c>
      <c r="G83" s="14">
        <v>265.75</v>
      </c>
      <c r="H83" s="14">
        <v>760</v>
      </c>
      <c r="I83" s="14">
        <v>7.97</v>
      </c>
      <c r="J83" s="14">
        <v>110.64</v>
      </c>
      <c r="K83" s="14">
        <v>102.67</v>
      </c>
      <c r="L83" s="14">
        <v>268.25</v>
      </c>
      <c r="M83" s="14">
        <v>582.41999999999996</v>
      </c>
      <c r="N83" s="14">
        <v>314.17</v>
      </c>
    </row>
    <row r="84" spans="1:14" x14ac:dyDescent="0.25">
      <c r="A84" s="39" t="s">
        <v>40</v>
      </c>
      <c r="B84" s="20">
        <v>254502.71</v>
      </c>
      <c r="C84" s="20">
        <v>6408</v>
      </c>
      <c r="D84" s="14">
        <v>-248094.71</v>
      </c>
      <c r="E84" s="14">
        <v>748260.38</v>
      </c>
      <c r="F84" s="14">
        <v>551264</v>
      </c>
      <c r="G84" s="14">
        <v>-196996.38</v>
      </c>
      <c r="H84" s="14">
        <v>576896</v>
      </c>
      <c r="I84" s="14">
        <v>254502.71</v>
      </c>
      <c r="J84" s="14">
        <v>255132.81</v>
      </c>
      <c r="K84" s="14">
        <v>630.1</v>
      </c>
      <c r="L84" s="14">
        <v>748260.38</v>
      </c>
      <c r="M84" s="14">
        <v>209121.88</v>
      </c>
      <c r="N84" s="14">
        <v>-539138.5</v>
      </c>
    </row>
    <row r="85" spans="1:14" x14ac:dyDescent="0.25">
      <c r="A85" s="39" t="s">
        <v>39</v>
      </c>
      <c r="B85" s="20">
        <v>233499.63</v>
      </c>
      <c r="C85" s="20">
        <v>295607</v>
      </c>
      <c r="D85" s="14">
        <v>62107.37</v>
      </c>
      <c r="E85" s="14">
        <v>2113559.04</v>
      </c>
      <c r="F85" s="14">
        <v>2368578</v>
      </c>
      <c r="G85" s="14">
        <v>255018.96</v>
      </c>
      <c r="H85" s="14">
        <v>3578252</v>
      </c>
      <c r="I85" s="14">
        <v>233499.63</v>
      </c>
      <c r="J85" s="14">
        <v>294932.71999999997</v>
      </c>
      <c r="K85" s="14">
        <v>61433.09</v>
      </c>
      <c r="L85" s="14">
        <v>2113559.04</v>
      </c>
      <c r="M85" s="14">
        <v>2223677.41</v>
      </c>
      <c r="N85" s="14">
        <v>110118.37</v>
      </c>
    </row>
    <row r="86" spans="1:14" x14ac:dyDescent="0.25">
      <c r="A86" s="39" t="s">
        <v>38</v>
      </c>
      <c r="B86" s="20">
        <v>52748.65</v>
      </c>
      <c r="C86" s="20">
        <v>59416</v>
      </c>
      <c r="D86" s="14">
        <v>6667.35</v>
      </c>
      <c r="E86" s="14">
        <v>507201.17</v>
      </c>
      <c r="F86" s="14">
        <v>488795</v>
      </c>
      <c r="G86" s="14">
        <v>-18406.169999999998</v>
      </c>
      <c r="H86" s="14">
        <v>727973</v>
      </c>
      <c r="I86" s="14">
        <v>52748.65</v>
      </c>
      <c r="J86" s="14">
        <v>54296.58</v>
      </c>
      <c r="K86" s="14">
        <v>1547.93</v>
      </c>
      <c r="L86" s="14">
        <v>507201.17</v>
      </c>
      <c r="M86" s="14">
        <v>493354.52</v>
      </c>
      <c r="N86" s="14">
        <v>-13846.65</v>
      </c>
    </row>
    <row r="87" spans="1:14" x14ac:dyDescent="0.25">
      <c r="A87" s="39" t="s">
        <v>37</v>
      </c>
      <c r="B87" s="20">
        <v>-226825.23</v>
      </c>
      <c r="C87" s="20">
        <v>-3470</v>
      </c>
      <c r="D87" s="14">
        <v>223355.23</v>
      </c>
      <c r="E87" s="14">
        <v>-1399335.47</v>
      </c>
      <c r="F87" s="14">
        <v>-29720</v>
      </c>
      <c r="G87" s="14">
        <v>1369615.47</v>
      </c>
      <c r="H87" s="14">
        <v>-44800</v>
      </c>
      <c r="I87" s="14">
        <v>-226825.23</v>
      </c>
      <c r="J87" s="14">
        <v>-157331.6</v>
      </c>
      <c r="K87" s="14">
        <v>69493.63</v>
      </c>
      <c r="L87" s="14">
        <v>-1399335.47</v>
      </c>
      <c r="M87" s="14">
        <v>-1166773.17</v>
      </c>
      <c r="N87" s="14">
        <v>232562.3</v>
      </c>
    </row>
    <row r="88" spans="1:14" x14ac:dyDescent="0.25">
      <c r="A88" s="39" t="s">
        <v>36</v>
      </c>
      <c r="B88" s="38">
        <v>994687.84</v>
      </c>
      <c r="C88" s="38">
        <v>1020387</v>
      </c>
      <c r="D88" s="37">
        <v>25699.16</v>
      </c>
      <c r="E88" s="37">
        <v>8241576.0499999998</v>
      </c>
      <c r="F88" s="37">
        <v>8710731</v>
      </c>
      <c r="G88" s="37">
        <v>469154.95</v>
      </c>
      <c r="H88" s="37">
        <v>12842011</v>
      </c>
      <c r="I88" s="37">
        <v>994687.84</v>
      </c>
      <c r="J88" s="37">
        <v>1185606.3700000001</v>
      </c>
      <c r="K88" s="37">
        <v>190918.53</v>
      </c>
      <c r="L88" s="37">
        <v>8241576.0499999998</v>
      </c>
      <c r="M88" s="37">
        <v>7797877.7000000002</v>
      </c>
      <c r="N88" s="37">
        <v>-443698.35</v>
      </c>
    </row>
    <row r="90" spans="1:14" ht="56.25" x14ac:dyDescent="0.25">
      <c r="A90" s="42" t="s">
        <v>54</v>
      </c>
      <c r="B90" s="41" t="s">
        <v>90</v>
      </c>
      <c r="C90" s="41" t="s">
        <v>89</v>
      </c>
      <c r="D90" s="40" t="s">
        <v>88</v>
      </c>
      <c r="E90" s="40" t="s">
        <v>87</v>
      </c>
      <c r="F90" s="40" t="s">
        <v>86</v>
      </c>
      <c r="G90" s="40" t="s">
        <v>85</v>
      </c>
      <c r="H90" s="40" t="s">
        <v>47</v>
      </c>
      <c r="I90" s="40" t="s">
        <v>84</v>
      </c>
      <c r="J90" s="40" t="s">
        <v>83</v>
      </c>
      <c r="K90" s="40" t="s">
        <v>82</v>
      </c>
      <c r="L90" s="40" t="s">
        <v>81</v>
      </c>
      <c r="M90" s="40" t="s">
        <v>80</v>
      </c>
      <c r="N90" s="40" t="s">
        <v>79</v>
      </c>
    </row>
    <row r="91" spans="1:14" x14ac:dyDescent="0.25">
      <c r="A91" s="39" t="s">
        <v>35</v>
      </c>
      <c r="B91" s="20">
        <v>747514.45</v>
      </c>
      <c r="C91" s="20">
        <v>660610</v>
      </c>
      <c r="D91" s="14">
        <v>-86904.45</v>
      </c>
      <c r="E91" s="14">
        <v>6843867.0599999996</v>
      </c>
      <c r="F91" s="14">
        <v>5939643</v>
      </c>
      <c r="G91" s="14">
        <v>-904224.06</v>
      </c>
      <c r="H91" s="14">
        <v>7918231</v>
      </c>
      <c r="I91" s="14">
        <v>747514.45</v>
      </c>
      <c r="J91" s="14">
        <v>700229.49</v>
      </c>
      <c r="K91" s="14">
        <v>-47284.959999999999</v>
      </c>
      <c r="L91" s="14">
        <v>6843867.0599999996</v>
      </c>
      <c r="M91" s="14">
        <v>6510374.3799999999</v>
      </c>
      <c r="N91" s="14">
        <v>-333492.68</v>
      </c>
    </row>
    <row r="92" spans="1:14" x14ac:dyDescent="0.25">
      <c r="A92" s="39" t="s">
        <v>34</v>
      </c>
      <c r="B92" s="20">
        <v>36736.5</v>
      </c>
      <c r="C92" s="20">
        <v>4469</v>
      </c>
      <c r="D92" s="14">
        <v>-32267.5</v>
      </c>
      <c r="E92" s="14">
        <v>198061.61</v>
      </c>
      <c r="F92" s="14">
        <v>43582</v>
      </c>
      <c r="G92" s="14">
        <v>-154479.60999999999</v>
      </c>
      <c r="H92" s="14">
        <v>64792</v>
      </c>
      <c r="I92" s="14">
        <v>36736.5</v>
      </c>
      <c r="J92" s="14">
        <v>30958.97</v>
      </c>
      <c r="K92" s="14">
        <v>-5777.53</v>
      </c>
      <c r="L92" s="14">
        <v>198061.61</v>
      </c>
      <c r="M92" s="14">
        <v>247119.62</v>
      </c>
      <c r="N92" s="14">
        <v>49058.01</v>
      </c>
    </row>
    <row r="93" spans="1:14" x14ac:dyDescent="0.25">
      <c r="A93" s="39" t="s">
        <v>33</v>
      </c>
      <c r="B93" s="20">
        <v>1548.51</v>
      </c>
      <c r="C93" s="20">
        <v>1686</v>
      </c>
      <c r="D93" s="14">
        <v>137.49</v>
      </c>
      <c r="E93" s="14">
        <v>15493.47</v>
      </c>
      <c r="F93" s="14">
        <v>14820</v>
      </c>
      <c r="G93" s="14">
        <v>-673.47</v>
      </c>
      <c r="H93" s="14">
        <v>19907</v>
      </c>
      <c r="I93" s="14">
        <v>1548.51</v>
      </c>
      <c r="J93" s="14">
        <v>1431.61</v>
      </c>
      <c r="K93" s="14">
        <v>-116.9</v>
      </c>
      <c r="L93" s="14">
        <v>15493.47</v>
      </c>
      <c r="M93" s="14">
        <v>13040.71</v>
      </c>
      <c r="N93" s="14">
        <v>-2452.7600000000002</v>
      </c>
    </row>
    <row r="94" spans="1:14" x14ac:dyDescent="0.25">
      <c r="A94" s="39" t="s">
        <v>32</v>
      </c>
      <c r="B94" s="20">
        <v>11.23</v>
      </c>
      <c r="C94" s="20">
        <v>58</v>
      </c>
      <c r="D94" s="14">
        <v>46.77</v>
      </c>
      <c r="E94" s="14">
        <v>279.48</v>
      </c>
      <c r="F94" s="14">
        <v>592</v>
      </c>
      <c r="G94" s="14">
        <v>312.52</v>
      </c>
      <c r="H94" s="14">
        <v>760</v>
      </c>
      <c r="I94" s="14">
        <v>11.23</v>
      </c>
      <c r="J94" s="14">
        <v>73.11</v>
      </c>
      <c r="K94" s="14">
        <v>61.88</v>
      </c>
      <c r="L94" s="14">
        <v>279.48</v>
      </c>
      <c r="M94" s="14">
        <v>655.53</v>
      </c>
      <c r="N94" s="14">
        <v>376.05</v>
      </c>
    </row>
    <row r="95" spans="1:14" x14ac:dyDescent="0.25">
      <c r="A95" s="39" t="s">
        <v>40</v>
      </c>
      <c r="B95" s="20">
        <v>80683.789999999994</v>
      </c>
      <c r="C95" s="20">
        <v>6408</v>
      </c>
      <c r="D95" s="14">
        <v>-74275.789999999994</v>
      </c>
      <c r="E95" s="14">
        <v>828944.17</v>
      </c>
      <c r="F95" s="14">
        <v>557672</v>
      </c>
      <c r="G95" s="14">
        <v>-271272.17</v>
      </c>
      <c r="H95" s="14">
        <v>576896</v>
      </c>
      <c r="I95" s="14">
        <v>80683.789999999994</v>
      </c>
      <c r="J95" s="14">
        <v>91070.6</v>
      </c>
      <c r="K95" s="14">
        <v>10386.81</v>
      </c>
      <c r="L95" s="14">
        <v>828944.17</v>
      </c>
      <c r="M95" s="14">
        <v>300192.48</v>
      </c>
      <c r="N95" s="14">
        <v>-528751.68999999994</v>
      </c>
    </row>
    <row r="96" spans="1:14" x14ac:dyDescent="0.25">
      <c r="A96" s="39" t="s">
        <v>39</v>
      </c>
      <c r="B96" s="20">
        <v>363440.41</v>
      </c>
      <c r="C96" s="20">
        <v>296994</v>
      </c>
      <c r="D96" s="14">
        <v>-66446.41</v>
      </c>
      <c r="E96" s="14">
        <v>2476999.4500000002</v>
      </c>
      <c r="F96" s="14">
        <v>2665572</v>
      </c>
      <c r="G96" s="14">
        <v>188572.55</v>
      </c>
      <c r="H96" s="14">
        <v>3578252</v>
      </c>
      <c r="I96" s="14">
        <v>363440.41</v>
      </c>
      <c r="J96" s="14">
        <v>271598.8</v>
      </c>
      <c r="K96" s="14">
        <v>-91841.61</v>
      </c>
      <c r="L96" s="14">
        <v>2476999.4500000002</v>
      </c>
      <c r="M96" s="14">
        <v>2495276.21</v>
      </c>
      <c r="N96" s="14">
        <v>18276.759999999998</v>
      </c>
    </row>
    <row r="97" spans="1:14" x14ac:dyDescent="0.25">
      <c r="A97" s="39" t="s">
        <v>38</v>
      </c>
      <c r="B97" s="20">
        <v>54075.47</v>
      </c>
      <c r="C97" s="20">
        <v>59717</v>
      </c>
      <c r="D97" s="14">
        <v>5641.53</v>
      </c>
      <c r="E97" s="14">
        <v>561276.64</v>
      </c>
      <c r="F97" s="14">
        <v>548512</v>
      </c>
      <c r="G97" s="14">
        <v>-12764.64</v>
      </c>
      <c r="H97" s="14">
        <v>727973</v>
      </c>
      <c r="I97" s="14">
        <v>54075.47</v>
      </c>
      <c r="J97" s="14">
        <v>49354.48</v>
      </c>
      <c r="K97" s="14">
        <v>-4720.99</v>
      </c>
      <c r="L97" s="14">
        <v>561276.64</v>
      </c>
      <c r="M97" s="14">
        <v>542709</v>
      </c>
      <c r="N97" s="14">
        <v>-18567.64</v>
      </c>
    </row>
    <row r="98" spans="1:14" x14ac:dyDescent="0.25">
      <c r="A98" s="39" t="s">
        <v>37</v>
      </c>
      <c r="B98" s="20">
        <v>-248326.97</v>
      </c>
      <c r="C98" s="20">
        <v>-3720</v>
      </c>
      <c r="D98" s="14">
        <v>244606.97</v>
      </c>
      <c r="E98" s="14">
        <v>-1647662.44</v>
      </c>
      <c r="F98" s="14">
        <v>-33440</v>
      </c>
      <c r="G98" s="14">
        <v>1614222.44</v>
      </c>
      <c r="H98" s="14">
        <v>-44800</v>
      </c>
      <c r="I98" s="14">
        <v>-248326.97</v>
      </c>
      <c r="J98" s="14">
        <v>-173217.41</v>
      </c>
      <c r="K98" s="14">
        <v>75109.56</v>
      </c>
      <c r="L98" s="14">
        <v>-1647662.44</v>
      </c>
      <c r="M98" s="14">
        <v>-1339990.58</v>
      </c>
      <c r="N98" s="14">
        <v>307671.86</v>
      </c>
    </row>
    <row r="99" spans="1:14" x14ac:dyDescent="0.25">
      <c r="A99" s="39" t="s">
        <v>36</v>
      </c>
      <c r="B99" s="38">
        <v>1035683.39</v>
      </c>
      <c r="C99" s="38">
        <v>1026222</v>
      </c>
      <c r="D99" s="37">
        <v>-9461.39</v>
      </c>
      <c r="E99" s="37">
        <v>9277259.4399999995</v>
      </c>
      <c r="F99" s="37">
        <v>9736953</v>
      </c>
      <c r="G99" s="37">
        <v>459693.56</v>
      </c>
      <c r="H99" s="37">
        <v>12842011</v>
      </c>
      <c r="I99" s="37">
        <v>1035683.39</v>
      </c>
      <c r="J99" s="37">
        <v>971499.65</v>
      </c>
      <c r="K99" s="37">
        <v>-64183.74</v>
      </c>
      <c r="L99" s="37">
        <v>9277259.4399999995</v>
      </c>
      <c r="M99" s="37">
        <v>8769377.3499999996</v>
      </c>
      <c r="N99" s="37">
        <v>-507882.09</v>
      </c>
    </row>
    <row r="101" spans="1:14" ht="56.25" x14ac:dyDescent="0.25">
      <c r="A101" s="42" t="s">
        <v>54</v>
      </c>
      <c r="B101" s="41" t="s">
        <v>78</v>
      </c>
      <c r="C101" s="41" t="s">
        <v>77</v>
      </c>
      <c r="D101" s="40" t="s">
        <v>76</v>
      </c>
      <c r="E101" s="40" t="s">
        <v>75</v>
      </c>
      <c r="F101" s="40" t="s">
        <v>74</v>
      </c>
      <c r="G101" s="40" t="s">
        <v>73</v>
      </c>
      <c r="H101" s="40" t="s">
        <v>47</v>
      </c>
      <c r="I101" s="40" t="s">
        <v>72</v>
      </c>
      <c r="J101" s="40" t="s">
        <v>71</v>
      </c>
      <c r="K101" s="40" t="s">
        <v>70</v>
      </c>
      <c r="L101" s="40" t="s">
        <v>69</v>
      </c>
      <c r="M101" s="40" t="s">
        <v>68</v>
      </c>
      <c r="N101" s="40" t="s">
        <v>67</v>
      </c>
    </row>
    <row r="102" spans="1:14" x14ac:dyDescent="0.25">
      <c r="A102" s="39" t="s">
        <v>35</v>
      </c>
      <c r="B102" s="20">
        <v>790673.22</v>
      </c>
      <c r="C102" s="20">
        <v>660615</v>
      </c>
      <c r="D102" s="14">
        <v>-130058.22</v>
      </c>
      <c r="E102" s="14">
        <v>7634540.2800000003</v>
      </c>
      <c r="F102" s="14">
        <v>6600258</v>
      </c>
      <c r="G102" s="14">
        <v>-1034282.28</v>
      </c>
      <c r="H102" s="14">
        <v>7918231</v>
      </c>
      <c r="I102" s="14">
        <v>790673.22</v>
      </c>
      <c r="J102" s="14">
        <v>765947.23</v>
      </c>
      <c r="K102" s="14">
        <v>-24725.99</v>
      </c>
      <c r="L102" s="14">
        <v>7634540.2800000003</v>
      </c>
      <c r="M102" s="14">
        <v>7276321.6100000003</v>
      </c>
      <c r="N102" s="14">
        <v>-358218.67</v>
      </c>
    </row>
    <row r="103" spans="1:14" x14ac:dyDescent="0.25">
      <c r="A103" s="39" t="s">
        <v>34</v>
      </c>
      <c r="B103" s="20">
        <v>27953.279999999999</v>
      </c>
      <c r="C103" s="20">
        <v>5112</v>
      </c>
      <c r="D103" s="14">
        <v>-22841.279999999999</v>
      </c>
      <c r="E103" s="14">
        <v>226014.89</v>
      </c>
      <c r="F103" s="14">
        <v>48694</v>
      </c>
      <c r="G103" s="14">
        <v>-177320.89</v>
      </c>
      <c r="H103" s="14">
        <v>64792</v>
      </c>
      <c r="I103" s="14">
        <v>27953.279999999999</v>
      </c>
      <c r="J103" s="14">
        <v>44353.82</v>
      </c>
      <c r="K103" s="14">
        <v>16400.54</v>
      </c>
      <c r="L103" s="14">
        <v>226014.89</v>
      </c>
      <c r="M103" s="14">
        <v>291473.44</v>
      </c>
      <c r="N103" s="14">
        <v>65458.55</v>
      </c>
    </row>
    <row r="104" spans="1:14" x14ac:dyDescent="0.25">
      <c r="A104" s="39" t="s">
        <v>33</v>
      </c>
      <c r="B104" s="20">
        <v>1560</v>
      </c>
      <c r="C104" s="20">
        <v>1688</v>
      </c>
      <c r="D104" s="14">
        <v>128</v>
      </c>
      <c r="E104" s="14">
        <v>17053.47</v>
      </c>
      <c r="F104" s="14">
        <v>16508</v>
      </c>
      <c r="G104" s="14">
        <v>-545.47</v>
      </c>
      <c r="H104" s="14">
        <v>19907</v>
      </c>
      <c r="I104" s="14">
        <v>1560</v>
      </c>
      <c r="J104" s="14">
        <v>1539.2</v>
      </c>
      <c r="K104" s="14">
        <v>-20.8</v>
      </c>
      <c r="L104" s="14">
        <v>17053.47</v>
      </c>
      <c r="M104" s="14">
        <v>14579.91</v>
      </c>
      <c r="N104" s="14">
        <v>-2473.56</v>
      </c>
    </row>
    <row r="105" spans="1:14" x14ac:dyDescent="0.25">
      <c r="A105" s="39" t="s">
        <v>32</v>
      </c>
      <c r="B105" s="20">
        <v>9.4700000000000006</v>
      </c>
      <c r="C105" s="20">
        <v>66</v>
      </c>
      <c r="D105" s="14">
        <v>56.53</v>
      </c>
      <c r="E105" s="14">
        <v>288.95</v>
      </c>
      <c r="F105" s="14">
        <v>658</v>
      </c>
      <c r="G105" s="14">
        <v>369.05</v>
      </c>
      <c r="H105" s="14">
        <v>760</v>
      </c>
      <c r="I105" s="14">
        <v>9.4700000000000006</v>
      </c>
      <c r="J105" s="14">
        <v>90.92</v>
      </c>
      <c r="K105" s="14">
        <v>81.45</v>
      </c>
      <c r="L105" s="14">
        <v>288.95</v>
      </c>
      <c r="M105" s="14">
        <v>746.45</v>
      </c>
      <c r="N105" s="14">
        <v>457.5</v>
      </c>
    </row>
    <row r="106" spans="1:14" x14ac:dyDescent="0.25">
      <c r="A106" s="39" t="s">
        <v>40</v>
      </c>
      <c r="B106" s="20">
        <v>79256.84</v>
      </c>
      <c r="C106" s="20">
        <v>6408</v>
      </c>
      <c r="D106" s="14">
        <v>-72848.84</v>
      </c>
      <c r="E106" s="14">
        <v>908201.01</v>
      </c>
      <c r="F106" s="14">
        <v>564080</v>
      </c>
      <c r="G106" s="14">
        <v>-344121.01</v>
      </c>
      <c r="H106" s="14">
        <v>576896</v>
      </c>
      <c r="I106" s="14">
        <v>79256.84</v>
      </c>
      <c r="J106" s="14">
        <v>90834.87</v>
      </c>
      <c r="K106" s="14">
        <v>11578.03</v>
      </c>
      <c r="L106" s="14">
        <v>908201.01</v>
      </c>
      <c r="M106" s="14">
        <v>391027.35</v>
      </c>
      <c r="N106" s="14">
        <v>-517173.66</v>
      </c>
    </row>
    <row r="107" spans="1:14" x14ac:dyDescent="0.25">
      <c r="A107" s="39" t="s">
        <v>39</v>
      </c>
      <c r="B107" s="20">
        <v>250092.53</v>
      </c>
      <c r="C107" s="20">
        <v>317025</v>
      </c>
      <c r="D107" s="14">
        <v>66932.47</v>
      </c>
      <c r="E107" s="14">
        <v>2727091.98</v>
      </c>
      <c r="F107" s="14">
        <v>2982597</v>
      </c>
      <c r="G107" s="14">
        <v>255505.02</v>
      </c>
      <c r="H107" s="14">
        <v>3578252</v>
      </c>
      <c r="I107" s="14">
        <v>250092.53</v>
      </c>
      <c r="J107" s="14">
        <v>296198.39</v>
      </c>
      <c r="K107" s="14">
        <v>46105.86</v>
      </c>
      <c r="L107" s="14">
        <v>2727091.98</v>
      </c>
      <c r="M107" s="14">
        <v>2791474.6</v>
      </c>
      <c r="N107" s="14">
        <v>64382.62</v>
      </c>
    </row>
    <row r="108" spans="1:14" x14ac:dyDescent="0.25">
      <c r="A108" s="39" t="s">
        <v>38</v>
      </c>
      <c r="B108" s="20">
        <v>52310.01</v>
      </c>
      <c r="C108" s="20">
        <v>59741</v>
      </c>
      <c r="D108" s="14">
        <v>7430.99</v>
      </c>
      <c r="E108" s="14">
        <v>613586.65</v>
      </c>
      <c r="F108" s="14">
        <v>608253</v>
      </c>
      <c r="G108" s="14">
        <v>-5333.65</v>
      </c>
      <c r="H108" s="14">
        <v>727973</v>
      </c>
      <c r="I108" s="14">
        <v>52310.01</v>
      </c>
      <c r="J108" s="14">
        <v>56412.42</v>
      </c>
      <c r="K108" s="14">
        <v>4102.41</v>
      </c>
      <c r="L108" s="14">
        <v>613586.65</v>
      </c>
      <c r="M108" s="14">
        <v>599121.42000000004</v>
      </c>
      <c r="N108" s="14">
        <v>-14465.23</v>
      </c>
    </row>
    <row r="109" spans="1:14" x14ac:dyDescent="0.25">
      <c r="A109" s="39" t="s">
        <v>37</v>
      </c>
      <c r="B109" s="20">
        <v>-210757.53</v>
      </c>
      <c r="C109" s="20">
        <v>-3720</v>
      </c>
      <c r="D109" s="14">
        <v>207037.53</v>
      </c>
      <c r="E109" s="14">
        <v>-1858419.97</v>
      </c>
      <c r="F109" s="14">
        <v>-37160</v>
      </c>
      <c r="G109" s="14">
        <v>1821259.97</v>
      </c>
      <c r="H109" s="14">
        <v>-44800</v>
      </c>
      <c r="I109" s="14">
        <v>-210757.53</v>
      </c>
      <c r="J109" s="14">
        <v>-199209.04</v>
      </c>
      <c r="K109" s="14">
        <v>11548.49</v>
      </c>
      <c r="L109" s="14">
        <v>-1858419.97</v>
      </c>
      <c r="M109" s="14">
        <v>-1539199.62</v>
      </c>
      <c r="N109" s="14">
        <v>319220.34999999998</v>
      </c>
    </row>
    <row r="110" spans="1:14" x14ac:dyDescent="0.25">
      <c r="A110" s="39" t="s">
        <v>36</v>
      </c>
      <c r="B110" s="38">
        <v>991097.82</v>
      </c>
      <c r="C110" s="38">
        <v>1046935</v>
      </c>
      <c r="D110" s="37">
        <v>55837.18</v>
      </c>
      <c r="E110" s="37">
        <v>10268357.26</v>
      </c>
      <c r="F110" s="37">
        <v>10783888</v>
      </c>
      <c r="G110" s="37">
        <v>515530.74</v>
      </c>
      <c r="H110" s="37">
        <v>12842011</v>
      </c>
      <c r="I110" s="37">
        <v>991097.82</v>
      </c>
      <c r="J110" s="37">
        <v>1056167.81</v>
      </c>
      <c r="K110" s="37">
        <v>65069.99</v>
      </c>
      <c r="L110" s="37">
        <v>10268357.26</v>
      </c>
      <c r="M110" s="37">
        <v>9825545.1600000001</v>
      </c>
      <c r="N110" s="37">
        <v>-442812.1</v>
      </c>
    </row>
    <row r="112" spans="1:14" ht="56.25" x14ac:dyDescent="0.25">
      <c r="A112" s="42" t="s">
        <v>54</v>
      </c>
      <c r="B112" s="41" t="s">
        <v>66</v>
      </c>
      <c r="C112" s="41" t="s">
        <v>65</v>
      </c>
      <c r="D112" s="40" t="s">
        <v>64</v>
      </c>
      <c r="E112" s="40" t="s">
        <v>63</v>
      </c>
      <c r="F112" s="40" t="s">
        <v>62</v>
      </c>
      <c r="G112" s="40" t="s">
        <v>61</v>
      </c>
      <c r="H112" s="40" t="s">
        <v>47</v>
      </c>
      <c r="I112" s="40" t="s">
        <v>60</v>
      </c>
      <c r="J112" s="40" t="s">
        <v>59</v>
      </c>
      <c r="K112" s="40" t="s">
        <v>58</v>
      </c>
      <c r="L112" s="40" t="s">
        <v>57</v>
      </c>
      <c r="M112" s="40" t="s">
        <v>56</v>
      </c>
      <c r="N112" s="40" t="s">
        <v>55</v>
      </c>
    </row>
    <row r="113" spans="1:14" x14ac:dyDescent="0.25">
      <c r="A113" s="39" t="s">
        <v>35</v>
      </c>
      <c r="B113" s="20">
        <v>737868.57</v>
      </c>
      <c r="C113" s="20">
        <v>657780</v>
      </c>
      <c r="D113" s="14">
        <v>-80088.570000000007</v>
      </c>
      <c r="E113" s="14">
        <v>8372408.8499999996</v>
      </c>
      <c r="F113" s="14">
        <v>7258038</v>
      </c>
      <c r="G113" s="14">
        <v>-1114370.8500000001</v>
      </c>
      <c r="H113" s="14">
        <v>7918231</v>
      </c>
      <c r="I113" s="14">
        <v>737868.57</v>
      </c>
      <c r="J113" s="14">
        <v>701736.74</v>
      </c>
      <c r="K113" s="14">
        <v>-36131.83</v>
      </c>
      <c r="L113" s="14">
        <v>8372408.8499999996</v>
      </c>
      <c r="M113" s="14">
        <v>7978058.3499999996</v>
      </c>
      <c r="N113" s="14">
        <v>-394350.5</v>
      </c>
    </row>
    <row r="114" spans="1:14" x14ac:dyDescent="0.25">
      <c r="A114" s="39" t="s">
        <v>34</v>
      </c>
      <c r="B114" s="20">
        <v>15676.62</v>
      </c>
      <c r="C114" s="20">
        <v>7852</v>
      </c>
      <c r="D114" s="14">
        <v>-7824.62</v>
      </c>
      <c r="E114" s="14">
        <v>241691.51</v>
      </c>
      <c r="F114" s="14">
        <v>56546</v>
      </c>
      <c r="G114" s="14">
        <v>-185145.51</v>
      </c>
      <c r="H114" s="14">
        <v>64792</v>
      </c>
      <c r="I114" s="14">
        <v>15676.62</v>
      </c>
      <c r="J114" s="14">
        <v>39319.14</v>
      </c>
      <c r="K114" s="14">
        <v>23642.52</v>
      </c>
      <c r="L114" s="14">
        <v>241691.51</v>
      </c>
      <c r="M114" s="14">
        <v>330792.58</v>
      </c>
      <c r="N114" s="14">
        <v>89101.07</v>
      </c>
    </row>
    <row r="115" spans="1:14" x14ac:dyDescent="0.25">
      <c r="A115" s="39" t="s">
        <v>33</v>
      </c>
      <c r="B115" s="20">
        <v>1437.28</v>
      </c>
      <c r="C115" s="20">
        <v>1622</v>
      </c>
      <c r="D115" s="14">
        <v>184.72</v>
      </c>
      <c r="E115" s="14">
        <v>18490.75</v>
      </c>
      <c r="F115" s="14">
        <v>18130</v>
      </c>
      <c r="G115" s="14">
        <v>-360.75</v>
      </c>
      <c r="H115" s="14">
        <v>19907</v>
      </c>
      <c r="I115" s="14">
        <v>1437.28</v>
      </c>
      <c r="J115" s="14">
        <v>1509.82</v>
      </c>
      <c r="K115" s="14">
        <v>72.540000000000006</v>
      </c>
      <c r="L115" s="14">
        <v>18490.75</v>
      </c>
      <c r="M115" s="14">
        <v>16089.73</v>
      </c>
      <c r="N115" s="14">
        <v>-2401.02</v>
      </c>
    </row>
    <row r="116" spans="1:14" x14ac:dyDescent="0.25">
      <c r="A116" s="39" t="s">
        <v>32</v>
      </c>
      <c r="B116" s="20">
        <v>131.25</v>
      </c>
      <c r="C116" s="20">
        <v>63</v>
      </c>
      <c r="D116" s="14">
        <v>-68.25</v>
      </c>
      <c r="E116" s="14">
        <v>420.2</v>
      </c>
      <c r="F116" s="14">
        <v>721</v>
      </c>
      <c r="G116" s="14">
        <v>300.8</v>
      </c>
      <c r="H116" s="14">
        <v>760</v>
      </c>
      <c r="I116" s="14">
        <v>131.25</v>
      </c>
      <c r="J116" s="14">
        <v>89.55</v>
      </c>
      <c r="K116" s="14">
        <v>-41.7</v>
      </c>
      <c r="L116" s="14">
        <v>420.2</v>
      </c>
      <c r="M116" s="14">
        <v>836</v>
      </c>
      <c r="N116" s="14">
        <v>415.8</v>
      </c>
    </row>
    <row r="117" spans="1:14" x14ac:dyDescent="0.25">
      <c r="A117" s="39" t="s">
        <v>40</v>
      </c>
      <c r="B117" s="20">
        <v>78666.25</v>
      </c>
      <c r="C117" s="20">
        <v>6408</v>
      </c>
      <c r="D117" s="14">
        <v>-72258.25</v>
      </c>
      <c r="E117" s="14">
        <v>986867.26</v>
      </c>
      <c r="F117" s="14">
        <v>570488</v>
      </c>
      <c r="G117" s="14">
        <v>-416379.26</v>
      </c>
      <c r="H117" s="14">
        <v>576896</v>
      </c>
      <c r="I117" s="14">
        <v>78666.25</v>
      </c>
      <c r="J117" s="14">
        <v>91452.87</v>
      </c>
      <c r="K117" s="14">
        <v>12786.62</v>
      </c>
      <c r="L117" s="14">
        <v>986867.26</v>
      </c>
      <c r="M117" s="14">
        <v>482480.22</v>
      </c>
      <c r="N117" s="14">
        <v>-504387.04</v>
      </c>
    </row>
    <row r="118" spans="1:14" x14ac:dyDescent="0.25">
      <c r="A118" s="39" t="s">
        <v>39</v>
      </c>
      <c r="B118" s="20">
        <v>193246.55</v>
      </c>
      <c r="C118" s="20">
        <v>295597</v>
      </c>
      <c r="D118" s="14">
        <v>102350.45</v>
      </c>
      <c r="E118" s="14">
        <v>2920338.53</v>
      </c>
      <c r="F118" s="14">
        <v>3278194</v>
      </c>
      <c r="G118" s="14">
        <v>357855.47</v>
      </c>
      <c r="H118" s="14">
        <v>3578252</v>
      </c>
      <c r="I118" s="14">
        <v>193246.55</v>
      </c>
      <c r="J118" s="14">
        <v>134086.71</v>
      </c>
      <c r="K118" s="14">
        <v>-59159.839999999997</v>
      </c>
      <c r="L118" s="14">
        <v>2920338.53</v>
      </c>
      <c r="M118" s="14">
        <v>2925561.31</v>
      </c>
      <c r="N118" s="14">
        <v>5222.78</v>
      </c>
    </row>
    <row r="119" spans="1:14" x14ac:dyDescent="0.25">
      <c r="A119" s="39" t="s">
        <v>38</v>
      </c>
      <c r="B119" s="20">
        <v>40902.94</v>
      </c>
      <c r="C119" s="20">
        <v>59733</v>
      </c>
      <c r="D119" s="14">
        <v>18830.060000000001</v>
      </c>
      <c r="E119" s="14">
        <v>654489.59</v>
      </c>
      <c r="F119" s="14">
        <v>667986</v>
      </c>
      <c r="G119" s="14">
        <v>13496.41</v>
      </c>
      <c r="H119" s="14">
        <v>727973</v>
      </c>
      <c r="I119" s="14">
        <v>40902.94</v>
      </c>
      <c r="J119" s="14">
        <v>51522.05</v>
      </c>
      <c r="K119" s="14">
        <v>10619.11</v>
      </c>
      <c r="L119" s="14">
        <v>654489.59</v>
      </c>
      <c r="M119" s="14">
        <v>650643.47</v>
      </c>
      <c r="N119" s="14">
        <v>-3846.12</v>
      </c>
    </row>
    <row r="120" spans="1:14" x14ac:dyDescent="0.25">
      <c r="A120" s="39" t="s">
        <v>37</v>
      </c>
      <c r="B120" s="20">
        <v>-174728.1</v>
      </c>
      <c r="C120" s="20">
        <v>-3740</v>
      </c>
      <c r="D120" s="14">
        <v>170988.1</v>
      </c>
      <c r="E120" s="14">
        <v>-2033148.07</v>
      </c>
      <c r="F120" s="14">
        <v>-40900</v>
      </c>
      <c r="G120" s="14">
        <v>1992248.07</v>
      </c>
      <c r="H120" s="14">
        <v>-44800</v>
      </c>
      <c r="I120" s="14">
        <v>-174728.1</v>
      </c>
      <c r="J120" s="14">
        <v>-162342.63</v>
      </c>
      <c r="K120" s="14">
        <v>12385.47</v>
      </c>
      <c r="L120" s="14">
        <v>-2033148.07</v>
      </c>
      <c r="M120" s="14">
        <v>-1701542.25</v>
      </c>
      <c r="N120" s="14">
        <v>331605.82</v>
      </c>
    </row>
    <row r="121" spans="1:14" x14ac:dyDescent="0.25">
      <c r="A121" s="39" t="s">
        <v>36</v>
      </c>
      <c r="B121" s="38">
        <v>893201.36</v>
      </c>
      <c r="C121" s="38">
        <v>1025315</v>
      </c>
      <c r="D121" s="37">
        <v>132113.64000000001</v>
      </c>
      <c r="E121" s="37">
        <v>11161558.619999999</v>
      </c>
      <c r="F121" s="37">
        <v>11809203</v>
      </c>
      <c r="G121" s="37">
        <v>647644.38</v>
      </c>
      <c r="H121" s="37">
        <v>12842011</v>
      </c>
      <c r="I121" s="37">
        <v>893201.36</v>
      </c>
      <c r="J121" s="37">
        <v>857374.25</v>
      </c>
      <c r="K121" s="37">
        <v>-35827.11</v>
      </c>
      <c r="L121" s="37">
        <v>11161558.619999999</v>
      </c>
      <c r="M121" s="37">
        <v>10682919.41</v>
      </c>
      <c r="N121" s="37">
        <v>-478639.21</v>
      </c>
    </row>
    <row r="123" spans="1:14" ht="56.25" x14ac:dyDescent="0.25">
      <c r="A123" s="42" t="s">
        <v>54</v>
      </c>
      <c r="B123" s="41" t="s">
        <v>53</v>
      </c>
      <c r="C123" s="41" t="s">
        <v>52</v>
      </c>
      <c r="D123" s="40" t="s">
        <v>51</v>
      </c>
      <c r="E123" s="40" t="s">
        <v>50</v>
      </c>
      <c r="F123" s="40" t="s">
        <v>49</v>
      </c>
      <c r="G123" s="40" t="s">
        <v>48</v>
      </c>
      <c r="H123" s="40" t="s">
        <v>47</v>
      </c>
      <c r="I123" s="40" t="s">
        <v>46</v>
      </c>
      <c r="J123" s="40" t="s">
        <v>45</v>
      </c>
      <c r="K123" s="40" t="s">
        <v>44</v>
      </c>
      <c r="L123" s="40" t="s">
        <v>43</v>
      </c>
      <c r="M123" s="40" t="s">
        <v>42</v>
      </c>
      <c r="N123" s="40" t="s">
        <v>41</v>
      </c>
    </row>
    <row r="124" spans="1:14" x14ac:dyDescent="0.25">
      <c r="A124" s="39" t="s">
        <v>35</v>
      </c>
      <c r="B124" s="20">
        <v>737153.74</v>
      </c>
      <c r="C124" s="20">
        <v>660193</v>
      </c>
      <c r="D124" s="14">
        <v>-76960.740000000005</v>
      </c>
      <c r="E124" s="14">
        <v>9109562.5899999999</v>
      </c>
      <c r="F124" s="14">
        <v>7918231</v>
      </c>
      <c r="G124" s="14">
        <v>-1191331.5900000001</v>
      </c>
      <c r="H124" s="14">
        <v>7918231</v>
      </c>
      <c r="I124" s="14">
        <v>737153.74</v>
      </c>
      <c r="J124" s="14">
        <v>574378.09</v>
      </c>
      <c r="K124" s="14">
        <v>-162775.65</v>
      </c>
      <c r="L124" s="14">
        <v>9109562.5899999999</v>
      </c>
      <c r="M124" s="14">
        <v>8552436.4399999995</v>
      </c>
      <c r="N124" s="14">
        <v>-557126.15</v>
      </c>
    </row>
    <row r="125" spans="1:14" x14ac:dyDescent="0.25">
      <c r="A125" s="39" t="s">
        <v>34</v>
      </c>
      <c r="B125" s="20">
        <v>30457.54</v>
      </c>
      <c r="C125" s="20">
        <v>8246</v>
      </c>
      <c r="D125" s="14">
        <v>-22211.54</v>
      </c>
      <c r="E125" s="14">
        <v>272149.05</v>
      </c>
      <c r="F125" s="14">
        <v>64792</v>
      </c>
      <c r="G125" s="14">
        <v>-207357.05</v>
      </c>
      <c r="H125" s="14">
        <v>64792</v>
      </c>
      <c r="I125" s="14">
        <v>30457.54</v>
      </c>
      <c r="J125" s="14">
        <v>17087.75</v>
      </c>
      <c r="K125" s="14">
        <v>-13369.79</v>
      </c>
      <c r="L125" s="14">
        <v>272149.05</v>
      </c>
      <c r="M125" s="14">
        <v>347880.33</v>
      </c>
      <c r="N125" s="14">
        <v>75731.28</v>
      </c>
    </row>
    <row r="126" spans="1:14" x14ac:dyDescent="0.25">
      <c r="A126" s="39" t="s">
        <v>33</v>
      </c>
      <c r="B126" s="20">
        <v>1677.29</v>
      </c>
      <c r="C126" s="20">
        <v>1777</v>
      </c>
      <c r="D126" s="14">
        <v>99.71</v>
      </c>
      <c r="E126" s="14">
        <v>20168.04</v>
      </c>
      <c r="F126" s="14">
        <v>19907</v>
      </c>
      <c r="G126" s="14">
        <v>-261.04000000000002</v>
      </c>
      <c r="H126" s="14">
        <v>19907</v>
      </c>
      <c r="I126" s="14">
        <v>1677.29</v>
      </c>
      <c r="J126" s="14">
        <v>1527.12</v>
      </c>
      <c r="K126" s="14">
        <v>-150.16999999999999</v>
      </c>
      <c r="L126" s="14">
        <v>20168.04</v>
      </c>
      <c r="M126" s="14">
        <v>17616.849999999999</v>
      </c>
      <c r="N126" s="14">
        <v>-2551.19</v>
      </c>
    </row>
    <row r="127" spans="1:14" x14ac:dyDescent="0.25">
      <c r="A127" s="39" t="s">
        <v>32</v>
      </c>
      <c r="B127" s="20">
        <v>21.94</v>
      </c>
      <c r="C127" s="20">
        <v>39</v>
      </c>
      <c r="D127" s="14">
        <v>17.059999999999999</v>
      </c>
      <c r="E127" s="14">
        <v>442.14</v>
      </c>
      <c r="F127" s="14">
        <v>760</v>
      </c>
      <c r="G127" s="14">
        <v>317.86</v>
      </c>
      <c r="H127" s="14">
        <v>760</v>
      </c>
      <c r="I127" s="14">
        <v>21.94</v>
      </c>
      <c r="J127" s="14">
        <v>87.82</v>
      </c>
      <c r="K127" s="14">
        <v>65.88</v>
      </c>
      <c r="L127" s="14">
        <v>442.14</v>
      </c>
      <c r="M127" s="14">
        <v>923.82</v>
      </c>
      <c r="N127" s="14">
        <v>481.68</v>
      </c>
    </row>
    <row r="128" spans="1:14" x14ac:dyDescent="0.25">
      <c r="A128" s="39" t="s">
        <v>40</v>
      </c>
      <c r="B128" s="20">
        <v>141711.76999999999</v>
      </c>
      <c r="C128" s="20">
        <v>6408</v>
      </c>
      <c r="D128" s="14">
        <v>-135303.76999999999</v>
      </c>
      <c r="E128" s="14">
        <v>1128579.03</v>
      </c>
      <c r="F128" s="14">
        <v>576896</v>
      </c>
      <c r="G128" s="14">
        <v>-551683.03</v>
      </c>
      <c r="H128" s="14">
        <v>576896</v>
      </c>
      <c r="I128" s="14">
        <v>141711.76999999999</v>
      </c>
      <c r="J128" s="14">
        <v>114242.11</v>
      </c>
      <c r="K128" s="14">
        <v>-27469.66</v>
      </c>
      <c r="L128" s="14">
        <v>1128579.03</v>
      </c>
      <c r="M128" s="14">
        <v>596722.32999999996</v>
      </c>
      <c r="N128" s="14">
        <v>-531856.69999999995</v>
      </c>
    </row>
    <row r="129" spans="1:14" x14ac:dyDescent="0.25">
      <c r="A129" s="39" t="s">
        <v>39</v>
      </c>
      <c r="B129" s="20">
        <v>388808.94</v>
      </c>
      <c r="C129" s="20">
        <v>300058</v>
      </c>
      <c r="D129" s="14">
        <v>-88750.94</v>
      </c>
      <c r="E129" s="14">
        <v>3309147.47</v>
      </c>
      <c r="F129" s="14">
        <v>3578252</v>
      </c>
      <c r="G129" s="14">
        <v>269104.53000000003</v>
      </c>
      <c r="H129" s="14">
        <v>3578252</v>
      </c>
      <c r="I129" s="14">
        <v>388808.94</v>
      </c>
      <c r="J129" s="14">
        <v>290171.28999999998</v>
      </c>
      <c r="K129" s="14">
        <v>-98637.65</v>
      </c>
      <c r="L129" s="14">
        <v>3309147.47</v>
      </c>
      <c r="M129" s="14">
        <v>3215732.6</v>
      </c>
      <c r="N129" s="14">
        <v>-93414.87</v>
      </c>
    </row>
    <row r="130" spans="1:14" x14ac:dyDescent="0.25">
      <c r="A130" s="39" t="s">
        <v>38</v>
      </c>
      <c r="B130" s="20">
        <v>51991.15</v>
      </c>
      <c r="C130" s="20">
        <v>59987</v>
      </c>
      <c r="D130" s="14">
        <v>7995.85</v>
      </c>
      <c r="E130" s="14">
        <v>706480.74</v>
      </c>
      <c r="F130" s="14">
        <v>727973</v>
      </c>
      <c r="G130" s="14">
        <v>21492.26</v>
      </c>
      <c r="H130" s="14">
        <v>727973</v>
      </c>
      <c r="I130" s="14">
        <v>51991.15</v>
      </c>
      <c r="J130" s="14">
        <v>60369.34</v>
      </c>
      <c r="K130" s="14">
        <v>8378.19</v>
      </c>
      <c r="L130" s="14">
        <v>706480.74</v>
      </c>
      <c r="M130" s="14">
        <v>711012.81</v>
      </c>
      <c r="N130" s="14">
        <v>4532.07</v>
      </c>
    </row>
    <row r="131" spans="1:14" x14ac:dyDescent="0.25">
      <c r="A131" s="39" t="s">
        <v>37</v>
      </c>
      <c r="B131" s="20">
        <v>-147262.73000000001</v>
      </c>
      <c r="C131" s="20">
        <v>-3900</v>
      </c>
      <c r="D131" s="14">
        <v>143362.73000000001</v>
      </c>
      <c r="E131" s="14">
        <v>-2180410.7999999998</v>
      </c>
      <c r="F131" s="14">
        <v>-44800</v>
      </c>
      <c r="G131" s="14">
        <v>2135610.7999999998</v>
      </c>
      <c r="H131" s="14">
        <v>-44800</v>
      </c>
      <c r="I131" s="14">
        <v>-147262.73000000001</v>
      </c>
      <c r="J131" s="14">
        <v>-117582.37</v>
      </c>
      <c r="K131" s="14">
        <v>29680.36</v>
      </c>
      <c r="L131" s="14">
        <v>-2180410.7999999998</v>
      </c>
      <c r="M131" s="14">
        <v>-1819124.62</v>
      </c>
      <c r="N131" s="14">
        <v>361286.18</v>
      </c>
    </row>
    <row r="132" spans="1:14" x14ac:dyDescent="0.25">
      <c r="A132" s="39" t="s">
        <v>36</v>
      </c>
      <c r="B132" s="38">
        <v>1204559.6399999999</v>
      </c>
      <c r="C132" s="38">
        <v>1032808</v>
      </c>
      <c r="D132" s="37">
        <v>-171751.64</v>
      </c>
      <c r="E132" s="37">
        <v>12366118.26</v>
      </c>
      <c r="F132" s="37">
        <v>12842011</v>
      </c>
      <c r="G132" s="37">
        <v>475892.74</v>
      </c>
      <c r="H132" s="37">
        <v>12842011</v>
      </c>
      <c r="I132" s="37">
        <v>1204559.6399999999</v>
      </c>
      <c r="J132" s="37">
        <v>940281.15</v>
      </c>
      <c r="K132" s="37">
        <v>-264278.49</v>
      </c>
      <c r="L132" s="37">
        <v>12366118.26</v>
      </c>
      <c r="M132" s="37">
        <v>11623200.560000001</v>
      </c>
      <c r="N132" s="37">
        <v>-742917.7</v>
      </c>
    </row>
    <row r="134" spans="1:14" x14ac:dyDescent="0.25">
      <c r="A134" t="s">
        <v>35</v>
      </c>
      <c r="B134" s="36">
        <f>SUMIF(A3:A127,A3,B3:B127)</f>
        <v>9109562.5899999999</v>
      </c>
      <c r="C134" s="36">
        <f>SUMIF(A3:A127,A3,C3:C127)</f>
        <v>7918231</v>
      </c>
    </row>
    <row r="135" spans="1:14" x14ac:dyDescent="0.25">
      <c r="A135" t="s">
        <v>34</v>
      </c>
      <c r="B135" s="36">
        <f>SUMIF(A4:A128,A4,B4:B128)</f>
        <v>272149.05</v>
      </c>
      <c r="C135" s="36">
        <f>SUMIF(A4:A128,A4,C4:C128)</f>
        <v>64792</v>
      </c>
    </row>
    <row r="136" spans="1:14" x14ac:dyDescent="0.25">
      <c r="A136" t="s">
        <v>33</v>
      </c>
      <c r="B136" s="36">
        <f>SUMIF(A5:A129,A5,B5:B129)</f>
        <v>20168.04</v>
      </c>
      <c r="C136" s="36">
        <f>SUMIF(A5:A129,A5,C5:C129)</f>
        <v>19907</v>
      </c>
    </row>
    <row r="137" spans="1:14" x14ac:dyDescent="0.25">
      <c r="A137" t="s">
        <v>32</v>
      </c>
      <c r="B137" s="36">
        <f>SUMIF(A6:A130,A6,B6:B130)</f>
        <v>442.1400000000001</v>
      </c>
      <c r="C137" s="36">
        <f>SUMIF(A6:A130,A6,C6:C130)</f>
        <v>760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33"/>
  <sheetViews>
    <sheetView workbookViewId="0">
      <selection activeCell="F27" sqref="F27"/>
    </sheetView>
  </sheetViews>
  <sheetFormatPr defaultRowHeight="12.75" x14ac:dyDescent="0.2"/>
  <cols>
    <col min="1" max="1" width="10.140625" style="50" bestFit="1" customWidth="1"/>
    <col min="2" max="2" width="17" style="50" customWidth="1"/>
    <col min="3" max="3" width="10.42578125" style="50" customWidth="1"/>
    <col min="4" max="4" width="10.140625" style="50" customWidth="1"/>
    <col min="5" max="6" width="9.140625" style="50"/>
    <col min="7" max="7" width="10.140625" style="50" bestFit="1" customWidth="1"/>
    <col min="8" max="16384" width="9.140625" style="50"/>
  </cols>
  <sheetData>
    <row r="1" spans="1:7" x14ac:dyDescent="0.2">
      <c r="A1" s="151" t="s">
        <v>686</v>
      </c>
    </row>
    <row r="3" spans="1:7" x14ac:dyDescent="0.2">
      <c r="B3" s="525" t="s">
        <v>363</v>
      </c>
      <c r="C3" s="525"/>
      <c r="D3" s="525"/>
    </row>
    <row r="5" spans="1:7" x14ac:dyDescent="0.2">
      <c r="B5" s="51" t="s">
        <v>364</v>
      </c>
      <c r="C5" s="51" t="s">
        <v>365</v>
      </c>
      <c r="D5" s="51" t="s">
        <v>334</v>
      </c>
      <c r="E5" s="51"/>
      <c r="G5" s="52"/>
    </row>
    <row r="7" spans="1:7" x14ac:dyDescent="0.2">
      <c r="A7" s="53"/>
      <c r="B7" s="51"/>
    </row>
    <row r="8" spans="1:7" x14ac:dyDescent="0.2">
      <c r="A8" s="53">
        <v>43115</v>
      </c>
      <c r="B8" s="51">
        <v>149</v>
      </c>
      <c r="C8" s="51">
        <v>4</v>
      </c>
      <c r="D8" s="54">
        <f>B8-C8</f>
        <v>145</v>
      </c>
      <c r="G8" s="55"/>
    </row>
    <row r="9" spans="1:7" x14ac:dyDescent="0.2">
      <c r="A9" s="53">
        <v>43131</v>
      </c>
      <c r="B9" s="51">
        <v>150</v>
      </c>
      <c r="C9" s="107">
        <v>4</v>
      </c>
      <c r="D9" s="106">
        <f>B9-C9</f>
        <v>146</v>
      </c>
      <c r="G9" s="55"/>
    </row>
    <row r="10" spans="1:7" hidden="1" x14ac:dyDescent="0.2">
      <c r="A10" s="53">
        <v>43146</v>
      </c>
      <c r="B10" s="51">
        <v>150</v>
      </c>
      <c r="C10" s="51">
        <v>4</v>
      </c>
      <c r="D10" s="54">
        <f t="shared" ref="D10:D31" si="0">B10-C10</f>
        <v>146</v>
      </c>
      <c r="G10" s="55"/>
    </row>
    <row r="11" spans="1:7" x14ac:dyDescent="0.2">
      <c r="A11" s="53">
        <v>43159</v>
      </c>
      <c r="B11" s="51">
        <v>150</v>
      </c>
      <c r="C11" s="107">
        <v>4</v>
      </c>
      <c r="D11" s="106">
        <f t="shared" si="0"/>
        <v>146</v>
      </c>
      <c r="G11" s="55"/>
    </row>
    <row r="12" spans="1:7" hidden="1" x14ac:dyDescent="0.2">
      <c r="A12" s="53">
        <v>43174</v>
      </c>
      <c r="B12" s="51">
        <v>150</v>
      </c>
      <c r="C12" s="51">
        <v>4</v>
      </c>
      <c r="D12" s="54">
        <f t="shared" si="0"/>
        <v>146</v>
      </c>
      <c r="G12" s="55"/>
    </row>
    <row r="13" spans="1:7" x14ac:dyDescent="0.2">
      <c r="A13" s="53">
        <v>43190</v>
      </c>
      <c r="B13" s="51">
        <v>151</v>
      </c>
      <c r="C13" s="107">
        <v>5</v>
      </c>
      <c r="D13" s="106">
        <f t="shared" si="0"/>
        <v>146</v>
      </c>
      <c r="G13" s="55"/>
    </row>
    <row r="14" spans="1:7" hidden="1" x14ac:dyDescent="0.2">
      <c r="A14" s="53">
        <v>43205</v>
      </c>
      <c r="B14" s="51">
        <v>150</v>
      </c>
      <c r="C14" s="51">
        <v>5</v>
      </c>
      <c r="D14" s="54">
        <f t="shared" si="0"/>
        <v>145</v>
      </c>
      <c r="G14" s="55"/>
    </row>
    <row r="15" spans="1:7" x14ac:dyDescent="0.2">
      <c r="A15" s="53">
        <v>43220</v>
      </c>
      <c r="B15" s="51">
        <v>150</v>
      </c>
      <c r="C15" s="107">
        <v>5</v>
      </c>
      <c r="D15" s="106">
        <f t="shared" si="0"/>
        <v>145</v>
      </c>
      <c r="G15" s="55"/>
    </row>
    <row r="16" spans="1:7" hidden="1" x14ac:dyDescent="0.2">
      <c r="A16" s="53">
        <v>43235</v>
      </c>
      <c r="B16" s="51">
        <v>151</v>
      </c>
      <c r="C16" s="51">
        <v>5</v>
      </c>
      <c r="D16" s="54">
        <f t="shared" si="0"/>
        <v>146</v>
      </c>
      <c r="G16" s="55"/>
    </row>
    <row r="17" spans="1:7" x14ac:dyDescent="0.2">
      <c r="A17" s="53">
        <v>43251</v>
      </c>
      <c r="B17" s="51">
        <v>152</v>
      </c>
      <c r="C17" s="107">
        <v>5</v>
      </c>
      <c r="D17" s="106">
        <f t="shared" si="0"/>
        <v>147</v>
      </c>
      <c r="G17" s="55"/>
    </row>
    <row r="18" spans="1:7" hidden="1" x14ac:dyDescent="0.2">
      <c r="A18" s="53">
        <v>43266</v>
      </c>
      <c r="B18" s="51">
        <v>157</v>
      </c>
      <c r="C18" s="51">
        <v>13</v>
      </c>
      <c r="D18" s="54">
        <f t="shared" si="0"/>
        <v>144</v>
      </c>
      <c r="G18" s="55"/>
    </row>
    <row r="19" spans="1:7" x14ac:dyDescent="0.2">
      <c r="A19" s="53">
        <v>43281</v>
      </c>
      <c r="B19" s="51">
        <v>161</v>
      </c>
      <c r="C19" s="107">
        <v>16</v>
      </c>
      <c r="D19" s="106">
        <f t="shared" si="0"/>
        <v>145</v>
      </c>
      <c r="G19" s="55"/>
    </row>
    <row r="20" spans="1:7" hidden="1" x14ac:dyDescent="0.2">
      <c r="A20" s="53">
        <v>43296</v>
      </c>
      <c r="B20" s="51">
        <v>160</v>
      </c>
      <c r="C20" s="51">
        <v>15</v>
      </c>
      <c r="D20" s="54">
        <f t="shared" si="0"/>
        <v>145</v>
      </c>
      <c r="G20" s="55"/>
    </row>
    <row r="21" spans="1:7" x14ac:dyDescent="0.2">
      <c r="A21" s="53">
        <v>43312</v>
      </c>
      <c r="B21" s="51">
        <v>159</v>
      </c>
      <c r="C21" s="107">
        <v>15</v>
      </c>
      <c r="D21" s="106">
        <f t="shared" si="0"/>
        <v>144</v>
      </c>
      <c r="G21" s="55"/>
    </row>
    <row r="22" spans="1:7" hidden="1" x14ac:dyDescent="0.2">
      <c r="A22" s="53">
        <v>43327</v>
      </c>
      <c r="B22" s="51">
        <v>162</v>
      </c>
      <c r="C22" s="51">
        <v>16</v>
      </c>
      <c r="D22" s="54">
        <f t="shared" si="0"/>
        <v>146</v>
      </c>
      <c r="G22" s="55"/>
    </row>
    <row r="23" spans="1:7" x14ac:dyDescent="0.2">
      <c r="A23" s="53">
        <v>43343</v>
      </c>
      <c r="B23" s="51">
        <v>159</v>
      </c>
      <c r="C23" s="107">
        <v>14</v>
      </c>
      <c r="D23" s="106">
        <f t="shared" si="0"/>
        <v>145</v>
      </c>
      <c r="G23" s="55"/>
    </row>
    <row r="24" spans="1:7" hidden="1" x14ac:dyDescent="0.2">
      <c r="A24" s="53">
        <v>43358</v>
      </c>
      <c r="B24" s="51">
        <v>158</v>
      </c>
      <c r="C24" s="51">
        <v>13</v>
      </c>
      <c r="D24" s="54">
        <f t="shared" si="0"/>
        <v>145</v>
      </c>
      <c r="G24" s="55"/>
    </row>
    <row r="25" spans="1:7" x14ac:dyDescent="0.2">
      <c r="A25" s="53">
        <v>43373</v>
      </c>
      <c r="B25" s="51">
        <v>156</v>
      </c>
      <c r="C25" s="107">
        <v>11</v>
      </c>
      <c r="D25" s="106">
        <f t="shared" si="0"/>
        <v>145</v>
      </c>
      <c r="G25" s="55"/>
    </row>
    <row r="26" spans="1:7" hidden="1" x14ac:dyDescent="0.2">
      <c r="A26" s="53">
        <v>43388</v>
      </c>
      <c r="B26" s="51">
        <v>151</v>
      </c>
      <c r="C26" s="51">
        <v>10</v>
      </c>
      <c r="D26" s="54">
        <f t="shared" si="0"/>
        <v>141</v>
      </c>
      <c r="G26" s="55"/>
    </row>
    <row r="27" spans="1:7" x14ac:dyDescent="0.2">
      <c r="A27" s="53">
        <v>43404</v>
      </c>
      <c r="B27" s="51">
        <v>154</v>
      </c>
      <c r="C27" s="107">
        <v>12</v>
      </c>
      <c r="D27" s="106">
        <f t="shared" si="0"/>
        <v>142</v>
      </c>
      <c r="G27" s="55"/>
    </row>
    <row r="28" spans="1:7" hidden="1" x14ac:dyDescent="0.2">
      <c r="A28" s="53">
        <v>43419</v>
      </c>
      <c r="B28" s="51">
        <v>152</v>
      </c>
      <c r="C28" s="51">
        <v>9</v>
      </c>
      <c r="D28" s="54">
        <f t="shared" si="0"/>
        <v>143</v>
      </c>
      <c r="G28" s="55"/>
    </row>
    <row r="29" spans="1:7" x14ac:dyDescent="0.2">
      <c r="A29" s="53">
        <v>43434</v>
      </c>
      <c r="B29" s="51">
        <v>150</v>
      </c>
      <c r="C29" s="107">
        <v>9</v>
      </c>
      <c r="D29" s="106">
        <f t="shared" si="0"/>
        <v>141</v>
      </c>
      <c r="G29" s="55"/>
    </row>
    <row r="30" spans="1:7" hidden="1" x14ac:dyDescent="0.2">
      <c r="A30" s="53">
        <v>43449</v>
      </c>
      <c r="B30" s="51">
        <v>150</v>
      </c>
      <c r="C30" s="51">
        <v>8</v>
      </c>
      <c r="D30" s="54">
        <f t="shared" si="0"/>
        <v>142</v>
      </c>
      <c r="G30" s="55"/>
    </row>
    <row r="31" spans="1:7" x14ac:dyDescent="0.2">
      <c r="A31" s="53">
        <v>43465</v>
      </c>
      <c r="B31" s="51">
        <v>148</v>
      </c>
      <c r="C31" s="107">
        <v>6</v>
      </c>
      <c r="D31" s="106">
        <f t="shared" si="0"/>
        <v>142</v>
      </c>
      <c r="G31" s="55"/>
    </row>
    <row r="32" spans="1:7" x14ac:dyDescent="0.2">
      <c r="G32" s="55"/>
    </row>
    <row r="33" spans="1:7" x14ac:dyDescent="0.2">
      <c r="A33" s="50" t="s">
        <v>366</v>
      </c>
      <c r="B33" s="56">
        <f>SUM(B8:B31)/24</f>
        <v>153.33333333333334</v>
      </c>
      <c r="C33" s="56">
        <f>SUM(C8:C31)/24</f>
        <v>8.8333333333333339</v>
      </c>
      <c r="D33" s="56">
        <f>SUM(D8:D31)/24</f>
        <v>144.5</v>
      </c>
      <c r="G33" s="55"/>
    </row>
  </sheetData>
  <autoFilter ref="A8:G31">
    <filterColumn colId="2">
      <colorFilter dxfId="2" cellColor="0"/>
    </filterColumn>
  </autoFilter>
  <mergeCells count="1">
    <mergeCell ref="B3:D3"/>
  </mergeCells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7"/>
  <sheetViews>
    <sheetView topLeftCell="A5" workbookViewId="0">
      <pane xSplit="2" ySplit="7" topLeftCell="C12" activePane="bottomRight" state="frozen"/>
      <selection activeCell="A5" sqref="A5"/>
      <selection pane="topRight" activeCell="C5" sqref="C5"/>
      <selection pane="bottomLeft" activeCell="A12" sqref="A12"/>
      <selection pane="bottomRight" activeCell="B42" sqref="A2:Y42"/>
    </sheetView>
  </sheetViews>
  <sheetFormatPr defaultRowHeight="15" outlineLevelCol="1" x14ac:dyDescent="0.25"/>
  <cols>
    <col min="1" max="1" width="9.140625" style="24"/>
    <col min="2" max="2" width="15.85546875" style="24" bestFit="1" customWidth="1"/>
    <col min="3" max="6" width="11.85546875" style="24" customWidth="1"/>
    <col min="7" max="7" width="11.42578125" style="24" hidden="1" customWidth="1" outlineLevel="1"/>
    <col min="8" max="8" width="10" style="24" hidden="1" customWidth="1" outlineLevel="1"/>
    <col min="9" max="9" width="13.140625" style="24" hidden="1" customWidth="1" outlineLevel="1"/>
    <col min="10" max="10" width="12" style="24" hidden="1" customWidth="1" outlineLevel="1"/>
    <col min="11" max="11" width="13.28515625" style="24" hidden="1" customWidth="1" outlineLevel="1"/>
    <col min="12" max="12" width="11.5703125" style="24" hidden="1" customWidth="1" outlineLevel="1"/>
    <col min="13" max="16" width="13.28515625" style="24" hidden="1" customWidth="1" outlineLevel="1"/>
    <col min="17" max="17" width="13.28515625" style="24" customWidth="1" collapsed="1"/>
    <col min="18" max="19" width="13.28515625" style="24" customWidth="1"/>
    <col min="20" max="20" width="13.28515625" style="24" bestFit="1" customWidth="1"/>
    <col min="21" max="21" width="11.5703125" style="24" bestFit="1" customWidth="1"/>
    <col min="22" max="22" width="13.28515625" style="24" bestFit="1" customWidth="1"/>
    <col min="23" max="26" width="9.140625" style="24"/>
    <col min="27" max="27" width="11.28515625" style="24" customWidth="1"/>
    <col min="28" max="16384" width="9.140625" style="24"/>
  </cols>
  <sheetData>
    <row r="1" spans="1:28" x14ac:dyDescent="0.25">
      <c r="A1" s="21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3" t="s">
        <v>13</v>
      </c>
    </row>
    <row r="2" spans="1:28" x14ac:dyDescent="0.25">
      <c r="A2" s="488" t="s">
        <v>10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90"/>
    </row>
    <row r="3" spans="1:28" x14ac:dyDescent="0.25">
      <c r="A3" s="488" t="s">
        <v>11</v>
      </c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90"/>
    </row>
    <row r="4" spans="1:28" x14ac:dyDescent="0.25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7"/>
    </row>
    <row r="5" spans="1:28" x14ac:dyDescent="0.25">
      <c r="A5" s="488" t="s">
        <v>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90"/>
    </row>
    <row r="6" spans="1:28" x14ac:dyDescent="0.25">
      <c r="A6" s="488" t="s">
        <v>31</v>
      </c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90"/>
    </row>
    <row r="7" spans="1:28" x14ac:dyDescent="0.25">
      <c r="A7" s="28"/>
      <c r="B7" s="29"/>
      <c r="C7" s="29"/>
      <c r="D7" s="29"/>
      <c r="E7" s="29"/>
      <c r="F7" s="29"/>
      <c r="G7" s="223"/>
      <c r="H7" s="223"/>
      <c r="I7" s="223"/>
      <c r="J7" s="223"/>
      <c r="K7" s="29"/>
      <c r="L7" s="29"/>
      <c r="M7" s="29"/>
      <c r="N7" s="223"/>
      <c r="O7" s="223"/>
      <c r="P7" s="223"/>
      <c r="Q7" s="223"/>
      <c r="R7" s="223"/>
      <c r="S7" s="223"/>
      <c r="T7" s="29"/>
      <c r="U7" s="29"/>
      <c r="V7" s="29"/>
      <c r="W7" s="29"/>
      <c r="X7" s="29"/>
      <c r="Y7" s="30"/>
    </row>
    <row r="8" spans="1:28" x14ac:dyDescent="0.25">
      <c r="A8" s="25" t="s">
        <v>14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7"/>
    </row>
    <row r="9" spans="1:28" x14ac:dyDescent="0.25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7"/>
    </row>
    <row r="10" spans="1:28" ht="45" customHeight="1" x14ac:dyDescent="0.25">
      <c r="A10" s="491" t="s">
        <v>0</v>
      </c>
      <c r="B10" s="493" t="s">
        <v>1</v>
      </c>
      <c r="C10" s="497" t="s">
        <v>692</v>
      </c>
      <c r="D10" s="497"/>
      <c r="E10" s="497" t="s">
        <v>691</v>
      </c>
      <c r="F10" s="497"/>
      <c r="G10" s="498" t="s">
        <v>744</v>
      </c>
      <c r="H10" s="499"/>
      <c r="I10" s="499"/>
      <c r="J10" s="499"/>
      <c r="K10" s="499"/>
      <c r="L10" s="499"/>
      <c r="M10" s="500"/>
      <c r="N10" s="479" t="s">
        <v>820</v>
      </c>
      <c r="O10" s="479"/>
      <c r="P10" s="479"/>
      <c r="Q10" s="480" t="s">
        <v>7</v>
      </c>
      <c r="R10" s="480"/>
      <c r="S10" s="480"/>
      <c r="T10" s="480" t="s">
        <v>1178</v>
      </c>
      <c r="U10" s="480"/>
      <c r="V10" s="480"/>
      <c r="W10" s="493" t="s">
        <v>9</v>
      </c>
      <c r="X10" s="493"/>
      <c r="Y10" s="501"/>
    </row>
    <row r="11" spans="1:28" ht="15.75" thickBot="1" x14ac:dyDescent="0.3">
      <c r="A11" s="492"/>
      <c r="B11" s="494"/>
      <c r="C11" s="31" t="s">
        <v>2</v>
      </c>
      <c r="D11" s="31" t="s">
        <v>1173</v>
      </c>
      <c r="E11" s="31" t="s">
        <v>2</v>
      </c>
      <c r="F11" s="31" t="s">
        <v>1173</v>
      </c>
      <c r="G11" s="178" t="s">
        <v>715</v>
      </c>
      <c r="H11" s="178" t="s">
        <v>716</v>
      </c>
      <c r="I11" s="178" t="s">
        <v>718</v>
      </c>
      <c r="J11" s="178" t="s">
        <v>717</v>
      </c>
      <c r="K11" s="31" t="s">
        <v>4</v>
      </c>
      <c r="L11" s="31" t="s">
        <v>5</v>
      </c>
      <c r="M11" s="31" t="s">
        <v>6</v>
      </c>
      <c r="N11" s="178" t="s">
        <v>715</v>
      </c>
      <c r="O11" s="178" t="s">
        <v>716</v>
      </c>
      <c r="P11" s="178" t="s">
        <v>6</v>
      </c>
      <c r="Q11" s="178" t="s">
        <v>4</v>
      </c>
      <c r="R11" s="178" t="s">
        <v>5</v>
      </c>
      <c r="S11" s="178" t="s">
        <v>6</v>
      </c>
      <c r="T11" s="270" t="s">
        <v>4</v>
      </c>
      <c r="U11" s="270" t="s">
        <v>5</v>
      </c>
      <c r="V11" s="270" t="s">
        <v>6</v>
      </c>
      <c r="W11" s="31" t="s">
        <v>1174</v>
      </c>
      <c r="X11" s="31" t="s">
        <v>1175</v>
      </c>
      <c r="Y11" s="32" t="s">
        <v>6</v>
      </c>
      <c r="AA11" s="170"/>
      <c r="AB11" s="170"/>
    </row>
    <row r="12" spans="1:28" x14ac:dyDescent="0.25">
      <c r="A12" s="24" t="s">
        <v>15</v>
      </c>
      <c r="B12" s="24" t="s">
        <v>27</v>
      </c>
      <c r="C12" s="179">
        <f>'2019 Budgeted HC'!$X$12</f>
        <v>156</v>
      </c>
      <c r="D12" s="159">
        <f>'2019 Actual HC'!$D$5+9</f>
        <v>153</v>
      </c>
      <c r="E12" s="159"/>
      <c r="F12" s="159"/>
      <c r="G12" s="254">
        <f>'Budget 2019'!$V$29*1</f>
        <v>261119.6636</v>
      </c>
      <c r="H12" s="180">
        <f>'Budget 2019'!$V$9*1</f>
        <v>9040.36</v>
      </c>
      <c r="I12" s="237">
        <f>'BW-PKY-2019'!$V$4/25*1</f>
        <v>24347.200000000001</v>
      </c>
      <c r="J12" s="375">
        <f>'BW-PKY-2019'!$V$23/25*1</f>
        <v>2469.6</v>
      </c>
      <c r="K12" s="33">
        <f>G12+I12</f>
        <v>285466.86359999998</v>
      </c>
      <c r="L12" s="33">
        <f>H12+J12</f>
        <v>11509.960000000001</v>
      </c>
      <c r="M12" s="229">
        <f>K12+L12</f>
        <v>296976.8236</v>
      </c>
      <c r="N12" s="180">
        <f>'Budget 2019'!$V$22*1</f>
        <v>50684.76</v>
      </c>
      <c r="O12" s="180">
        <f>'Budget 2019'!$AA$9*1</f>
        <v>1991.24</v>
      </c>
      <c r="P12" s="180">
        <f>N12+O12</f>
        <v>52676</v>
      </c>
      <c r="Q12" s="242">
        <f>K12+N12</f>
        <v>336151.62359999999</v>
      </c>
      <c r="R12" s="180">
        <f>L12+O12</f>
        <v>13501.2</v>
      </c>
      <c r="S12" s="229">
        <f>Q12+R12</f>
        <v>349652.8236</v>
      </c>
      <c r="T12" s="33">
        <f>301589.53-2094+3035.25-259.2</f>
        <v>302271.58</v>
      </c>
      <c r="U12" s="33">
        <v>34312.04</v>
      </c>
      <c r="V12" s="180">
        <f>T12+U12</f>
        <v>336583.62</v>
      </c>
      <c r="W12" s="459">
        <f>(T12-Q12)/Q12</f>
        <v>-0.10078798143874257</v>
      </c>
      <c r="X12" s="15">
        <f>(U12-R12)/R12</f>
        <v>1.5414066897757235</v>
      </c>
      <c r="Y12" s="262">
        <f>(V12-S12)/S12</f>
        <v>-3.7377657830531555E-2</v>
      </c>
      <c r="AA12" s="172"/>
      <c r="AB12" s="170"/>
    </row>
    <row r="13" spans="1:28" x14ac:dyDescent="0.25">
      <c r="A13" s="24" t="s">
        <v>15</v>
      </c>
      <c r="B13" s="24" t="s">
        <v>28</v>
      </c>
      <c r="C13" s="159"/>
      <c r="D13" s="159"/>
      <c r="E13" s="136">
        <f>'Budget07012018 DoNotUseFor2019'!$V$15</f>
        <v>18</v>
      </c>
      <c r="F13" s="159">
        <v>3</v>
      </c>
      <c r="G13" s="255">
        <f>'Budget 2019'!$V$13*1</f>
        <v>5600</v>
      </c>
      <c r="H13" s="180"/>
      <c r="I13" s="237"/>
      <c r="J13" s="375"/>
      <c r="K13" s="33">
        <f>G13+I13</f>
        <v>5600</v>
      </c>
      <c r="L13" s="33">
        <f>H13+J13</f>
        <v>0</v>
      </c>
      <c r="M13" s="230">
        <f>K13+L13</f>
        <v>5600</v>
      </c>
      <c r="N13" s="180"/>
      <c r="O13" s="180"/>
      <c r="P13" s="180"/>
      <c r="Q13" s="243">
        <f t="shared" ref="Q13:Q35" si="0">K13+N13</f>
        <v>5600</v>
      </c>
      <c r="R13" s="180">
        <f t="shared" ref="R13:R35" si="1">L13+O13</f>
        <v>0</v>
      </c>
      <c r="S13" s="230">
        <f t="shared" ref="S13:S35" si="2">Q13+R13</f>
        <v>5600</v>
      </c>
      <c r="T13" s="33">
        <v>2094</v>
      </c>
      <c r="U13" s="33">
        <v>0</v>
      </c>
      <c r="V13" s="180">
        <f t="shared" ref="V13:V35" si="3">T13+U13</f>
        <v>2094</v>
      </c>
      <c r="W13" s="460">
        <f t="shared" ref="W13:W35" si="4">(T13-Q13)/Q13</f>
        <v>-0.62607142857142861</v>
      </c>
      <c r="X13" s="401">
        <v>0</v>
      </c>
      <c r="Y13" s="263">
        <f t="shared" ref="Y13:Y37" si="5">(V13-S13)/S13</f>
        <v>-0.62607142857142861</v>
      </c>
      <c r="AA13" s="170"/>
      <c r="AB13" s="170"/>
    </row>
    <row r="14" spans="1:28" x14ac:dyDescent="0.25">
      <c r="A14" s="24" t="s">
        <v>16</v>
      </c>
      <c r="B14" s="24" t="s">
        <v>27</v>
      </c>
      <c r="C14" s="179">
        <f>'2019 Budgeted HC'!$X$12</f>
        <v>156</v>
      </c>
      <c r="D14" s="159">
        <f>'2019 Actual HC'!$D$7+9</f>
        <v>154</v>
      </c>
      <c r="E14" s="137"/>
      <c r="F14" s="159"/>
      <c r="G14" s="255">
        <f>'Budget 2019'!$V$29*2</f>
        <v>522239.3272</v>
      </c>
      <c r="H14" s="180">
        <f>'Budget 2019'!$V$9*2</f>
        <v>18080.72</v>
      </c>
      <c r="I14" s="237">
        <f>'BW-PKY-2019'!$V$4/25*2</f>
        <v>48694.400000000001</v>
      </c>
      <c r="J14" s="375">
        <f>'BW-PKY-2019'!$V$23/25*2</f>
        <v>4939.2</v>
      </c>
      <c r="K14" s="33">
        <f t="shared" ref="K14:K35" si="6">G14+I14</f>
        <v>570933.72719999996</v>
      </c>
      <c r="L14" s="33">
        <f t="shared" ref="L14:L35" si="7">H14+J14</f>
        <v>23019.920000000002</v>
      </c>
      <c r="M14" s="230">
        <f t="shared" ref="M14:M34" si="8">K14+L14</f>
        <v>593953.64720000001</v>
      </c>
      <c r="N14" s="180">
        <f>'Budget 2019'!$V$22*2</f>
        <v>101369.52</v>
      </c>
      <c r="O14" s="180">
        <f>'Budget 2019'!$AA$9*2</f>
        <v>3982.48</v>
      </c>
      <c r="P14" s="180">
        <f t="shared" ref="P14:P34" si="9">N14+O14</f>
        <v>105352</v>
      </c>
      <c r="Q14" s="243">
        <f t="shared" si="0"/>
        <v>672303.24719999998</v>
      </c>
      <c r="R14" s="180">
        <f t="shared" si="1"/>
        <v>27002.400000000001</v>
      </c>
      <c r="S14" s="230">
        <f t="shared" si="2"/>
        <v>699305.64720000001</v>
      </c>
      <c r="T14" s="33">
        <f>608901.66-2034+7183.91-518.4</f>
        <v>613533.17000000004</v>
      </c>
      <c r="U14" s="33">
        <v>48523.3</v>
      </c>
      <c r="V14" s="180">
        <f t="shared" si="3"/>
        <v>662056.47000000009</v>
      </c>
      <c r="W14" s="460">
        <f t="shared" si="4"/>
        <v>-8.7416024606105674E-2</v>
      </c>
      <c r="X14" s="401">
        <f t="shared" ref="X14:X37" si="10">(U14-R14)/R14</f>
        <v>0.79699952596806212</v>
      </c>
      <c r="Y14" s="263">
        <f t="shared" si="5"/>
        <v>-5.3265946513008394E-2</v>
      </c>
      <c r="AA14" s="170"/>
      <c r="AB14" s="170"/>
    </row>
    <row r="15" spans="1:28" x14ac:dyDescent="0.25">
      <c r="A15" s="24" t="s">
        <v>16</v>
      </c>
      <c r="B15" s="24" t="s">
        <v>28</v>
      </c>
      <c r="C15" s="159"/>
      <c r="D15" s="159"/>
      <c r="E15" s="136">
        <f>'Budget07012018 DoNotUseFor2019'!$V$15</f>
        <v>18</v>
      </c>
      <c r="F15" s="159">
        <v>3</v>
      </c>
      <c r="G15" s="255">
        <f>'Budget 2019'!$V$13*2</f>
        <v>11200</v>
      </c>
      <c r="H15" s="180"/>
      <c r="I15" s="237"/>
      <c r="J15" s="375"/>
      <c r="K15" s="33">
        <f t="shared" si="6"/>
        <v>11200</v>
      </c>
      <c r="L15" s="33">
        <f t="shared" si="7"/>
        <v>0</v>
      </c>
      <c r="M15" s="230">
        <f t="shared" si="8"/>
        <v>11200</v>
      </c>
      <c r="N15" s="180"/>
      <c r="O15" s="180"/>
      <c r="P15" s="180"/>
      <c r="Q15" s="243">
        <f t="shared" si="0"/>
        <v>11200</v>
      </c>
      <c r="R15" s="180">
        <f t="shared" si="1"/>
        <v>0</v>
      </c>
      <c r="S15" s="230">
        <f t="shared" si="2"/>
        <v>11200</v>
      </c>
      <c r="T15" s="33">
        <f>1314+720</f>
        <v>2034</v>
      </c>
      <c r="U15" s="33">
        <v>0</v>
      </c>
      <c r="V15" s="180">
        <f t="shared" si="3"/>
        <v>2034</v>
      </c>
      <c r="W15" s="460">
        <f t="shared" si="4"/>
        <v>-0.81839285714285714</v>
      </c>
      <c r="X15" s="401">
        <v>0</v>
      </c>
      <c r="Y15" s="263">
        <f t="shared" si="5"/>
        <v>-0.81839285714285714</v>
      </c>
      <c r="AA15" s="171"/>
      <c r="AB15" s="171"/>
    </row>
    <row r="16" spans="1:28" x14ac:dyDescent="0.25">
      <c r="A16" s="24" t="s">
        <v>17</v>
      </c>
      <c r="B16" s="24" t="s">
        <v>27</v>
      </c>
      <c r="C16" s="179">
        <f>'2019 Budgeted HC'!$X$12</f>
        <v>156</v>
      </c>
      <c r="D16" s="159">
        <f>'2019 Actual HC'!$D$10+9</f>
        <v>157</v>
      </c>
      <c r="E16" s="137"/>
      <c r="F16" s="159"/>
      <c r="G16" s="255">
        <f>'Budget 2019'!$V$29*3</f>
        <v>783358.99080000003</v>
      </c>
      <c r="H16" s="180">
        <f>'Budget 2019'!$V$9*3</f>
        <v>27121.08</v>
      </c>
      <c r="I16" s="237">
        <f>'BW-PKY-2019'!$V$4/25*3</f>
        <v>73041.600000000006</v>
      </c>
      <c r="J16" s="375">
        <f>'BW-PKY-2019'!$V$23/25*3</f>
        <v>7408.7999999999993</v>
      </c>
      <c r="K16" s="33">
        <f t="shared" si="6"/>
        <v>856400.59080000001</v>
      </c>
      <c r="L16" s="33">
        <f t="shared" si="7"/>
        <v>34529.880000000005</v>
      </c>
      <c r="M16" s="230">
        <f t="shared" si="8"/>
        <v>890930.47080000001</v>
      </c>
      <c r="N16" s="180">
        <f>'Budget 2019'!$V$22*3</f>
        <v>152054.28</v>
      </c>
      <c r="O16" s="180">
        <f>'Budget 2019'!$AA$9*3</f>
        <v>5973.72</v>
      </c>
      <c r="P16" s="180">
        <f t="shared" si="9"/>
        <v>158028</v>
      </c>
      <c r="Q16" s="243">
        <f t="shared" si="0"/>
        <v>1008454.8708</v>
      </c>
      <c r="R16" s="180">
        <f t="shared" si="1"/>
        <v>40503.600000000006</v>
      </c>
      <c r="S16" s="230">
        <f t="shared" si="2"/>
        <v>1048958.4708</v>
      </c>
      <c r="T16" s="33">
        <f>935405.35-3410+10373.52-777.6</f>
        <v>941591.27</v>
      </c>
      <c r="U16" s="33">
        <v>48353.71</v>
      </c>
      <c r="V16" s="180">
        <f t="shared" si="3"/>
        <v>989944.98</v>
      </c>
      <c r="W16" s="460">
        <f t="shared" si="4"/>
        <v>-6.6303017354616578E-2</v>
      </c>
      <c r="X16" s="401">
        <f t="shared" si="10"/>
        <v>0.19381264875220949</v>
      </c>
      <c r="Y16" s="263">
        <f t="shared" si="5"/>
        <v>-5.6259129834751918E-2</v>
      </c>
      <c r="AA16" s="171"/>
      <c r="AB16" s="171"/>
    </row>
    <row r="17" spans="1:28" x14ac:dyDescent="0.25">
      <c r="A17" s="24" t="s">
        <v>17</v>
      </c>
      <c r="B17" s="24" t="s">
        <v>28</v>
      </c>
      <c r="C17" s="159"/>
      <c r="D17" s="159"/>
      <c r="E17" s="136">
        <f>'Budget07012018 DoNotUseFor2019'!$V$15</f>
        <v>18</v>
      </c>
      <c r="F17" s="159">
        <v>4</v>
      </c>
      <c r="G17" s="255">
        <f>'Budget 2019'!$V$13*3</f>
        <v>16800</v>
      </c>
      <c r="H17" s="180"/>
      <c r="I17" s="237"/>
      <c r="J17" s="375"/>
      <c r="K17" s="33">
        <f t="shared" si="6"/>
        <v>16800</v>
      </c>
      <c r="L17" s="33">
        <f t="shared" si="7"/>
        <v>0</v>
      </c>
      <c r="M17" s="230">
        <f t="shared" si="8"/>
        <v>16800</v>
      </c>
      <c r="N17" s="180"/>
      <c r="O17" s="180"/>
      <c r="P17" s="180"/>
      <c r="Q17" s="243">
        <f t="shared" si="0"/>
        <v>16800</v>
      </c>
      <c r="R17" s="180">
        <f t="shared" si="1"/>
        <v>0</v>
      </c>
      <c r="S17" s="230">
        <f t="shared" si="2"/>
        <v>16800</v>
      </c>
      <c r="T17" s="33">
        <f>1046+1114+1250</f>
        <v>3410</v>
      </c>
      <c r="U17" s="33">
        <v>0</v>
      </c>
      <c r="V17" s="180">
        <f t="shared" si="3"/>
        <v>3410</v>
      </c>
      <c r="W17" s="460">
        <f t="shared" si="4"/>
        <v>-0.79702380952380958</v>
      </c>
      <c r="X17" s="401">
        <v>0</v>
      </c>
      <c r="Y17" s="263">
        <f t="shared" si="5"/>
        <v>-0.79702380952380958</v>
      </c>
      <c r="AA17" s="171"/>
      <c r="AB17" s="171"/>
    </row>
    <row r="18" spans="1:28" x14ac:dyDescent="0.25">
      <c r="A18" s="24" t="s">
        <v>18</v>
      </c>
      <c r="B18" s="24" t="s">
        <v>27</v>
      </c>
      <c r="C18" s="179">
        <f>'2019 Budgeted HC'!$X$12</f>
        <v>156</v>
      </c>
      <c r="D18" s="159">
        <f>'2019 Actual HC'!D12+9</f>
        <v>155</v>
      </c>
      <c r="E18" s="137"/>
      <c r="F18" s="159"/>
      <c r="G18" s="255">
        <f>'Budget 2019'!$V$29*2</f>
        <v>522239.3272</v>
      </c>
      <c r="H18" s="180">
        <f>'Budget 2019'!$V$9*2</f>
        <v>18080.72</v>
      </c>
      <c r="I18" s="237">
        <f>'BW-PKY-2019'!$V$4/25*2</f>
        <v>48694.400000000001</v>
      </c>
      <c r="J18" s="375">
        <f>'BW-PKY-2019'!$V$23/25*2</f>
        <v>4939.2</v>
      </c>
      <c r="K18" s="33">
        <f t="shared" si="6"/>
        <v>570933.72719999996</v>
      </c>
      <c r="L18" s="33">
        <f t="shared" si="7"/>
        <v>23019.920000000002</v>
      </c>
      <c r="M18" s="230">
        <f t="shared" si="8"/>
        <v>593953.64720000001</v>
      </c>
      <c r="N18" s="180">
        <f>'Budget 2019'!$V$22*2</f>
        <v>101369.52</v>
      </c>
      <c r="O18" s="180">
        <f>'Budget 2019'!$AA$9*2</f>
        <v>3982.48</v>
      </c>
      <c r="P18" s="180">
        <f t="shared" si="9"/>
        <v>105352</v>
      </c>
      <c r="Q18" s="243">
        <f t="shared" si="0"/>
        <v>672303.24719999998</v>
      </c>
      <c r="R18" s="180">
        <f t="shared" si="1"/>
        <v>27002.400000000001</v>
      </c>
      <c r="S18" s="230">
        <f t="shared" si="2"/>
        <v>699305.64720000001</v>
      </c>
      <c r="T18" s="33">
        <f>630682.14-1244+6241.6-623.64</f>
        <v>635056.1</v>
      </c>
      <c r="U18" s="33">
        <v>21592.15</v>
      </c>
      <c r="V18" s="180">
        <f t="shared" si="3"/>
        <v>656648.25</v>
      </c>
      <c r="W18" s="460">
        <f t="shared" si="4"/>
        <v>-5.5402301498804971E-2</v>
      </c>
      <c r="X18" s="401">
        <f t="shared" si="10"/>
        <v>-0.20036181969010161</v>
      </c>
      <c r="Y18" s="263">
        <f t="shared" si="5"/>
        <v>-6.0999646393245954E-2</v>
      </c>
      <c r="AA18" s="171"/>
      <c r="AB18" s="171"/>
    </row>
    <row r="19" spans="1:28" x14ac:dyDescent="0.25">
      <c r="A19" s="24" t="s">
        <v>18</v>
      </c>
      <c r="B19" s="24" t="s">
        <v>28</v>
      </c>
      <c r="C19" s="159"/>
      <c r="D19" s="159"/>
      <c r="E19" s="136">
        <f>'Budget07012018 DoNotUseFor2019'!$V$15</f>
        <v>18</v>
      </c>
      <c r="F19" s="159">
        <v>3</v>
      </c>
      <c r="G19" s="255">
        <f>'Budget 2019'!$V$13*2</f>
        <v>11200</v>
      </c>
      <c r="H19" s="180"/>
      <c r="I19" s="237"/>
      <c r="J19" s="375"/>
      <c r="K19" s="33">
        <f t="shared" si="6"/>
        <v>11200</v>
      </c>
      <c r="L19" s="33">
        <f t="shared" si="7"/>
        <v>0</v>
      </c>
      <c r="M19" s="230">
        <f t="shared" si="8"/>
        <v>11200</v>
      </c>
      <c r="N19" s="180"/>
      <c r="O19" s="180"/>
      <c r="P19" s="180"/>
      <c r="Q19" s="243">
        <f t="shared" si="0"/>
        <v>11200</v>
      </c>
      <c r="R19" s="180">
        <f t="shared" si="1"/>
        <v>0</v>
      </c>
      <c r="S19" s="230">
        <f t="shared" si="2"/>
        <v>11200</v>
      </c>
      <c r="T19" s="33">
        <f>684+560</f>
        <v>1244</v>
      </c>
      <c r="U19" s="33">
        <v>0</v>
      </c>
      <c r="V19" s="180">
        <f t="shared" si="3"/>
        <v>1244</v>
      </c>
      <c r="W19" s="460">
        <f t="shared" si="4"/>
        <v>-0.8889285714285714</v>
      </c>
      <c r="X19" s="401">
        <v>0</v>
      </c>
      <c r="Y19" s="263">
        <f t="shared" si="5"/>
        <v>-0.8889285714285714</v>
      </c>
      <c r="AA19" s="171"/>
      <c r="AB19" s="171"/>
    </row>
    <row r="20" spans="1:28" x14ac:dyDescent="0.25">
      <c r="A20" s="24" t="s">
        <v>19</v>
      </c>
      <c r="B20" s="24" t="s">
        <v>27</v>
      </c>
      <c r="C20" s="179">
        <f>'2019 Budgeted HC'!$X$12</f>
        <v>156</v>
      </c>
      <c r="D20" s="159">
        <f>'2019 Actual HC'!D14+9</f>
        <v>153</v>
      </c>
      <c r="E20" s="137"/>
      <c r="F20" s="159"/>
      <c r="G20" s="255">
        <f>'Budget 2019'!$V$29*2</f>
        <v>522239.3272</v>
      </c>
      <c r="H20" s="180">
        <f>'Budget 2019'!$V$9*2</f>
        <v>18080.72</v>
      </c>
      <c r="I20" s="237">
        <f>'BW-PKY-2019'!$V$4/25*2</f>
        <v>48694.400000000001</v>
      </c>
      <c r="J20" s="375">
        <f>'BW-PKY-2019'!$V$23/25*2</f>
        <v>4939.2</v>
      </c>
      <c r="K20" s="33">
        <f t="shared" si="6"/>
        <v>570933.72719999996</v>
      </c>
      <c r="L20" s="33">
        <f t="shared" si="7"/>
        <v>23019.920000000002</v>
      </c>
      <c r="M20" s="230">
        <f t="shared" si="8"/>
        <v>593953.64720000001</v>
      </c>
      <c r="N20" s="180">
        <f>'Budget 2019'!$V$22*2</f>
        <v>101369.52</v>
      </c>
      <c r="O20" s="180">
        <f>'Budget 2019'!$AA$9*2</f>
        <v>3982.48</v>
      </c>
      <c r="P20" s="180">
        <f t="shared" si="9"/>
        <v>105352</v>
      </c>
      <c r="Q20" s="243">
        <f t="shared" si="0"/>
        <v>672303.24719999998</v>
      </c>
      <c r="R20" s="180">
        <f t="shared" si="1"/>
        <v>27002.400000000001</v>
      </c>
      <c r="S20" s="230">
        <f t="shared" si="2"/>
        <v>699305.64720000001</v>
      </c>
      <c r="T20" s="33">
        <f>626592.78-2363+6204.05-623.64</f>
        <v>629810.19000000006</v>
      </c>
      <c r="U20" s="33">
        <v>20248</v>
      </c>
      <c r="V20" s="180">
        <f t="shared" si="3"/>
        <v>650058.19000000006</v>
      </c>
      <c r="W20" s="460">
        <f t="shared" si="4"/>
        <v>-6.3205194050414706E-2</v>
      </c>
      <c r="X20" s="401">
        <f t="shared" si="10"/>
        <v>-0.25014072823156464</v>
      </c>
      <c r="Y20" s="263">
        <f t="shared" si="5"/>
        <v>-7.0423365515758909E-2</v>
      </c>
      <c r="AA20" s="171"/>
      <c r="AB20" s="171"/>
    </row>
    <row r="21" spans="1:28" x14ac:dyDescent="0.25">
      <c r="A21" s="24" t="s">
        <v>19</v>
      </c>
      <c r="B21" s="24" t="s">
        <v>28</v>
      </c>
      <c r="C21" s="159"/>
      <c r="D21" s="159"/>
      <c r="E21" s="136">
        <f>'Budget07012018 DoNotUseFor2019'!$V$15</f>
        <v>18</v>
      </c>
      <c r="F21" s="159">
        <v>5</v>
      </c>
      <c r="G21" s="255">
        <f>'Budget 2019'!$V$13*2</f>
        <v>11200</v>
      </c>
      <c r="H21" s="180"/>
      <c r="I21" s="237"/>
      <c r="J21" s="375"/>
      <c r="K21" s="33">
        <f t="shared" si="6"/>
        <v>11200</v>
      </c>
      <c r="L21" s="33">
        <f t="shared" si="7"/>
        <v>0</v>
      </c>
      <c r="M21" s="230">
        <f t="shared" si="8"/>
        <v>11200</v>
      </c>
      <c r="N21" s="180"/>
      <c r="O21" s="180"/>
      <c r="P21" s="180"/>
      <c r="Q21" s="243">
        <f t="shared" si="0"/>
        <v>11200</v>
      </c>
      <c r="R21" s="180">
        <f t="shared" si="1"/>
        <v>0</v>
      </c>
      <c r="S21" s="230">
        <f t="shared" si="2"/>
        <v>11200</v>
      </c>
      <c r="T21" s="33">
        <f>885+1478</f>
        <v>2363</v>
      </c>
      <c r="U21" s="33">
        <v>0</v>
      </c>
      <c r="V21" s="180">
        <f t="shared" si="3"/>
        <v>2363</v>
      </c>
      <c r="W21" s="460">
        <f t="shared" si="4"/>
        <v>-0.7890178571428571</v>
      </c>
      <c r="X21" s="401">
        <v>0</v>
      </c>
      <c r="Y21" s="263">
        <f t="shared" si="5"/>
        <v>-0.7890178571428571</v>
      </c>
      <c r="AA21" s="171"/>
      <c r="AB21" s="171"/>
    </row>
    <row r="22" spans="1:28" x14ac:dyDescent="0.25">
      <c r="A22" s="24" t="s">
        <v>20</v>
      </c>
      <c r="B22" s="24" t="s">
        <v>27</v>
      </c>
      <c r="C22" s="179">
        <f>'2019 Budgeted HC'!$X$12</f>
        <v>156</v>
      </c>
      <c r="D22" s="159">
        <f>'2019 Actual HC'!D16+9</f>
        <v>156</v>
      </c>
      <c r="E22" s="137"/>
      <c r="F22" s="159"/>
      <c r="G22" s="255">
        <f>'Budget 2019'!$V$29*2</f>
        <v>522239.3272</v>
      </c>
      <c r="H22" s="180">
        <f>'Budget 2019'!$V$9*2</f>
        <v>18080.72</v>
      </c>
      <c r="I22" s="237">
        <f>'BW-PKY-2019'!$V$4/25*2</f>
        <v>48694.400000000001</v>
      </c>
      <c r="J22" s="375">
        <f>'BW-PKY-2019'!$V$23/25*2</f>
        <v>4939.2</v>
      </c>
      <c r="K22" s="33">
        <f t="shared" si="6"/>
        <v>570933.72719999996</v>
      </c>
      <c r="L22" s="33">
        <f t="shared" si="7"/>
        <v>23019.920000000002</v>
      </c>
      <c r="M22" s="230">
        <f t="shared" si="8"/>
        <v>593953.64720000001</v>
      </c>
      <c r="N22" s="180">
        <f>'Budget 2019'!$V$22*2</f>
        <v>101369.52</v>
      </c>
      <c r="O22" s="180">
        <f>'Budget 2019'!$AA$9*2</f>
        <v>3982.48</v>
      </c>
      <c r="P22" s="180">
        <f t="shared" si="9"/>
        <v>105352</v>
      </c>
      <c r="Q22" s="243">
        <f t="shared" si="0"/>
        <v>672303.24719999998</v>
      </c>
      <c r="R22" s="180">
        <f t="shared" si="1"/>
        <v>27002.400000000001</v>
      </c>
      <c r="S22" s="230">
        <f t="shared" si="2"/>
        <v>699305.64720000001</v>
      </c>
      <c r="T22" s="33">
        <f>636573.05-9438+6220.61-623.64</f>
        <v>632732.02</v>
      </c>
      <c r="U22" s="33">
        <v>16016.37</v>
      </c>
      <c r="V22" s="180">
        <f t="shared" si="3"/>
        <v>648748.39</v>
      </c>
      <c r="W22" s="460">
        <f t="shared" si="4"/>
        <v>-5.8859193920014083E-2</v>
      </c>
      <c r="X22" s="401">
        <f t="shared" si="10"/>
        <v>-0.40685383521464757</v>
      </c>
      <c r="Y22" s="263">
        <f t="shared" si="5"/>
        <v>-7.2296366263349676E-2</v>
      </c>
      <c r="AA22" s="171"/>
      <c r="AB22" s="171"/>
    </row>
    <row r="23" spans="1:28" x14ac:dyDescent="0.25">
      <c r="A23" s="24" t="s">
        <v>20</v>
      </c>
      <c r="B23" s="24" t="s">
        <v>28</v>
      </c>
      <c r="C23" s="159"/>
      <c r="D23" s="159"/>
      <c r="E23" s="136">
        <f>'Budget07012018 DoNotUseFor2019'!$V$15</f>
        <v>18</v>
      </c>
      <c r="F23" s="159">
        <v>13</v>
      </c>
      <c r="G23" s="255">
        <f>'Budget 2019'!$V$13*2</f>
        <v>11200</v>
      </c>
      <c r="H23" s="180"/>
      <c r="I23" s="237"/>
      <c r="J23" s="375"/>
      <c r="K23" s="33">
        <f t="shared" si="6"/>
        <v>11200</v>
      </c>
      <c r="L23" s="33">
        <f t="shared" si="7"/>
        <v>0</v>
      </c>
      <c r="M23" s="230">
        <f t="shared" si="8"/>
        <v>11200</v>
      </c>
      <c r="N23" s="180"/>
      <c r="O23" s="180"/>
      <c r="P23" s="180"/>
      <c r="Q23" s="243">
        <f t="shared" si="0"/>
        <v>11200</v>
      </c>
      <c r="R23" s="180">
        <f t="shared" si="1"/>
        <v>0</v>
      </c>
      <c r="S23" s="230">
        <f t="shared" si="2"/>
        <v>11200</v>
      </c>
      <c r="T23" s="33">
        <f>1522+7916</f>
        <v>9438</v>
      </c>
      <c r="U23" s="33">
        <v>0</v>
      </c>
      <c r="V23" s="180">
        <f t="shared" si="3"/>
        <v>9438</v>
      </c>
      <c r="W23" s="460">
        <f t="shared" si="4"/>
        <v>-0.15732142857142858</v>
      </c>
      <c r="X23" s="401">
        <v>0</v>
      </c>
      <c r="Y23" s="263">
        <f t="shared" si="5"/>
        <v>-0.15732142857142858</v>
      </c>
      <c r="AA23" s="140"/>
    </row>
    <row r="24" spans="1:28" x14ac:dyDescent="0.25">
      <c r="A24" s="24" t="s">
        <v>21</v>
      </c>
      <c r="B24" s="24" t="s">
        <v>27</v>
      </c>
      <c r="C24" s="159">
        <f>'2019 Budgeted HC'!$X$12</f>
        <v>156</v>
      </c>
      <c r="D24" s="159">
        <f>'2019 Actual HC'!D18+9</f>
        <v>159</v>
      </c>
      <c r="E24" s="137"/>
      <c r="F24" s="159"/>
      <c r="G24" s="255">
        <f>'Budget 2019'!$V$29*2</f>
        <v>522239.3272</v>
      </c>
      <c r="H24" s="180">
        <f>'Budget 2019'!$V$9*2</f>
        <v>18080.72</v>
      </c>
      <c r="I24" s="237">
        <f>'BW-PKY-2019'!$V$4/25*2</f>
        <v>48694.400000000001</v>
      </c>
      <c r="J24" s="375">
        <f>'BW-PKY-2019'!$V$23/25*2</f>
        <v>4939.2</v>
      </c>
      <c r="K24" s="33">
        <f t="shared" si="6"/>
        <v>570933.72719999996</v>
      </c>
      <c r="L24" s="33">
        <f t="shared" si="7"/>
        <v>23019.920000000002</v>
      </c>
      <c r="M24" s="230">
        <f t="shared" si="8"/>
        <v>593953.64720000001</v>
      </c>
      <c r="N24" s="180">
        <f>'Budget 2019'!$V$22*2</f>
        <v>101369.52</v>
      </c>
      <c r="O24" s="180">
        <f>'Budget 2019'!$AA$9*2</f>
        <v>3982.48</v>
      </c>
      <c r="P24" s="180">
        <f t="shared" si="9"/>
        <v>105352</v>
      </c>
      <c r="Q24" s="243">
        <f t="shared" si="0"/>
        <v>672303.24719999998</v>
      </c>
      <c r="R24" s="180">
        <f t="shared" si="1"/>
        <v>27002.400000000001</v>
      </c>
      <c r="S24" s="230">
        <f t="shared" si="2"/>
        <v>699305.64720000001</v>
      </c>
      <c r="T24" s="33">
        <f>655591.26-14650+6307.52-623.64</f>
        <v>646625.14</v>
      </c>
      <c r="U24" s="33">
        <v>19308.64</v>
      </c>
      <c r="V24" s="180">
        <f t="shared" si="3"/>
        <v>665933.78</v>
      </c>
      <c r="W24" s="460">
        <f t="shared" si="4"/>
        <v>-3.819423349053247E-2</v>
      </c>
      <c r="X24" s="401">
        <f t="shared" si="10"/>
        <v>-0.28492874707433419</v>
      </c>
      <c r="Y24" s="263">
        <f t="shared" si="5"/>
        <v>-4.7721432443195606E-2</v>
      </c>
      <c r="AA24" s="140"/>
    </row>
    <row r="25" spans="1:28" x14ac:dyDescent="0.25">
      <c r="A25" s="24" t="s">
        <v>21</v>
      </c>
      <c r="B25" s="24" t="s">
        <v>28</v>
      </c>
      <c r="C25" s="159"/>
      <c r="D25" s="159"/>
      <c r="E25" s="136">
        <v>14</v>
      </c>
      <c r="F25" s="159">
        <v>12</v>
      </c>
      <c r="G25" s="255">
        <f>'Budget 2019'!$V$13*2</f>
        <v>11200</v>
      </c>
      <c r="H25" s="180"/>
      <c r="I25" s="237"/>
      <c r="J25" s="375"/>
      <c r="K25" s="33">
        <f t="shared" si="6"/>
        <v>11200</v>
      </c>
      <c r="L25" s="33">
        <f t="shared" si="7"/>
        <v>0</v>
      </c>
      <c r="M25" s="230">
        <f t="shared" si="8"/>
        <v>11200</v>
      </c>
      <c r="N25" s="180"/>
      <c r="O25" s="180"/>
      <c r="P25" s="180"/>
      <c r="Q25" s="243">
        <f t="shared" si="0"/>
        <v>11200</v>
      </c>
      <c r="R25" s="180">
        <f t="shared" si="1"/>
        <v>0</v>
      </c>
      <c r="S25" s="230">
        <f t="shared" si="2"/>
        <v>11200</v>
      </c>
      <c r="T25" s="33">
        <f>7770+6880</f>
        <v>14650</v>
      </c>
      <c r="U25" s="33">
        <v>0</v>
      </c>
      <c r="V25" s="180">
        <f t="shared" si="3"/>
        <v>14650</v>
      </c>
      <c r="W25" s="460">
        <f t="shared" si="4"/>
        <v>0.3080357142857143</v>
      </c>
      <c r="X25" s="401">
        <v>0</v>
      </c>
      <c r="Y25" s="263">
        <f t="shared" si="5"/>
        <v>0.3080357142857143</v>
      </c>
      <c r="AA25" s="140"/>
    </row>
    <row r="26" spans="1:28" x14ac:dyDescent="0.25">
      <c r="A26" s="24" t="s">
        <v>22</v>
      </c>
      <c r="B26" s="24" t="s">
        <v>27</v>
      </c>
      <c r="C26" s="159">
        <f>'2019 Budgeted HC'!$X$12</f>
        <v>156</v>
      </c>
      <c r="D26" s="159">
        <f>'2019 Actual HC'!D21+9</f>
        <v>153</v>
      </c>
      <c r="E26" s="137"/>
      <c r="F26" s="159"/>
      <c r="G26" s="255">
        <f>'Budget 2019'!$V$29*3</f>
        <v>783358.99080000003</v>
      </c>
      <c r="H26" s="180">
        <f>'Budget 2019'!$V$9*3</f>
        <v>27121.08</v>
      </c>
      <c r="I26" s="237">
        <f>'BW-PKY-2019'!$V$4/25*3</f>
        <v>73041.600000000006</v>
      </c>
      <c r="J26" s="375">
        <f>'BW-PKY-2019'!$V$23/25*3</f>
        <v>7408.7999999999993</v>
      </c>
      <c r="K26" s="33">
        <f t="shared" si="6"/>
        <v>856400.59080000001</v>
      </c>
      <c r="L26" s="33">
        <f t="shared" si="7"/>
        <v>34529.880000000005</v>
      </c>
      <c r="M26" s="230">
        <f t="shared" si="8"/>
        <v>890930.47080000001</v>
      </c>
      <c r="N26" s="180">
        <f>'Budget 2019'!$V$22*3</f>
        <v>152054.28</v>
      </c>
      <c r="O26" s="180">
        <f>'Budget 2019'!$AA$9*3</f>
        <v>5973.72</v>
      </c>
      <c r="P26" s="180">
        <f t="shared" si="9"/>
        <v>158028</v>
      </c>
      <c r="Q26" s="243">
        <f t="shared" si="0"/>
        <v>1008454.8708</v>
      </c>
      <c r="R26" s="180">
        <f t="shared" si="1"/>
        <v>40503.600000000006</v>
      </c>
      <c r="S26" s="230">
        <f t="shared" si="2"/>
        <v>1048958.4708</v>
      </c>
      <c r="T26" s="33">
        <f>959321.01-20450+9347.2-935.46</f>
        <v>947282.75</v>
      </c>
      <c r="U26" s="33">
        <v>32082.65</v>
      </c>
      <c r="V26" s="180">
        <f t="shared" si="3"/>
        <v>979365.4</v>
      </c>
      <c r="W26" s="460">
        <f t="shared" si="4"/>
        <v>-6.0659254639201285E-2</v>
      </c>
      <c r="X26" s="401">
        <f t="shared" si="10"/>
        <v>-0.20790621080595312</v>
      </c>
      <c r="Y26" s="263">
        <f t="shared" si="5"/>
        <v>-6.6344924739417041E-2</v>
      </c>
      <c r="AA26" s="140"/>
    </row>
    <row r="27" spans="1:28" x14ac:dyDescent="0.25">
      <c r="A27" s="24" t="s">
        <v>22</v>
      </c>
      <c r="B27" s="24" t="s">
        <v>28</v>
      </c>
      <c r="C27" s="159"/>
      <c r="D27" s="159"/>
      <c r="E27" s="136">
        <v>14</v>
      </c>
      <c r="F27" s="159">
        <v>10</v>
      </c>
      <c r="G27" s="255">
        <f>'Budget 2019'!$V$13*3</f>
        <v>16800</v>
      </c>
      <c r="H27" s="180"/>
      <c r="I27" s="237"/>
      <c r="J27" s="375"/>
      <c r="K27" s="33">
        <f t="shared" si="6"/>
        <v>16800</v>
      </c>
      <c r="L27" s="33">
        <f t="shared" si="7"/>
        <v>0</v>
      </c>
      <c r="M27" s="230">
        <f t="shared" si="8"/>
        <v>16800</v>
      </c>
      <c r="N27" s="180"/>
      <c r="O27" s="180"/>
      <c r="P27" s="180"/>
      <c r="Q27" s="243">
        <f t="shared" si="0"/>
        <v>16800</v>
      </c>
      <c r="R27" s="180">
        <f t="shared" si="1"/>
        <v>0</v>
      </c>
      <c r="S27" s="230">
        <f t="shared" si="2"/>
        <v>16800</v>
      </c>
      <c r="T27" s="33">
        <f>7920+7200+5330</f>
        <v>20450</v>
      </c>
      <c r="U27" s="33">
        <v>0</v>
      </c>
      <c r="V27" s="180">
        <f t="shared" si="3"/>
        <v>20450</v>
      </c>
      <c r="W27" s="460">
        <f t="shared" si="4"/>
        <v>0.21726190476190477</v>
      </c>
      <c r="X27" s="401">
        <v>0</v>
      </c>
      <c r="Y27" s="263">
        <f t="shared" si="5"/>
        <v>0.21726190476190477</v>
      </c>
      <c r="AA27" s="140"/>
    </row>
    <row r="28" spans="1:28" ht="15.75" x14ac:dyDescent="0.25">
      <c r="A28" s="24" t="s">
        <v>23</v>
      </c>
      <c r="B28" s="24" t="s">
        <v>27</v>
      </c>
      <c r="C28" s="159">
        <f>'2019 Budgeted HC'!$X$12</f>
        <v>156</v>
      </c>
      <c r="D28" s="159">
        <f>'2019 Actual HC'!D23+9</f>
        <v>156</v>
      </c>
      <c r="E28" s="137"/>
      <c r="F28" s="159"/>
      <c r="G28" s="255">
        <f>'Budget 2019'!$V$29*2</f>
        <v>522239.3272</v>
      </c>
      <c r="H28" s="180">
        <f>'Budget 2019'!$V$9*2</f>
        <v>18080.72</v>
      </c>
      <c r="I28" s="237">
        <f>'BW-PKY-2019'!$V$4/25*2</f>
        <v>48694.400000000001</v>
      </c>
      <c r="J28" s="375">
        <f>'BW-PKY-2019'!$V$23/25*2</f>
        <v>4939.2</v>
      </c>
      <c r="K28" s="33">
        <f t="shared" si="6"/>
        <v>570933.72719999996</v>
      </c>
      <c r="L28" s="33">
        <f t="shared" si="7"/>
        <v>23019.920000000002</v>
      </c>
      <c r="M28" s="230">
        <f t="shared" si="8"/>
        <v>593953.64720000001</v>
      </c>
      <c r="N28" s="180">
        <f>'Budget 2019'!$V$22*2</f>
        <v>101369.52</v>
      </c>
      <c r="O28" s="180">
        <f>'Budget 2019'!$AA$9*2</f>
        <v>3982.48</v>
      </c>
      <c r="P28" s="180">
        <f t="shared" si="9"/>
        <v>105352</v>
      </c>
      <c r="Q28" s="243">
        <f t="shared" si="0"/>
        <v>672303.24719999998</v>
      </c>
      <c r="R28" s="180">
        <f t="shared" si="1"/>
        <v>27002.400000000001</v>
      </c>
      <c r="S28" s="230">
        <f t="shared" si="2"/>
        <v>699305.64720000001</v>
      </c>
      <c r="T28" s="33">
        <f>638142.42-10265+6213.53-623.64</f>
        <v>633467.31000000006</v>
      </c>
      <c r="U28" s="271">
        <v>28326.46</v>
      </c>
      <c r="V28" s="180">
        <f t="shared" si="3"/>
        <v>661793.77</v>
      </c>
      <c r="W28" s="460">
        <f t="shared" si="4"/>
        <v>-5.7765505910827214E-2</v>
      </c>
      <c r="X28" s="401">
        <f t="shared" si="10"/>
        <v>4.9034900601427935E-2</v>
      </c>
      <c r="Y28" s="263">
        <f t="shared" si="5"/>
        <v>-5.3641604855039396E-2</v>
      </c>
      <c r="AA28" s="140"/>
    </row>
    <row r="29" spans="1:28" x14ac:dyDescent="0.25">
      <c r="A29" s="24" t="s">
        <v>23</v>
      </c>
      <c r="B29" s="24" t="s">
        <v>28</v>
      </c>
      <c r="C29" s="159"/>
      <c r="D29" s="159"/>
      <c r="E29" s="136">
        <v>14</v>
      </c>
      <c r="F29" s="159">
        <v>9</v>
      </c>
      <c r="G29" s="255">
        <f>'Budget 2019'!$V$13*2</f>
        <v>11200</v>
      </c>
      <c r="H29" s="180"/>
      <c r="I29" s="237"/>
      <c r="J29" s="375"/>
      <c r="K29" s="33">
        <f t="shared" si="6"/>
        <v>11200</v>
      </c>
      <c r="L29" s="33">
        <f t="shared" si="7"/>
        <v>0</v>
      </c>
      <c r="M29" s="230">
        <f t="shared" si="8"/>
        <v>11200</v>
      </c>
      <c r="N29" s="180"/>
      <c r="O29" s="180"/>
      <c r="P29" s="180"/>
      <c r="Q29" s="243">
        <f t="shared" si="0"/>
        <v>11200</v>
      </c>
      <c r="R29" s="180">
        <f t="shared" si="1"/>
        <v>0</v>
      </c>
      <c r="S29" s="230">
        <f t="shared" si="2"/>
        <v>11200</v>
      </c>
      <c r="T29" s="33">
        <f>4520+5745</f>
        <v>10265</v>
      </c>
      <c r="U29" s="33">
        <v>0</v>
      </c>
      <c r="V29" s="180">
        <f t="shared" si="3"/>
        <v>10265</v>
      </c>
      <c r="W29" s="460">
        <f t="shared" si="4"/>
        <v>-8.3482142857142852E-2</v>
      </c>
      <c r="X29" s="401">
        <v>0</v>
      </c>
      <c r="Y29" s="263">
        <f t="shared" si="5"/>
        <v>-8.3482142857142852E-2</v>
      </c>
      <c r="AA29" s="140"/>
    </row>
    <row r="30" spans="1:28" x14ac:dyDescent="0.25">
      <c r="A30" s="24" t="s">
        <v>24</v>
      </c>
      <c r="B30" s="24" t="s">
        <v>27</v>
      </c>
      <c r="C30" s="159">
        <f>'2019 Budgeted HC'!$X$12</f>
        <v>156</v>
      </c>
      <c r="D30" s="159">
        <f>'2019 Actual HC'!D25+9</f>
        <v>157</v>
      </c>
      <c r="E30" s="137"/>
      <c r="F30" s="159"/>
      <c r="G30" s="255">
        <f>'Budget 2019'!$V$29*2</f>
        <v>522239.3272</v>
      </c>
      <c r="H30" s="180">
        <f>'Budget 2019'!$V$9*2</f>
        <v>18080.72</v>
      </c>
      <c r="I30" s="237">
        <f>'BW-PKY-2019'!$V$4/25*2</f>
        <v>48694.400000000001</v>
      </c>
      <c r="J30" s="375">
        <f>'BW-PKY-2019'!$V$23/25*2</f>
        <v>4939.2</v>
      </c>
      <c r="K30" s="33">
        <f t="shared" si="6"/>
        <v>570933.72719999996</v>
      </c>
      <c r="L30" s="33">
        <f t="shared" si="7"/>
        <v>23019.920000000002</v>
      </c>
      <c r="M30" s="230">
        <f t="shared" si="8"/>
        <v>593953.64720000001</v>
      </c>
      <c r="N30" s="180">
        <f>'Budget 2019'!$V$22*2</f>
        <v>101369.52</v>
      </c>
      <c r="O30" s="180">
        <f>'Budget 2019'!$AA$9*2</f>
        <v>3982.48</v>
      </c>
      <c r="P30" s="180">
        <f t="shared" si="9"/>
        <v>105352</v>
      </c>
      <c r="Q30" s="243">
        <f t="shared" si="0"/>
        <v>672303.24719999998</v>
      </c>
      <c r="R30" s="180">
        <f t="shared" si="1"/>
        <v>27002.400000000001</v>
      </c>
      <c r="S30" s="230">
        <f t="shared" si="2"/>
        <v>699305.64720000001</v>
      </c>
      <c r="T30" s="33">
        <f>644090.37-9430+5986.88-623.64</f>
        <v>640023.61</v>
      </c>
      <c r="U30" s="33">
        <v>37076.18</v>
      </c>
      <c r="V30" s="180">
        <f t="shared" si="3"/>
        <v>677099.79</v>
      </c>
      <c r="W30" s="460">
        <f t="shared" si="4"/>
        <v>-4.8013507794938994E-2</v>
      </c>
      <c r="X30" s="401">
        <f t="shared" si="10"/>
        <v>0.37306980120285599</v>
      </c>
      <c r="Y30" s="263">
        <f t="shared" si="5"/>
        <v>-3.1754151119630723E-2</v>
      </c>
      <c r="AA30" s="140"/>
    </row>
    <row r="31" spans="1:28" x14ac:dyDescent="0.25">
      <c r="A31" s="24" t="s">
        <v>24</v>
      </c>
      <c r="B31" s="24" t="s">
        <v>28</v>
      </c>
      <c r="C31" s="159"/>
      <c r="D31" s="159"/>
      <c r="E31" s="136">
        <v>14</v>
      </c>
      <c r="F31" s="159">
        <v>8</v>
      </c>
      <c r="G31" s="255">
        <f>'Budget 2019'!$V$13*2</f>
        <v>11200</v>
      </c>
      <c r="H31" s="180"/>
      <c r="I31" s="237"/>
      <c r="J31" s="375"/>
      <c r="K31" s="33">
        <f t="shared" si="6"/>
        <v>11200</v>
      </c>
      <c r="L31" s="33">
        <f t="shared" si="7"/>
        <v>0</v>
      </c>
      <c r="M31" s="230">
        <f t="shared" si="8"/>
        <v>11200</v>
      </c>
      <c r="N31" s="180"/>
      <c r="O31" s="180"/>
      <c r="P31" s="180"/>
      <c r="Q31" s="243">
        <f t="shared" si="0"/>
        <v>11200</v>
      </c>
      <c r="R31" s="180">
        <f t="shared" si="1"/>
        <v>0</v>
      </c>
      <c r="S31" s="230">
        <f t="shared" si="2"/>
        <v>11200</v>
      </c>
      <c r="T31" s="33">
        <f>5020+4410</f>
        <v>9430</v>
      </c>
      <c r="U31" s="33">
        <v>0</v>
      </c>
      <c r="V31" s="180">
        <f t="shared" si="3"/>
        <v>9430</v>
      </c>
      <c r="W31" s="460">
        <f t="shared" si="4"/>
        <v>-0.15803571428571428</v>
      </c>
      <c r="X31" s="401">
        <v>0</v>
      </c>
      <c r="Y31" s="263">
        <f t="shared" si="5"/>
        <v>-0.15803571428571428</v>
      </c>
      <c r="AA31" s="140"/>
    </row>
    <row r="32" spans="1:28" x14ac:dyDescent="0.25">
      <c r="A32" s="24" t="s">
        <v>25</v>
      </c>
      <c r="B32" s="24" t="s">
        <v>27</v>
      </c>
      <c r="C32" s="159">
        <f>'2019 Budgeted HC'!$X$12</f>
        <v>156</v>
      </c>
      <c r="D32" s="159">
        <f>'2019 Actual HC'!D27+9</f>
        <v>157</v>
      </c>
      <c r="E32" s="137"/>
      <c r="F32" s="159"/>
      <c r="G32" s="255">
        <f>'Budget 2019'!$V$29*2</f>
        <v>522239.3272</v>
      </c>
      <c r="H32" s="180">
        <f>'Budget 2019'!$V$9*2</f>
        <v>18080.72</v>
      </c>
      <c r="I32" s="237">
        <f>'BW-PKY-2019'!$V$4/25*2</f>
        <v>48694.400000000001</v>
      </c>
      <c r="J32" s="375">
        <f>'BW-PKY-2019'!$V$23/25*2</f>
        <v>4939.2</v>
      </c>
      <c r="K32" s="33">
        <f t="shared" si="6"/>
        <v>570933.72719999996</v>
      </c>
      <c r="L32" s="33">
        <f t="shared" si="7"/>
        <v>23019.920000000002</v>
      </c>
      <c r="M32" s="230">
        <f t="shared" si="8"/>
        <v>593953.64720000001</v>
      </c>
      <c r="N32" s="180">
        <f>'Budget 2019'!$V$22*2</f>
        <v>101369.52</v>
      </c>
      <c r="O32" s="180">
        <f>'Budget 2019'!$AA$9*2</f>
        <v>3982.48</v>
      </c>
      <c r="P32" s="180">
        <f t="shared" si="9"/>
        <v>105352</v>
      </c>
      <c r="Q32" s="243">
        <f t="shared" si="0"/>
        <v>672303.24719999998</v>
      </c>
      <c r="R32" s="180">
        <f t="shared" si="1"/>
        <v>27002.400000000001</v>
      </c>
      <c r="S32" s="230">
        <f t="shared" si="2"/>
        <v>699305.64720000001</v>
      </c>
      <c r="T32" s="33">
        <f>643200.74-8268+6071.84-623.64</f>
        <v>640380.93999999994</v>
      </c>
      <c r="U32" s="33">
        <v>38789.39</v>
      </c>
      <c r="V32" s="180">
        <f t="shared" si="3"/>
        <v>679170.33</v>
      </c>
      <c r="W32" s="460">
        <f t="shared" si="4"/>
        <v>-4.7482006569133289E-2</v>
      </c>
      <c r="X32" s="401">
        <f t="shared" si="10"/>
        <v>0.43651638372885365</v>
      </c>
      <c r="Y32" s="263">
        <f t="shared" si="5"/>
        <v>-2.8793299869122019E-2</v>
      </c>
      <c r="AA32" s="140"/>
    </row>
    <row r="33" spans="1:27" x14ac:dyDescent="0.25">
      <c r="A33" s="24" t="s">
        <v>25</v>
      </c>
      <c r="B33" s="24" t="s">
        <v>28</v>
      </c>
      <c r="C33" s="159"/>
      <c r="D33" s="159"/>
      <c r="E33" s="136">
        <v>14</v>
      </c>
      <c r="F33" s="159">
        <v>8</v>
      </c>
      <c r="G33" s="255">
        <f>'Budget 2019'!$V$13*2</f>
        <v>11200</v>
      </c>
      <c r="H33" s="180"/>
      <c r="I33" s="237"/>
      <c r="J33" s="375"/>
      <c r="K33" s="33">
        <f t="shared" si="6"/>
        <v>11200</v>
      </c>
      <c r="L33" s="33">
        <f t="shared" si="7"/>
        <v>0</v>
      </c>
      <c r="M33" s="230">
        <f t="shared" si="8"/>
        <v>11200</v>
      </c>
      <c r="N33" s="180"/>
      <c r="O33" s="180"/>
      <c r="P33" s="180"/>
      <c r="Q33" s="243">
        <f t="shared" si="0"/>
        <v>11200</v>
      </c>
      <c r="R33" s="180">
        <f t="shared" si="1"/>
        <v>0</v>
      </c>
      <c r="S33" s="230">
        <f t="shared" si="2"/>
        <v>11200</v>
      </c>
      <c r="T33" s="33">
        <f>4192+4076</f>
        <v>8268</v>
      </c>
      <c r="U33" s="33">
        <v>0</v>
      </c>
      <c r="V33" s="180">
        <f t="shared" si="3"/>
        <v>8268</v>
      </c>
      <c r="W33" s="460">
        <f t="shared" si="4"/>
        <v>-0.26178571428571429</v>
      </c>
      <c r="X33" s="401">
        <v>0</v>
      </c>
      <c r="Y33" s="263">
        <f t="shared" si="5"/>
        <v>-0.26178571428571429</v>
      </c>
      <c r="AA33" s="140"/>
    </row>
    <row r="34" spans="1:27" x14ac:dyDescent="0.25">
      <c r="A34" s="24" t="s">
        <v>26</v>
      </c>
      <c r="B34" s="24" t="s">
        <v>27</v>
      </c>
      <c r="C34" s="159">
        <f>'2019 Budgeted HC'!$X$12</f>
        <v>156</v>
      </c>
      <c r="D34" s="159">
        <f>'2019 Actual HC'!D29+9</f>
        <v>158</v>
      </c>
      <c r="E34" s="136"/>
      <c r="F34" s="159"/>
      <c r="G34" s="255">
        <f>'Budget 2019'!$V$29*2</f>
        <v>522239.3272</v>
      </c>
      <c r="H34" s="180">
        <f>'Budget 2019'!$V$9*2</f>
        <v>18080.72</v>
      </c>
      <c r="I34" s="237">
        <f>'BW-PKY-2019'!$V$4/25*2</f>
        <v>48694.400000000001</v>
      </c>
      <c r="J34" s="375">
        <f>'BW-PKY-2019'!$V$23/25*2</f>
        <v>4939.2</v>
      </c>
      <c r="K34" s="33">
        <f t="shared" si="6"/>
        <v>570933.72719999996</v>
      </c>
      <c r="L34" s="33">
        <f t="shared" si="7"/>
        <v>23019.920000000002</v>
      </c>
      <c r="M34" s="230">
        <f t="shared" si="8"/>
        <v>593953.64720000001</v>
      </c>
      <c r="N34" s="180">
        <f>'Budget 2019'!$V$22*2</f>
        <v>101369.52</v>
      </c>
      <c r="O34" s="180">
        <f>'Budget 2019'!$AA$9*2</f>
        <v>3982.48</v>
      </c>
      <c r="P34" s="180">
        <f t="shared" si="9"/>
        <v>105352</v>
      </c>
      <c r="Q34" s="243">
        <f t="shared" si="0"/>
        <v>672303.24719999998</v>
      </c>
      <c r="R34" s="180">
        <f t="shared" si="1"/>
        <v>27002.400000000001</v>
      </c>
      <c r="S34" s="230">
        <f t="shared" si="2"/>
        <v>699305.64720000001</v>
      </c>
      <c r="T34" s="33">
        <f>639593.75-5270+6078.19-623.64</f>
        <v>639778.29999999993</v>
      </c>
      <c r="U34" s="33">
        <v>25391.48</v>
      </c>
      <c r="V34" s="180">
        <f t="shared" si="3"/>
        <v>665169.77999999991</v>
      </c>
      <c r="W34" s="460">
        <f t="shared" si="4"/>
        <v>-4.8378387781792723E-2</v>
      </c>
      <c r="X34" s="401">
        <f t="shared" si="10"/>
        <v>-5.9658400734749574E-2</v>
      </c>
      <c r="Y34" s="263">
        <f t="shared" si="5"/>
        <v>-4.8813944713129574E-2</v>
      </c>
      <c r="AA34" s="140"/>
    </row>
    <row r="35" spans="1:27" x14ac:dyDescent="0.25">
      <c r="A35" s="24" t="s">
        <v>26</v>
      </c>
      <c r="B35" s="24" t="s">
        <v>28</v>
      </c>
      <c r="C35" s="181"/>
      <c r="D35" s="181"/>
      <c r="E35" s="158">
        <v>14</v>
      </c>
      <c r="F35" s="181">
        <v>5</v>
      </c>
      <c r="G35" s="256">
        <f>'Budget 2019'!$V$13*2</f>
        <v>11200</v>
      </c>
      <c r="H35" s="182"/>
      <c r="I35" s="238"/>
      <c r="J35" s="228"/>
      <c r="K35" s="257">
        <f t="shared" si="6"/>
        <v>11200</v>
      </c>
      <c r="L35" s="258">
        <f t="shared" si="7"/>
        <v>0</v>
      </c>
      <c r="M35" s="231">
        <f>K35+L35</f>
        <v>11200</v>
      </c>
      <c r="N35" s="182"/>
      <c r="O35" s="182"/>
      <c r="P35" s="182"/>
      <c r="Q35" s="244">
        <f t="shared" si="0"/>
        <v>11200</v>
      </c>
      <c r="R35" s="182">
        <f t="shared" si="1"/>
        <v>0</v>
      </c>
      <c r="S35" s="231">
        <f t="shared" si="2"/>
        <v>11200</v>
      </c>
      <c r="T35" s="258">
        <f>2590+2680</f>
        <v>5270</v>
      </c>
      <c r="U35" s="258">
        <v>0</v>
      </c>
      <c r="V35" s="182">
        <f t="shared" si="3"/>
        <v>5270</v>
      </c>
      <c r="W35" s="461">
        <f t="shared" si="4"/>
        <v>-0.52946428571428572</v>
      </c>
      <c r="X35" s="264">
        <v>0</v>
      </c>
      <c r="Y35" s="274">
        <f t="shared" si="5"/>
        <v>-0.52946428571428572</v>
      </c>
      <c r="AA35" s="140"/>
    </row>
    <row r="36" spans="1:27" x14ac:dyDescent="0.25">
      <c r="C36" s="226"/>
      <c r="D36" s="226"/>
      <c r="E36" s="239"/>
      <c r="F36" s="226"/>
      <c r="G36" s="226"/>
      <c r="H36" s="226"/>
      <c r="I36" s="240"/>
      <c r="J36" s="226"/>
      <c r="K36" s="241"/>
      <c r="L36" s="241"/>
      <c r="M36" s="183"/>
      <c r="N36" s="183"/>
      <c r="O36" s="183"/>
      <c r="P36" s="183"/>
      <c r="Q36" s="24" t="s">
        <v>423</v>
      </c>
      <c r="R36" s="183"/>
      <c r="S36" s="183"/>
      <c r="T36" s="33"/>
      <c r="U36" s="33"/>
      <c r="V36" s="183"/>
      <c r="W36" s="462"/>
      <c r="X36" s="15"/>
      <c r="Y36" s="15"/>
      <c r="AA36" s="140"/>
    </row>
    <row r="37" spans="1:27" x14ac:dyDescent="0.25">
      <c r="B37" s="407" t="s">
        <v>1176</v>
      </c>
      <c r="C37" s="184">
        <f>AVERAGE(C12:C35)</f>
        <v>156</v>
      </c>
      <c r="D37" s="184">
        <f>AVERAGE(D12:D35)</f>
        <v>155.66666666666666</v>
      </c>
      <c r="E37" s="159"/>
      <c r="F37" s="184"/>
      <c r="G37" s="173">
        <f t="shared" ref="G37:I37" si="11">SUM(G12:G35)</f>
        <v>6667991.5900000017</v>
      </c>
      <c r="H37" s="173">
        <f t="shared" si="11"/>
        <v>226009</v>
      </c>
      <c r="I37" s="173">
        <f t="shared" si="11"/>
        <v>608680.00000000012</v>
      </c>
      <c r="J37" s="173">
        <f>SUM(J12:J35)</f>
        <v>61739.999999999985</v>
      </c>
      <c r="K37" s="173">
        <f>SUM(K12:K35)</f>
        <v>7276671.5899999989</v>
      </c>
      <c r="L37" s="173">
        <f>SUM(L12:L35)</f>
        <v>287749.00000000006</v>
      </c>
      <c r="M37" s="173">
        <f>SUM(M12:M35)</f>
        <v>7564420.5899999999</v>
      </c>
      <c r="N37" s="173">
        <f t="shared" ref="N37" si="12">SUM(N12:N35)</f>
        <v>1267119</v>
      </c>
      <c r="O37" s="173">
        <f t="shared" ref="O37:P37" si="13">SUM(O12:O35)</f>
        <v>49781.000000000015</v>
      </c>
      <c r="P37" s="173">
        <f t="shared" si="13"/>
        <v>1316900</v>
      </c>
      <c r="Q37" s="173">
        <f t="shared" ref="Q37" si="14">SUM(Q12:Q35)</f>
        <v>8543790.5899999999</v>
      </c>
      <c r="R37" s="173">
        <f t="shared" ref="R37" si="15">SUM(R12:R35)</f>
        <v>337530.00000000006</v>
      </c>
      <c r="S37" s="173">
        <f t="shared" ref="S37" si="16">SUM(S12:S35)</f>
        <v>8881320.5899999999</v>
      </c>
      <c r="T37" s="173">
        <f>SUM(T12:T35)</f>
        <v>7991468.3799999999</v>
      </c>
      <c r="U37" s="173">
        <f>SUM(U12:U35)</f>
        <v>370020.36999999994</v>
      </c>
      <c r="V37" s="173">
        <f>SUM(V12:V35)</f>
        <v>8361488.7500000019</v>
      </c>
      <c r="W37" s="462">
        <f>(T37-Q37)/Q37</f>
        <v>-6.4646037865963193E-2</v>
      </c>
      <c r="X37" s="401">
        <f t="shared" si="10"/>
        <v>9.6259206589043564E-2</v>
      </c>
      <c r="Y37" s="401">
        <f t="shared" si="5"/>
        <v>-5.8530917190998281E-2</v>
      </c>
    </row>
    <row r="38" spans="1:27" x14ac:dyDescent="0.25"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"/>
      <c r="V38" s="34"/>
      <c r="W38" s="463" t="s">
        <v>1251</v>
      </c>
    </row>
    <row r="39" spans="1:27" x14ac:dyDescent="0.25">
      <c r="A39"/>
      <c r="B39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</row>
    <row r="40" spans="1:27" x14ac:dyDescent="0.25">
      <c r="A40" s="24" t="s">
        <v>701</v>
      </c>
      <c r="B40" t="s">
        <v>702</v>
      </c>
    </row>
    <row r="41" spans="1:27" ht="17.25" customHeight="1" x14ac:dyDescent="0.25">
      <c r="A41" s="168" t="s">
        <v>703</v>
      </c>
      <c r="B41" s="474" t="s">
        <v>705</v>
      </c>
      <c r="C41" s="474"/>
      <c r="D41" s="474"/>
      <c r="E41" s="474"/>
      <c r="F41" s="474"/>
      <c r="G41" s="474"/>
      <c r="H41" s="474"/>
      <c r="I41" s="474"/>
      <c r="J41" s="474"/>
      <c r="K41" s="474"/>
      <c r="L41" s="474"/>
      <c r="M41" s="474"/>
      <c r="N41" s="474"/>
      <c r="O41" s="474"/>
      <c r="P41" s="474"/>
      <c r="Q41" s="474"/>
      <c r="R41" s="474"/>
      <c r="S41" s="474"/>
      <c r="T41" s="474"/>
      <c r="U41" s="474"/>
      <c r="V41" s="474"/>
      <c r="W41" s="474"/>
      <c r="X41" s="474"/>
      <c r="Y41" s="474"/>
    </row>
    <row r="42" spans="1:27" x14ac:dyDescent="0.25">
      <c r="A42" s="24" t="s">
        <v>704</v>
      </c>
      <c r="B42" s="474" t="s">
        <v>1180</v>
      </c>
      <c r="C42" s="474"/>
      <c r="D42" s="474"/>
      <c r="E42" s="474"/>
      <c r="F42" s="474"/>
      <c r="G42" s="474"/>
      <c r="H42" s="474"/>
      <c r="I42" s="474"/>
      <c r="J42" s="474"/>
      <c r="K42" s="474"/>
      <c r="L42" s="474"/>
      <c r="M42" s="474"/>
      <c r="N42" s="474"/>
      <c r="O42" s="474"/>
      <c r="P42" s="474"/>
      <c r="Q42" s="474"/>
      <c r="R42" s="474"/>
      <c r="S42" s="474"/>
      <c r="T42" s="474"/>
      <c r="U42" s="474"/>
      <c r="V42" s="474"/>
      <c r="W42" s="474"/>
      <c r="X42" s="474"/>
      <c r="Y42" s="474"/>
    </row>
    <row r="44" spans="1:27" s="167" customFormat="1" x14ac:dyDescent="0.25">
      <c r="A44" s="167" t="s">
        <v>828</v>
      </c>
    </row>
    <row r="45" spans="1:27" ht="43.5" customHeight="1" x14ac:dyDescent="0.25">
      <c r="I45" s="34">
        <f>I37</f>
        <v>608680.00000000012</v>
      </c>
      <c r="J45" s="34">
        <f>J37</f>
        <v>61739.999999999985</v>
      </c>
      <c r="K45" s="496" t="s">
        <v>832</v>
      </c>
      <c r="L45" s="496"/>
      <c r="M45" s="18"/>
      <c r="N45" s="18"/>
      <c r="O45" s="18"/>
      <c r="P45" s="18">
        <f>P37</f>
        <v>1316900</v>
      </c>
      <c r="Q45" s="495" t="s">
        <v>830</v>
      </c>
      <c r="R45" s="495"/>
      <c r="S45" s="18">
        <f>S37</f>
        <v>8881320.5899999999</v>
      </c>
      <c r="T45" s="495" t="s">
        <v>831</v>
      </c>
      <c r="U45" s="495"/>
      <c r="V45" s="495"/>
    </row>
    <row r="46" spans="1:27" x14ac:dyDescent="0.25">
      <c r="K46" s="18"/>
      <c r="L46" s="18"/>
      <c r="M46" s="18"/>
      <c r="N46" s="18"/>
      <c r="O46" s="18"/>
      <c r="P46" s="18"/>
      <c r="Q46" s="259"/>
      <c r="R46" s="259"/>
      <c r="S46" s="18"/>
      <c r="T46" s="18"/>
      <c r="U46" s="15"/>
    </row>
    <row r="47" spans="1:27" ht="45" customHeight="1" x14ac:dyDescent="0.25">
      <c r="G47" s="34">
        <f>G37</f>
        <v>6667991.5900000017</v>
      </c>
      <c r="H47" s="34">
        <f>H37</f>
        <v>226009</v>
      </c>
      <c r="I47" s="220">
        <f>G47+H47</f>
        <v>6894000.5900000017</v>
      </c>
      <c r="J47" s="495" t="s">
        <v>833</v>
      </c>
      <c r="K47" s="495"/>
      <c r="L47" s="18"/>
      <c r="M47" s="18"/>
      <c r="N47" s="18"/>
      <c r="O47" s="18"/>
      <c r="P47" s="18">
        <f>P45+I47</f>
        <v>8210900.5900000017</v>
      </c>
      <c r="Q47" s="259" t="s">
        <v>829</v>
      </c>
      <c r="R47" s="259"/>
      <c r="S47" s="18"/>
      <c r="T47" s="18"/>
      <c r="U47"/>
    </row>
  </sheetData>
  <mergeCells count="19">
    <mergeCell ref="Q45:R45"/>
    <mergeCell ref="T45:V45"/>
    <mergeCell ref="K45:L45"/>
    <mergeCell ref="J47:K47"/>
    <mergeCell ref="C10:D10"/>
    <mergeCell ref="E10:F10"/>
    <mergeCell ref="T10:V10"/>
    <mergeCell ref="G10:M10"/>
    <mergeCell ref="N10:P10"/>
    <mergeCell ref="Q10:S10"/>
    <mergeCell ref="B41:Y41"/>
    <mergeCell ref="B42:Y42"/>
    <mergeCell ref="W10:Y10"/>
    <mergeCell ref="A2:Y2"/>
    <mergeCell ref="A3:Y3"/>
    <mergeCell ref="A5:Y5"/>
    <mergeCell ref="A6:Y6"/>
    <mergeCell ref="A10:A11"/>
    <mergeCell ref="B10:B11"/>
  </mergeCells>
  <pageMargins left="0.2" right="0.2" top="0.25" bottom="0.25" header="0.3" footer="0.3"/>
  <pageSetup scale="7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7:Y40"/>
  <sheetViews>
    <sheetView topLeftCell="A7" workbookViewId="0">
      <selection activeCell="K1" sqref="K1"/>
    </sheetView>
  </sheetViews>
  <sheetFormatPr defaultRowHeight="15" x14ac:dyDescent="0.25"/>
  <cols>
    <col min="23" max="23" width="22.42578125" customWidth="1"/>
  </cols>
  <sheetData>
    <row r="7" spans="23:25" ht="15.75" thickBot="1" x14ac:dyDescent="0.3"/>
    <row r="8" spans="23:25" x14ac:dyDescent="0.25">
      <c r="W8" s="143"/>
      <c r="X8" s="144"/>
      <c r="Y8" s="145"/>
    </row>
    <row r="9" spans="23:25" x14ac:dyDescent="0.25">
      <c r="W9" s="146"/>
      <c r="X9" s="67" t="s">
        <v>677</v>
      </c>
      <c r="Y9" s="147"/>
    </row>
    <row r="10" spans="23:25" x14ac:dyDescent="0.25">
      <c r="W10" s="146"/>
      <c r="X10" s="67">
        <v>147</v>
      </c>
      <c r="Y10" s="147"/>
    </row>
    <row r="11" spans="23:25" x14ac:dyDescent="0.25">
      <c r="W11" s="146"/>
      <c r="X11" s="65">
        <v>9</v>
      </c>
      <c r="Y11" s="147"/>
    </row>
    <row r="12" spans="23:25" ht="15.75" thickBot="1" x14ac:dyDescent="0.3">
      <c r="W12" s="148" t="s">
        <v>676</v>
      </c>
      <c r="X12" s="149">
        <f>X10+X11</f>
        <v>156</v>
      </c>
      <c r="Y12" s="150"/>
    </row>
    <row r="40" spans="13:13" x14ac:dyDescent="0.25">
      <c r="M40" t="s">
        <v>675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E30"/>
  <sheetViews>
    <sheetView workbookViewId="0">
      <selection activeCell="D5" sqref="D5"/>
    </sheetView>
  </sheetViews>
  <sheetFormatPr defaultRowHeight="15" x14ac:dyDescent="0.25"/>
  <cols>
    <col min="1" max="1" width="14.7109375" customWidth="1"/>
    <col min="2" max="2" width="2" customWidth="1"/>
    <col min="3" max="3" width="12.42578125" customWidth="1"/>
    <col min="4" max="4" width="13.28515625" customWidth="1"/>
    <col min="5" max="5" width="14.140625" customWidth="1"/>
  </cols>
  <sheetData>
    <row r="1" spans="1:5" x14ac:dyDescent="0.25">
      <c r="A1" s="151" t="s">
        <v>686</v>
      </c>
    </row>
    <row r="3" spans="1:5" x14ac:dyDescent="0.25">
      <c r="C3" s="43" t="s">
        <v>333</v>
      </c>
      <c r="D3" s="43" t="s">
        <v>334</v>
      </c>
      <c r="E3" s="43" t="s">
        <v>335</v>
      </c>
    </row>
    <row r="4" spans="1:5" x14ac:dyDescent="0.25">
      <c r="E4" s="43" t="s">
        <v>29</v>
      </c>
    </row>
    <row r="5" spans="1:5" x14ac:dyDescent="0.25">
      <c r="A5" s="44" t="s">
        <v>336</v>
      </c>
      <c r="C5" s="104">
        <v>3</v>
      </c>
      <c r="D5" s="104">
        <v>144</v>
      </c>
      <c r="E5" s="43">
        <f>SUM(C5:D5)</f>
        <v>147</v>
      </c>
    </row>
    <row r="6" spans="1:5" hidden="1" x14ac:dyDescent="0.25">
      <c r="A6" s="44" t="s">
        <v>337</v>
      </c>
      <c r="C6" s="43">
        <v>4</v>
      </c>
      <c r="D6" s="43">
        <v>144</v>
      </c>
      <c r="E6" s="43">
        <f t="shared" ref="E6:E29" si="0">SUM(C6:D6)</f>
        <v>148</v>
      </c>
    </row>
    <row r="7" spans="1:5" x14ac:dyDescent="0.25">
      <c r="A7" s="44" t="s">
        <v>338</v>
      </c>
      <c r="C7" s="104">
        <v>3</v>
      </c>
      <c r="D7" s="104">
        <v>145</v>
      </c>
      <c r="E7" s="43">
        <f t="shared" si="0"/>
        <v>148</v>
      </c>
    </row>
    <row r="8" spans="1:5" hidden="1" x14ac:dyDescent="0.25">
      <c r="A8" s="44" t="s">
        <v>339</v>
      </c>
      <c r="C8" s="43">
        <v>4</v>
      </c>
      <c r="D8" s="43">
        <v>146</v>
      </c>
      <c r="E8" s="43">
        <f t="shared" si="0"/>
        <v>150</v>
      </c>
    </row>
    <row r="9" spans="1:5" hidden="1" x14ac:dyDescent="0.25">
      <c r="A9" s="44" t="s">
        <v>340</v>
      </c>
      <c r="C9" s="43">
        <v>4</v>
      </c>
      <c r="D9" s="43">
        <v>146</v>
      </c>
      <c r="E9" s="43">
        <f t="shared" si="0"/>
        <v>150</v>
      </c>
    </row>
    <row r="10" spans="1:5" x14ac:dyDescent="0.25">
      <c r="A10" s="44" t="s">
        <v>341</v>
      </c>
      <c r="C10" s="104">
        <v>4</v>
      </c>
      <c r="D10" s="104">
        <v>148</v>
      </c>
      <c r="E10" s="43">
        <f t="shared" si="0"/>
        <v>152</v>
      </c>
    </row>
    <row r="11" spans="1:5" hidden="1" x14ac:dyDescent="0.25">
      <c r="A11" s="44" t="s">
        <v>342</v>
      </c>
      <c r="C11" s="43">
        <v>4</v>
      </c>
      <c r="D11" s="43">
        <v>146</v>
      </c>
      <c r="E11" s="43">
        <f t="shared" si="0"/>
        <v>150</v>
      </c>
    </row>
    <row r="12" spans="1:5" x14ac:dyDescent="0.25">
      <c r="A12" s="44" t="s">
        <v>343</v>
      </c>
      <c r="C12" s="104">
        <v>3</v>
      </c>
      <c r="D12" s="104">
        <v>146</v>
      </c>
      <c r="E12" s="43">
        <f t="shared" si="0"/>
        <v>149</v>
      </c>
    </row>
    <row r="13" spans="1:5" hidden="1" x14ac:dyDescent="0.25">
      <c r="A13" s="44" t="s">
        <v>344</v>
      </c>
      <c r="C13" s="43">
        <v>3</v>
      </c>
      <c r="D13" s="43">
        <v>146</v>
      </c>
      <c r="E13" s="43">
        <f t="shared" si="0"/>
        <v>149</v>
      </c>
    </row>
    <row r="14" spans="1:5" x14ac:dyDescent="0.25">
      <c r="A14" s="44" t="s">
        <v>345</v>
      </c>
      <c r="C14" s="104">
        <v>5</v>
      </c>
      <c r="D14" s="104">
        <v>144</v>
      </c>
      <c r="E14" s="43">
        <f t="shared" si="0"/>
        <v>149</v>
      </c>
    </row>
    <row r="15" spans="1:5" hidden="1" x14ac:dyDescent="0.25">
      <c r="A15" s="44" t="s">
        <v>346</v>
      </c>
      <c r="C15" s="43">
        <v>4</v>
      </c>
      <c r="D15" s="43">
        <v>144</v>
      </c>
      <c r="E15" s="43">
        <f t="shared" si="0"/>
        <v>148</v>
      </c>
    </row>
    <row r="16" spans="1:5" x14ac:dyDescent="0.25">
      <c r="A16" s="44" t="s">
        <v>347</v>
      </c>
      <c r="C16" s="104">
        <v>13</v>
      </c>
      <c r="D16" s="104">
        <v>147</v>
      </c>
      <c r="E16" s="43">
        <f t="shared" si="0"/>
        <v>160</v>
      </c>
    </row>
    <row r="17" spans="1:5" hidden="1" x14ac:dyDescent="0.25">
      <c r="A17" s="44" t="s">
        <v>348</v>
      </c>
      <c r="C17" s="43">
        <v>13</v>
      </c>
      <c r="D17" s="43">
        <v>150</v>
      </c>
      <c r="E17" s="43">
        <f t="shared" si="0"/>
        <v>163</v>
      </c>
    </row>
    <row r="18" spans="1:5" x14ac:dyDescent="0.25">
      <c r="A18" s="44" t="s">
        <v>349</v>
      </c>
      <c r="C18" s="104">
        <v>12</v>
      </c>
      <c r="D18" s="104">
        <v>150</v>
      </c>
      <c r="E18" s="43">
        <f t="shared" si="0"/>
        <v>162</v>
      </c>
    </row>
    <row r="19" spans="1:5" hidden="1" x14ac:dyDescent="0.25">
      <c r="A19" s="44" t="s">
        <v>350</v>
      </c>
      <c r="C19" s="43">
        <v>11</v>
      </c>
      <c r="D19" s="43">
        <v>149</v>
      </c>
      <c r="E19" s="43">
        <f t="shared" si="0"/>
        <v>160</v>
      </c>
    </row>
    <row r="20" spans="1:5" hidden="1" x14ac:dyDescent="0.25">
      <c r="A20" s="44" t="s">
        <v>351</v>
      </c>
      <c r="C20" s="43">
        <v>13</v>
      </c>
      <c r="D20" s="43">
        <v>145</v>
      </c>
      <c r="E20" s="43">
        <f t="shared" si="0"/>
        <v>158</v>
      </c>
    </row>
    <row r="21" spans="1:5" x14ac:dyDescent="0.25">
      <c r="A21" s="44" t="s">
        <v>352</v>
      </c>
      <c r="C21" s="104">
        <v>10</v>
      </c>
      <c r="D21" s="104">
        <v>144</v>
      </c>
      <c r="E21" s="43">
        <f t="shared" si="0"/>
        <v>154</v>
      </c>
    </row>
    <row r="22" spans="1:5" hidden="1" x14ac:dyDescent="0.25">
      <c r="A22" s="44" t="s">
        <v>353</v>
      </c>
      <c r="C22" s="43">
        <v>8</v>
      </c>
      <c r="D22" s="43">
        <v>146</v>
      </c>
      <c r="E22" s="43">
        <f t="shared" si="0"/>
        <v>154</v>
      </c>
    </row>
    <row r="23" spans="1:5" x14ac:dyDescent="0.25">
      <c r="A23" s="44" t="s">
        <v>354</v>
      </c>
      <c r="C23" s="104">
        <v>9</v>
      </c>
      <c r="D23" s="104">
        <v>147</v>
      </c>
      <c r="E23" s="43">
        <f t="shared" si="0"/>
        <v>156</v>
      </c>
    </row>
    <row r="24" spans="1:5" hidden="1" x14ac:dyDescent="0.25">
      <c r="A24" s="44" t="s">
        <v>355</v>
      </c>
      <c r="C24" s="43">
        <v>9</v>
      </c>
      <c r="D24" s="43">
        <v>147</v>
      </c>
      <c r="E24" s="43">
        <f t="shared" si="0"/>
        <v>156</v>
      </c>
    </row>
    <row r="25" spans="1:5" x14ac:dyDescent="0.25">
      <c r="A25" s="44" t="s">
        <v>356</v>
      </c>
      <c r="C25" s="104">
        <v>8</v>
      </c>
      <c r="D25" s="104">
        <v>148</v>
      </c>
      <c r="E25" s="43">
        <f t="shared" si="0"/>
        <v>156</v>
      </c>
    </row>
    <row r="26" spans="1:5" hidden="1" x14ac:dyDescent="0.25">
      <c r="A26" s="44" t="s">
        <v>357</v>
      </c>
      <c r="C26" s="43">
        <v>8</v>
      </c>
      <c r="D26" s="43">
        <v>148</v>
      </c>
      <c r="E26" s="43">
        <f t="shared" si="0"/>
        <v>156</v>
      </c>
    </row>
    <row r="27" spans="1:5" x14ac:dyDescent="0.25">
      <c r="A27" s="44" t="s">
        <v>358</v>
      </c>
      <c r="C27" s="104">
        <v>8</v>
      </c>
      <c r="D27" s="104">
        <v>148</v>
      </c>
      <c r="E27" s="43">
        <f t="shared" si="0"/>
        <v>156</v>
      </c>
    </row>
    <row r="28" spans="1:5" hidden="1" x14ac:dyDescent="0.25">
      <c r="A28" s="44" t="s">
        <v>359</v>
      </c>
      <c r="C28" s="43">
        <v>6</v>
      </c>
      <c r="D28" s="43">
        <v>148</v>
      </c>
      <c r="E28" s="43">
        <f t="shared" si="0"/>
        <v>154</v>
      </c>
    </row>
    <row r="29" spans="1:5" x14ac:dyDescent="0.25">
      <c r="A29" s="45" t="s">
        <v>360</v>
      </c>
      <c r="B29" s="35"/>
      <c r="C29" s="105">
        <v>5</v>
      </c>
      <c r="D29" s="105">
        <v>149</v>
      </c>
      <c r="E29" s="46">
        <f t="shared" si="0"/>
        <v>154</v>
      </c>
    </row>
    <row r="30" spans="1:5" hidden="1" x14ac:dyDescent="0.25">
      <c r="A30" s="47" t="s">
        <v>361</v>
      </c>
      <c r="B30" s="35"/>
      <c r="C30" s="48">
        <f>SUM(C5:C29)/25</f>
        <v>6.96</v>
      </c>
      <c r="D30" s="48">
        <f>SUM(D5:D29)/25</f>
        <v>146.6</v>
      </c>
      <c r="E30" s="48">
        <f>SUM(E5:E29)/25</f>
        <v>153.56</v>
      </c>
    </row>
  </sheetData>
  <autoFilter ref="A4:E30">
    <filterColumn colId="3">
      <colorFilter dxfId="1" cellColor="0"/>
    </filterColumn>
  </autoFilter>
  <printOptions gridLines="1"/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32"/>
  <sheetViews>
    <sheetView workbookViewId="0">
      <selection activeCell="E42" sqref="E42"/>
    </sheetView>
  </sheetViews>
  <sheetFormatPr defaultRowHeight="15" x14ac:dyDescent="0.25"/>
  <cols>
    <col min="1" max="1" width="13.140625" customWidth="1"/>
    <col min="2" max="2" width="14.7109375" customWidth="1"/>
    <col min="3" max="3" width="11.85546875" customWidth="1"/>
    <col min="4" max="4" width="12.140625" customWidth="1"/>
    <col min="5" max="5" width="14.140625" customWidth="1"/>
    <col min="8" max="8" width="16.85546875" customWidth="1"/>
    <col min="9" max="9" width="21.42578125" customWidth="1"/>
  </cols>
  <sheetData>
    <row r="1" spans="1:9" x14ac:dyDescent="0.25">
      <c r="A1" s="151" t="s">
        <v>686</v>
      </c>
    </row>
    <row r="2" spans="1:9" x14ac:dyDescent="0.25">
      <c r="E2" s="43" t="s">
        <v>335</v>
      </c>
    </row>
    <row r="3" spans="1:9" x14ac:dyDescent="0.25">
      <c r="A3" s="43" t="s">
        <v>367</v>
      </c>
      <c r="B3" s="43" t="s">
        <v>368</v>
      </c>
      <c r="C3" s="43" t="s">
        <v>369</v>
      </c>
      <c r="D3" s="43" t="s">
        <v>334</v>
      </c>
      <c r="E3" s="43" t="s">
        <v>29</v>
      </c>
    </row>
    <row r="5" spans="1:9" x14ac:dyDescent="0.25">
      <c r="A5" s="57">
        <v>43827</v>
      </c>
      <c r="B5" s="58" t="s">
        <v>370</v>
      </c>
      <c r="C5">
        <v>5</v>
      </c>
      <c r="D5">
        <v>149</v>
      </c>
      <c r="E5">
        <f t="shared" ref="E5:E31" si="0">SUM(C5:D5)</f>
        <v>154</v>
      </c>
      <c r="F5" s="43" t="s">
        <v>680</v>
      </c>
      <c r="G5" s="43" t="s">
        <v>685</v>
      </c>
      <c r="H5" s="43" t="s">
        <v>29</v>
      </c>
    </row>
    <row r="6" spans="1:9" hidden="1" x14ac:dyDescent="0.25">
      <c r="A6" s="58" t="s">
        <v>371</v>
      </c>
      <c r="B6" s="59" t="s">
        <v>372</v>
      </c>
      <c r="C6">
        <v>4</v>
      </c>
      <c r="D6">
        <v>149</v>
      </c>
      <c r="E6">
        <f t="shared" si="0"/>
        <v>153</v>
      </c>
    </row>
    <row r="7" spans="1:9" x14ac:dyDescent="0.25">
      <c r="A7" s="58" t="s">
        <v>373</v>
      </c>
      <c r="B7" s="59" t="s">
        <v>374</v>
      </c>
      <c r="C7" s="49">
        <v>3</v>
      </c>
      <c r="D7" s="102">
        <v>148</v>
      </c>
      <c r="E7">
        <f t="shared" si="0"/>
        <v>151</v>
      </c>
      <c r="F7">
        <v>9</v>
      </c>
      <c r="G7">
        <f>D7+F7</f>
        <v>157</v>
      </c>
      <c r="H7">
        <f>E7+F7</f>
        <v>160</v>
      </c>
    </row>
    <row r="8" spans="1:9" hidden="1" x14ac:dyDescent="0.25">
      <c r="A8" s="58" t="s">
        <v>375</v>
      </c>
      <c r="B8" s="59" t="s">
        <v>376</v>
      </c>
      <c r="C8">
        <v>3</v>
      </c>
      <c r="D8">
        <v>149</v>
      </c>
      <c r="E8">
        <f t="shared" si="0"/>
        <v>152</v>
      </c>
    </row>
    <row r="9" spans="1:9" x14ac:dyDescent="0.25">
      <c r="A9" s="58" t="s">
        <v>377</v>
      </c>
      <c r="B9" s="59" t="s">
        <v>378</v>
      </c>
      <c r="C9" s="49">
        <v>3</v>
      </c>
      <c r="D9" s="102">
        <v>149</v>
      </c>
      <c r="E9">
        <f t="shared" si="0"/>
        <v>152</v>
      </c>
      <c r="F9">
        <v>9</v>
      </c>
      <c r="G9">
        <f>D9+F9</f>
        <v>158</v>
      </c>
      <c r="H9">
        <f>E9+F9</f>
        <v>161</v>
      </c>
    </row>
    <row r="10" spans="1:9" hidden="1" x14ac:dyDescent="0.25">
      <c r="A10" s="58" t="s">
        <v>379</v>
      </c>
      <c r="B10" s="59" t="s">
        <v>380</v>
      </c>
      <c r="C10">
        <v>4</v>
      </c>
      <c r="D10">
        <v>150</v>
      </c>
      <c r="E10">
        <f t="shared" si="0"/>
        <v>154</v>
      </c>
      <c r="H10" s="35"/>
      <c r="I10" s="35"/>
    </row>
    <row r="11" spans="1:9" x14ac:dyDescent="0.25">
      <c r="A11" s="58" t="s">
        <v>381</v>
      </c>
      <c r="B11" s="59" t="s">
        <v>382</v>
      </c>
      <c r="C11" s="49">
        <v>4</v>
      </c>
      <c r="D11" s="103">
        <v>148</v>
      </c>
      <c r="E11">
        <f t="shared" si="0"/>
        <v>152</v>
      </c>
      <c r="F11">
        <v>9</v>
      </c>
      <c r="G11">
        <f>D11+F11</f>
        <v>157</v>
      </c>
      <c r="H11">
        <f>E11+F11</f>
        <v>161</v>
      </c>
      <c r="I11" s="35"/>
    </row>
    <row r="12" spans="1:9" hidden="1" x14ac:dyDescent="0.25">
      <c r="A12" s="58" t="s">
        <v>383</v>
      </c>
      <c r="B12" s="59" t="s">
        <v>384</v>
      </c>
      <c r="C12">
        <v>1</v>
      </c>
      <c r="D12">
        <v>148</v>
      </c>
      <c r="E12">
        <f t="shared" si="0"/>
        <v>149</v>
      </c>
      <c r="H12" s="35"/>
      <c r="I12" s="35"/>
    </row>
    <row r="13" spans="1:9" x14ac:dyDescent="0.25">
      <c r="A13" s="58" t="s">
        <v>385</v>
      </c>
      <c r="B13" s="59" t="s">
        <v>386</v>
      </c>
      <c r="C13" s="49">
        <v>1</v>
      </c>
      <c r="D13" s="102">
        <v>149</v>
      </c>
      <c r="E13">
        <f t="shared" si="0"/>
        <v>150</v>
      </c>
      <c r="F13">
        <v>9</v>
      </c>
      <c r="G13">
        <f>D13+F13</f>
        <v>158</v>
      </c>
      <c r="H13">
        <f>E13+F13</f>
        <v>159</v>
      </c>
      <c r="I13" s="35"/>
    </row>
    <row r="14" spans="1:9" hidden="1" x14ac:dyDescent="0.25">
      <c r="A14" s="58" t="s">
        <v>387</v>
      </c>
      <c r="B14" s="59" t="s">
        <v>388</v>
      </c>
      <c r="C14">
        <v>1</v>
      </c>
      <c r="D14">
        <v>149</v>
      </c>
      <c r="E14">
        <f t="shared" si="0"/>
        <v>150</v>
      </c>
      <c r="H14" s="35"/>
      <c r="I14" s="35"/>
    </row>
    <row r="15" spans="1:9" x14ac:dyDescent="0.25">
      <c r="A15" s="58" t="s">
        <v>389</v>
      </c>
      <c r="B15" s="59" t="s">
        <v>390</v>
      </c>
      <c r="C15" s="49">
        <v>1</v>
      </c>
      <c r="D15" s="102">
        <v>148</v>
      </c>
      <c r="E15">
        <f t="shared" si="0"/>
        <v>149</v>
      </c>
      <c r="F15">
        <v>9</v>
      </c>
      <c r="G15">
        <f>D15+F15</f>
        <v>157</v>
      </c>
      <c r="H15">
        <f>E15+F15</f>
        <v>158</v>
      </c>
      <c r="I15" s="35"/>
    </row>
    <row r="16" spans="1:9" hidden="1" x14ac:dyDescent="0.25">
      <c r="A16" s="58" t="s">
        <v>391</v>
      </c>
      <c r="B16" s="58" t="s">
        <v>392</v>
      </c>
      <c r="C16">
        <v>1</v>
      </c>
      <c r="D16">
        <v>148</v>
      </c>
      <c r="E16">
        <f t="shared" si="0"/>
        <v>149</v>
      </c>
      <c r="H16" s="35"/>
      <c r="I16" s="35"/>
    </row>
    <row r="17" spans="1:9" x14ac:dyDescent="0.25">
      <c r="A17" s="59" t="s">
        <v>393</v>
      </c>
      <c r="B17" s="59" t="s">
        <v>394</v>
      </c>
      <c r="C17" s="49">
        <v>1</v>
      </c>
      <c r="D17" s="102">
        <v>148</v>
      </c>
      <c r="E17">
        <f t="shared" si="0"/>
        <v>149</v>
      </c>
      <c r="F17">
        <v>9</v>
      </c>
      <c r="G17">
        <f>D17+F17</f>
        <v>157</v>
      </c>
      <c r="H17">
        <f>E17+F17</f>
        <v>158</v>
      </c>
      <c r="I17" s="35"/>
    </row>
    <row r="18" spans="1:9" hidden="1" x14ac:dyDescent="0.25">
      <c r="A18" s="58" t="s">
        <v>395</v>
      </c>
      <c r="B18" s="59" t="s">
        <v>396</v>
      </c>
      <c r="C18">
        <v>1</v>
      </c>
      <c r="D18">
        <v>146</v>
      </c>
      <c r="E18">
        <f t="shared" si="0"/>
        <v>147</v>
      </c>
      <c r="H18" s="35"/>
      <c r="I18" s="35"/>
    </row>
    <row r="19" spans="1:9" hidden="1" x14ac:dyDescent="0.25">
      <c r="A19" s="58" t="s">
        <v>397</v>
      </c>
      <c r="B19" s="59" t="s">
        <v>398</v>
      </c>
      <c r="C19">
        <v>1</v>
      </c>
      <c r="D19">
        <v>146</v>
      </c>
      <c r="E19">
        <f t="shared" si="0"/>
        <v>147</v>
      </c>
      <c r="H19" s="35"/>
      <c r="I19" s="35"/>
    </row>
    <row r="20" spans="1:9" x14ac:dyDescent="0.25">
      <c r="A20" s="58" t="s">
        <v>399</v>
      </c>
      <c r="B20" s="59" t="s">
        <v>400</v>
      </c>
      <c r="C20" s="49">
        <v>1</v>
      </c>
      <c r="D20" s="102">
        <v>146</v>
      </c>
      <c r="E20">
        <f t="shared" si="0"/>
        <v>147</v>
      </c>
      <c r="F20">
        <v>9</v>
      </c>
      <c r="G20">
        <f>D20+F20</f>
        <v>155</v>
      </c>
      <c r="H20">
        <f>E20+F20</f>
        <v>156</v>
      </c>
      <c r="I20" s="35"/>
    </row>
    <row r="21" spans="1:9" hidden="1" x14ac:dyDescent="0.25">
      <c r="A21" s="58" t="s">
        <v>401</v>
      </c>
      <c r="B21" s="59" t="s">
        <v>402</v>
      </c>
      <c r="C21">
        <v>3</v>
      </c>
      <c r="D21">
        <v>147</v>
      </c>
      <c r="E21">
        <f t="shared" si="0"/>
        <v>150</v>
      </c>
      <c r="H21" s="35"/>
      <c r="I21" s="35"/>
    </row>
    <row r="22" spans="1:9" x14ac:dyDescent="0.25">
      <c r="A22" s="58" t="s">
        <v>403</v>
      </c>
      <c r="B22" s="59" t="s">
        <v>404</v>
      </c>
      <c r="C22" s="49">
        <v>8</v>
      </c>
      <c r="D22" s="102">
        <v>147</v>
      </c>
      <c r="E22">
        <f t="shared" si="0"/>
        <v>155</v>
      </c>
      <c r="F22">
        <v>9</v>
      </c>
      <c r="G22">
        <f>D22+F22</f>
        <v>156</v>
      </c>
      <c r="H22">
        <f>E22+F22</f>
        <v>164</v>
      </c>
      <c r="I22" s="35"/>
    </row>
    <row r="23" spans="1:9" hidden="1" x14ac:dyDescent="0.25">
      <c r="A23" s="58" t="s">
        <v>405</v>
      </c>
      <c r="B23" s="59" t="s">
        <v>406</v>
      </c>
      <c r="C23">
        <v>7</v>
      </c>
      <c r="D23">
        <v>147</v>
      </c>
      <c r="E23">
        <f t="shared" si="0"/>
        <v>154</v>
      </c>
      <c r="H23" s="35"/>
      <c r="I23" s="35"/>
    </row>
    <row r="24" spans="1:9" x14ac:dyDescent="0.25">
      <c r="A24" s="58" t="s">
        <v>407</v>
      </c>
      <c r="B24" s="59" t="s">
        <v>408</v>
      </c>
      <c r="C24" s="49">
        <v>8</v>
      </c>
      <c r="D24" s="102">
        <v>146</v>
      </c>
      <c r="E24">
        <f t="shared" si="0"/>
        <v>154</v>
      </c>
      <c r="F24">
        <v>9</v>
      </c>
      <c r="G24">
        <f>D24+F24</f>
        <v>155</v>
      </c>
      <c r="H24">
        <f>E24+F24</f>
        <v>163</v>
      </c>
      <c r="I24" s="35"/>
    </row>
    <row r="25" spans="1:9" hidden="1" x14ac:dyDescent="0.25">
      <c r="A25" s="59" t="s">
        <v>409</v>
      </c>
      <c r="B25" s="59" t="s">
        <v>410</v>
      </c>
      <c r="C25">
        <v>8</v>
      </c>
      <c r="D25">
        <v>147</v>
      </c>
      <c r="E25">
        <f t="shared" si="0"/>
        <v>155</v>
      </c>
      <c r="H25" s="35"/>
      <c r="I25" s="35"/>
    </row>
    <row r="26" spans="1:9" x14ac:dyDescent="0.25">
      <c r="A26" s="58" t="s">
        <v>411</v>
      </c>
      <c r="B26" s="59" t="s">
        <v>412</v>
      </c>
      <c r="C26" s="49">
        <v>9</v>
      </c>
      <c r="D26" s="102">
        <v>149</v>
      </c>
      <c r="E26">
        <f t="shared" si="0"/>
        <v>158</v>
      </c>
      <c r="F26">
        <v>9</v>
      </c>
      <c r="G26">
        <f>D26+F26</f>
        <v>158</v>
      </c>
      <c r="H26">
        <f>E26+F26</f>
        <v>167</v>
      </c>
      <c r="I26" s="35"/>
    </row>
    <row r="27" spans="1:9" hidden="1" x14ac:dyDescent="0.25">
      <c r="A27" s="58" t="s">
        <v>413</v>
      </c>
      <c r="B27" s="59" t="s">
        <v>414</v>
      </c>
      <c r="C27">
        <v>8</v>
      </c>
      <c r="D27">
        <v>149</v>
      </c>
      <c r="E27">
        <f t="shared" si="0"/>
        <v>157</v>
      </c>
      <c r="H27" s="35"/>
      <c r="I27" s="35"/>
    </row>
    <row r="28" spans="1:9" x14ac:dyDescent="0.25">
      <c r="A28" s="58" t="s">
        <v>415</v>
      </c>
      <c r="B28" s="59" t="s">
        <v>416</v>
      </c>
      <c r="C28" s="49">
        <v>9</v>
      </c>
      <c r="D28" s="102">
        <v>147</v>
      </c>
      <c r="E28">
        <f t="shared" si="0"/>
        <v>156</v>
      </c>
      <c r="F28">
        <v>9</v>
      </c>
      <c r="G28">
        <f>D28+F28</f>
        <v>156</v>
      </c>
      <c r="H28">
        <f>E28+F28</f>
        <v>165</v>
      </c>
      <c r="I28" s="35"/>
    </row>
    <row r="29" spans="1:9" hidden="1" x14ac:dyDescent="0.25">
      <c r="A29" s="58" t="s">
        <v>417</v>
      </c>
      <c r="B29" s="59" t="s">
        <v>418</v>
      </c>
      <c r="C29">
        <v>7</v>
      </c>
      <c r="D29">
        <v>147</v>
      </c>
      <c r="E29">
        <f t="shared" si="0"/>
        <v>154</v>
      </c>
    </row>
    <row r="30" spans="1:9" hidden="1" x14ac:dyDescent="0.25">
      <c r="A30" s="58" t="s">
        <v>419</v>
      </c>
      <c r="B30" s="59" t="s">
        <v>420</v>
      </c>
      <c r="C30">
        <v>3</v>
      </c>
      <c r="D30">
        <v>146</v>
      </c>
      <c r="E30">
        <f t="shared" si="0"/>
        <v>149</v>
      </c>
    </row>
    <row r="31" spans="1:9" x14ac:dyDescent="0.25">
      <c r="A31" s="58" t="s">
        <v>421</v>
      </c>
      <c r="B31" s="59" t="s">
        <v>422</v>
      </c>
      <c r="C31" s="141">
        <v>2</v>
      </c>
      <c r="D31" s="142">
        <v>145</v>
      </c>
      <c r="E31" s="109">
        <f t="shared" si="0"/>
        <v>147</v>
      </c>
      <c r="F31" s="109">
        <v>9</v>
      </c>
      <c r="G31" s="109">
        <f>D31+F31</f>
        <v>154</v>
      </c>
      <c r="H31" s="109">
        <f>E31+F31</f>
        <v>156</v>
      </c>
    </row>
    <row r="32" spans="1:9" hidden="1" x14ac:dyDescent="0.25">
      <c r="C32" s="60"/>
      <c r="D32" s="60"/>
      <c r="E32" s="60"/>
      <c r="G32">
        <f>SUM(G6:G31)</f>
        <v>1878</v>
      </c>
      <c r="H32">
        <f>SUM(H6:H31)</f>
        <v>1928</v>
      </c>
    </row>
  </sheetData>
  <autoFilter ref="A5:I32">
    <filterColumn colId="2">
      <colorFilter dxfId="0" cellColor="0"/>
    </filterColumn>
  </autoFilter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I35" sqref="I35"/>
    </sheetView>
  </sheetViews>
  <sheetFormatPr defaultRowHeight="15" x14ac:dyDescent="0.25"/>
  <cols>
    <col min="1" max="1" width="14.7109375" customWidth="1"/>
    <col min="2" max="2" width="11.85546875" customWidth="1"/>
    <col min="3" max="3" width="12.140625" customWidth="1"/>
    <col min="4" max="4" width="14.140625" customWidth="1"/>
    <col min="6" max="6" width="16.85546875" customWidth="1"/>
    <col min="7" max="7" width="21.42578125" customWidth="1"/>
  </cols>
  <sheetData>
    <row r="1" spans="1:7" x14ac:dyDescent="0.25">
      <c r="A1" s="151" t="s">
        <v>686</v>
      </c>
    </row>
    <row r="2" spans="1:7" x14ac:dyDescent="0.25">
      <c r="D2" s="43" t="s">
        <v>335</v>
      </c>
    </row>
    <row r="3" spans="1:7" x14ac:dyDescent="0.25">
      <c r="A3" s="43" t="s">
        <v>368</v>
      </c>
      <c r="B3" s="43" t="s">
        <v>333</v>
      </c>
      <c r="C3" s="43" t="s">
        <v>334</v>
      </c>
      <c r="D3" s="43" t="s">
        <v>29</v>
      </c>
      <c r="E3" s="43" t="s">
        <v>687</v>
      </c>
      <c r="F3" s="43" t="s">
        <v>688</v>
      </c>
    </row>
    <row r="5" spans="1:7" x14ac:dyDescent="0.25">
      <c r="A5" s="58">
        <v>44211</v>
      </c>
      <c r="B5">
        <v>2</v>
      </c>
      <c r="C5">
        <v>146</v>
      </c>
      <c r="D5">
        <f t="shared" ref="D5:D10" si="0">SUM(B5:C5)</f>
        <v>148</v>
      </c>
      <c r="E5">
        <v>9</v>
      </c>
      <c r="F5">
        <f t="shared" ref="F5:F10" si="1">C5+E5</f>
        <v>155</v>
      </c>
    </row>
    <row r="6" spans="1:7" x14ac:dyDescent="0.25">
      <c r="A6" s="58">
        <v>44225</v>
      </c>
      <c r="B6" s="152">
        <v>1</v>
      </c>
      <c r="C6">
        <v>142</v>
      </c>
      <c r="D6">
        <f t="shared" si="0"/>
        <v>143</v>
      </c>
      <c r="E6">
        <v>9</v>
      </c>
      <c r="F6" s="152">
        <f t="shared" si="1"/>
        <v>151</v>
      </c>
    </row>
    <row r="7" spans="1:7" x14ac:dyDescent="0.25">
      <c r="A7" s="58">
        <v>44239</v>
      </c>
      <c r="B7">
        <v>1</v>
      </c>
      <c r="C7">
        <v>142</v>
      </c>
      <c r="D7">
        <f t="shared" si="0"/>
        <v>143</v>
      </c>
      <c r="E7">
        <v>9</v>
      </c>
      <c r="F7">
        <f t="shared" si="1"/>
        <v>151</v>
      </c>
    </row>
    <row r="8" spans="1:7" x14ac:dyDescent="0.25">
      <c r="A8" s="58">
        <v>44253</v>
      </c>
      <c r="B8" s="152">
        <v>1</v>
      </c>
      <c r="C8">
        <v>142</v>
      </c>
      <c r="D8">
        <f t="shared" si="0"/>
        <v>143</v>
      </c>
      <c r="E8">
        <v>9</v>
      </c>
      <c r="F8" s="152">
        <f t="shared" si="1"/>
        <v>151</v>
      </c>
    </row>
    <row r="9" spans="1:7" x14ac:dyDescent="0.25">
      <c r="A9" s="58">
        <v>44267</v>
      </c>
      <c r="B9">
        <v>1</v>
      </c>
      <c r="C9">
        <v>139</v>
      </c>
      <c r="D9">
        <f t="shared" si="0"/>
        <v>140</v>
      </c>
      <c r="E9">
        <v>9</v>
      </c>
      <c r="F9">
        <f t="shared" si="1"/>
        <v>148</v>
      </c>
    </row>
    <row r="10" spans="1:7" x14ac:dyDescent="0.25">
      <c r="A10" s="58">
        <v>44281</v>
      </c>
      <c r="B10" s="152">
        <v>1</v>
      </c>
      <c r="C10">
        <v>140</v>
      </c>
      <c r="D10">
        <f t="shared" si="0"/>
        <v>141</v>
      </c>
      <c r="E10">
        <v>9</v>
      </c>
      <c r="F10" s="152">
        <f t="shared" si="1"/>
        <v>149</v>
      </c>
      <c r="G10" s="35"/>
    </row>
    <row r="11" spans="1:7" x14ac:dyDescent="0.25">
      <c r="A11" s="58"/>
      <c r="C11" s="35"/>
      <c r="F11" s="35"/>
      <c r="G11" s="35"/>
    </row>
    <row r="12" spans="1:7" x14ac:dyDescent="0.25">
      <c r="A12" s="58"/>
      <c r="C12" s="35"/>
      <c r="F12" s="35"/>
      <c r="G12" s="35"/>
    </row>
    <row r="13" spans="1:7" x14ac:dyDescent="0.25">
      <c r="A13" s="58"/>
      <c r="F13" s="35"/>
      <c r="G13" s="35"/>
    </row>
    <row r="14" spans="1:7" x14ac:dyDescent="0.25">
      <c r="A14" s="59"/>
      <c r="F14" s="35"/>
      <c r="G14" s="35"/>
    </row>
    <row r="15" spans="1:7" x14ac:dyDescent="0.25">
      <c r="A15" s="59"/>
      <c r="F15" s="35"/>
      <c r="G15" s="35"/>
    </row>
    <row r="16" spans="1:7" x14ac:dyDescent="0.25">
      <c r="A16" s="58"/>
      <c r="F16" s="35"/>
      <c r="G16" s="35"/>
    </row>
    <row r="17" spans="1:7" x14ac:dyDescent="0.25">
      <c r="A17" s="59"/>
      <c r="F17" s="35"/>
      <c r="G17" s="35"/>
    </row>
    <row r="18" spans="1:7" x14ac:dyDescent="0.25">
      <c r="A18" s="59"/>
      <c r="F18" s="35"/>
      <c r="G18" s="35"/>
    </row>
    <row r="19" spans="1:7" x14ac:dyDescent="0.25">
      <c r="A19" s="59"/>
      <c r="F19" s="35"/>
      <c r="G19" s="35"/>
    </row>
    <row r="20" spans="1:7" x14ac:dyDescent="0.25">
      <c r="A20" s="59"/>
      <c r="F20" s="35"/>
      <c r="G20" s="35"/>
    </row>
    <row r="21" spans="1:7" x14ac:dyDescent="0.25">
      <c r="A21" s="59"/>
      <c r="F21" s="35"/>
      <c r="G21" s="35"/>
    </row>
    <row r="22" spans="1:7" x14ac:dyDescent="0.25">
      <c r="A22" s="59"/>
      <c r="F22" s="35"/>
      <c r="G22" s="35"/>
    </row>
    <row r="23" spans="1:7" x14ac:dyDescent="0.25">
      <c r="A23" s="59"/>
      <c r="F23" s="35"/>
      <c r="G23" s="35"/>
    </row>
    <row r="24" spans="1:7" x14ac:dyDescent="0.25">
      <c r="A24" s="59"/>
      <c r="F24" s="35"/>
      <c r="G24" s="35"/>
    </row>
    <row r="25" spans="1:7" x14ac:dyDescent="0.25">
      <c r="A25" s="59"/>
      <c r="F25" s="35"/>
      <c r="G25" s="35"/>
    </row>
    <row r="26" spans="1:7" x14ac:dyDescent="0.25">
      <c r="A26" s="59"/>
      <c r="F26" s="35"/>
      <c r="G26" s="35"/>
    </row>
    <row r="27" spans="1:7" x14ac:dyDescent="0.25">
      <c r="A27" s="59"/>
      <c r="F27" s="35"/>
      <c r="G27" s="35"/>
    </row>
    <row r="28" spans="1:7" x14ac:dyDescent="0.25">
      <c r="A28" s="59"/>
      <c r="F28" s="35"/>
      <c r="G28" s="35"/>
    </row>
    <row r="29" spans="1:7" x14ac:dyDescent="0.25">
      <c r="A29" s="59"/>
    </row>
    <row r="30" spans="1:7" x14ac:dyDescent="0.25">
      <c r="A30" s="59"/>
    </row>
    <row r="31" spans="1:7" x14ac:dyDescent="0.25">
      <c r="A31" s="59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R19"/>
  <sheetViews>
    <sheetView topLeftCell="A12" workbookViewId="0">
      <selection activeCell="R11" sqref="R11"/>
    </sheetView>
  </sheetViews>
  <sheetFormatPr defaultRowHeight="15" x14ac:dyDescent="0.25"/>
  <sheetData>
    <row r="5" spans="17:18" x14ac:dyDescent="0.25">
      <c r="R5" t="s">
        <v>668</v>
      </c>
    </row>
    <row r="6" spans="17:18" x14ac:dyDescent="0.25">
      <c r="Q6" t="s">
        <v>669</v>
      </c>
      <c r="R6" s="24">
        <v>152</v>
      </c>
    </row>
    <row r="7" spans="17:18" x14ac:dyDescent="0.25">
      <c r="Q7" t="s">
        <v>670</v>
      </c>
      <c r="R7" s="109">
        <v>9</v>
      </c>
    </row>
    <row r="8" spans="17:18" x14ac:dyDescent="0.25">
      <c r="Q8" t="s">
        <v>671</v>
      </c>
      <c r="R8">
        <f>R6+R7</f>
        <v>161</v>
      </c>
    </row>
    <row r="10" spans="17:18" x14ac:dyDescent="0.25">
      <c r="Q10" t="s">
        <v>698</v>
      </c>
      <c r="R10">
        <v>14</v>
      </c>
    </row>
    <row r="18" spans="2:2" x14ac:dyDescent="0.25">
      <c r="B18" t="s">
        <v>666</v>
      </c>
    </row>
    <row r="19" spans="2:2" x14ac:dyDescent="0.25">
      <c r="B19" t="s">
        <v>667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0"/>
  <sheetViews>
    <sheetView topLeftCell="A12" workbookViewId="0">
      <selection activeCell="S13" sqref="S13"/>
    </sheetView>
  </sheetViews>
  <sheetFormatPr defaultRowHeight="15" x14ac:dyDescent="0.25"/>
  <sheetData>
    <row r="2" spans="2:19" x14ac:dyDescent="0.25">
      <c r="B2" t="s">
        <v>678</v>
      </c>
    </row>
    <row r="4" spans="2:19" x14ac:dyDescent="0.25">
      <c r="S4" t="s">
        <v>681</v>
      </c>
    </row>
    <row r="5" spans="2:19" x14ac:dyDescent="0.25">
      <c r="R5" t="s">
        <v>679</v>
      </c>
      <c r="S5">
        <v>152</v>
      </c>
    </row>
    <row r="6" spans="2:19" x14ac:dyDescent="0.25">
      <c r="R6" t="s">
        <v>680</v>
      </c>
      <c r="S6" s="65">
        <v>9</v>
      </c>
    </row>
    <row r="7" spans="2:19" x14ac:dyDescent="0.25">
      <c r="S7">
        <f>S5+S6</f>
        <v>161</v>
      </c>
    </row>
    <row r="10" spans="2:19" x14ac:dyDescent="0.25">
      <c r="R10" t="s">
        <v>698</v>
      </c>
      <c r="S10">
        <v>14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2" workbookViewId="0">
      <selection activeCell="R24" sqref="R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9" sqref="N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3:O4"/>
  <sheetViews>
    <sheetView workbookViewId="0">
      <selection activeCell="O3" sqref="O3:O4"/>
    </sheetView>
  </sheetViews>
  <sheetFormatPr defaultRowHeight="15" x14ac:dyDescent="0.25"/>
  <cols>
    <col min="1" max="16384" width="9.140625" style="86"/>
  </cols>
  <sheetData>
    <row r="3" spans="15:15" x14ac:dyDescent="0.25">
      <c r="O3" s="86" t="s">
        <v>665</v>
      </c>
    </row>
    <row r="4" spans="15:15" x14ac:dyDescent="0.25">
      <c r="O4" s="86">
        <v>162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workbookViewId="0">
      <selection activeCell="A5" sqref="A5:Y5"/>
    </sheetView>
  </sheetViews>
  <sheetFormatPr defaultRowHeight="15" outlineLevelCol="1" x14ac:dyDescent="0.25"/>
  <cols>
    <col min="2" max="2" width="15.85546875" bestFit="1" customWidth="1"/>
    <col min="3" max="6" width="11.85546875" customWidth="1"/>
    <col min="7" max="10" width="11.85546875" hidden="1" customWidth="1" outlineLevel="1"/>
    <col min="11" max="11" width="13.28515625" hidden="1" customWidth="1" outlineLevel="1"/>
    <col min="12" max="12" width="10.5703125" hidden="1" customWidth="1" outlineLevel="1"/>
    <col min="13" max="16" width="13.28515625" hidden="1" customWidth="1" outlineLevel="1"/>
    <col min="17" max="17" width="13.28515625" customWidth="1" collapsed="1"/>
    <col min="18" max="19" width="13.28515625" customWidth="1"/>
    <col min="20" max="20" width="13.28515625" bestFit="1" customWidth="1"/>
    <col min="21" max="21" width="11.5703125" bestFit="1" customWidth="1"/>
    <col min="22" max="22" width="13.28515625" bestFit="1" customWidth="1"/>
  </cols>
  <sheetData>
    <row r="1" spans="1:25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 t="s">
        <v>13</v>
      </c>
    </row>
    <row r="2" spans="1:25" x14ac:dyDescent="0.25">
      <c r="A2" s="476" t="s">
        <v>10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  <c r="P2" s="477"/>
      <c r="Q2" s="477"/>
      <c r="R2" s="477"/>
      <c r="S2" s="477"/>
      <c r="T2" s="477"/>
      <c r="U2" s="477"/>
      <c r="V2" s="477"/>
      <c r="W2" s="477"/>
      <c r="X2" s="477"/>
      <c r="Y2" s="478"/>
    </row>
    <row r="3" spans="1:25" x14ac:dyDescent="0.25">
      <c r="A3" s="476" t="s">
        <v>11</v>
      </c>
      <c r="B3" s="477"/>
      <c r="C3" s="477"/>
      <c r="D3" s="477"/>
      <c r="E3" s="477"/>
      <c r="F3" s="477"/>
      <c r="G3" s="477"/>
      <c r="H3" s="477"/>
      <c r="I3" s="477"/>
      <c r="J3" s="477"/>
      <c r="K3" s="477"/>
      <c r="L3" s="477"/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8"/>
    </row>
    <row r="4" spans="1:25" x14ac:dyDescent="0.25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6"/>
    </row>
    <row r="5" spans="1:25" x14ac:dyDescent="0.25">
      <c r="A5" s="476" t="s">
        <v>12</v>
      </c>
      <c r="B5" s="477"/>
      <c r="C5" s="477"/>
      <c r="D5" s="477"/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  <c r="Q5" s="477"/>
      <c r="R5" s="477"/>
      <c r="S5" s="477"/>
      <c r="T5" s="477"/>
      <c r="U5" s="477"/>
      <c r="V5" s="477"/>
      <c r="W5" s="477"/>
      <c r="X5" s="477"/>
      <c r="Y5" s="478"/>
    </row>
    <row r="6" spans="1:25" x14ac:dyDescent="0.25">
      <c r="A6" s="476" t="s">
        <v>30</v>
      </c>
      <c r="B6" s="477"/>
      <c r="C6" s="477"/>
      <c r="D6" s="477"/>
      <c r="E6" s="477"/>
      <c r="F6" s="477"/>
      <c r="G6" s="477"/>
      <c r="H6" s="477"/>
      <c r="I6" s="477"/>
      <c r="J6" s="477"/>
      <c r="K6" s="477"/>
      <c r="L6" s="477"/>
      <c r="M6" s="477"/>
      <c r="N6" s="477"/>
      <c r="O6" s="477"/>
      <c r="P6" s="477"/>
      <c r="Q6" s="477"/>
      <c r="R6" s="477"/>
      <c r="S6" s="477"/>
      <c r="T6" s="477"/>
      <c r="U6" s="477"/>
      <c r="V6" s="477"/>
      <c r="W6" s="477"/>
      <c r="X6" s="477"/>
      <c r="Y6" s="478"/>
    </row>
    <row r="7" spans="1:25" x14ac:dyDescent="0.25">
      <c r="A7" s="7"/>
      <c r="B7" s="8"/>
      <c r="C7" s="8"/>
      <c r="D7" s="8"/>
      <c r="E7" s="8"/>
      <c r="F7" s="8"/>
      <c r="G7" s="224"/>
      <c r="H7" s="224"/>
      <c r="I7" s="224"/>
      <c r="J7" s="224"/>
      <c r="K7" s="8"/>
      <c r="L7" s="8"/>
      <c r="M7" s="8"/>
      <c r="N7" s="224"/>
      <c r="O7" s="224"/>
      <c r="P7" s="224"/>
      <c r="Q7" s="224"/>
      <c r="R7" s="224"/>
      <c r="S7" s="224"/>
      <c r="T7" s="8"/>
      <c r="U7" s="8"/>
      <c r="V7" s="8"/>
      <c r="W7" s="8"/>
      <c r="X7" s="8"/>
      <c r="Y7" s="9"/>
    </row>
    <row r="8" spans="1:25" x14ac:dyDescent="0.25">
      <c r="A8" s="4" t="s">
        <v>14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6"/>
    </row>
    <row r="9" spans="1:25" x14ac:dyDescent="0.25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6"/>
    </row>
    <row r="10" spans="1:25" ht="45" customHeight="1" x14ac:dyDescent="0.25">
      <c r="A10" s="483" t="s">
        <v>0</v>
      </c>
      <c r="B10" s="481" t="s">
        <v>1</v>
      </c>
      <c r="C10" s="475" t="s">
        <v>692</v>
      </c>
      <c r="D10" s="475"/>
      <c r="E10" s="475" t="s">
        <v>691</v>
      </c>
      <c r="F10" s="475"/>
      <c r="G10" s="498" t="s">
        <v>744</v>
      </c>
      <c r="H10" s="499"/>
      <c r="I10" s="499"/>
      <c r="J10" s="499"/>
      <c r="K10" s="499"/>
      <c r="L10" s="499"/>
      <c r="M10" s="500"/>
      <c r="N10" s="479" t="s">
        <v>820</v>
      </c>
      <c r="O10" s="479"/>
      <c r="P10" s="479"/>
      <c r="Q10" s="480" t="s">
        <v>7</v>
      </c>
      <c r="R10" s="480"/>
      <c r="S10" s="480"/>
      <c r="T10" s="479" t="s">
        <v>1178</v>
      </c>
      <c r="U10" s="479"/>
      <c r="V10" s="479"/>
      <c r="W10" s="481" t="s">
        <v>9</v>
      </c>
      <c r="X10" s="481"/>
      <c r="Y10" s="482"/>
    </row>
    <row r="11" spans="1:25" ht="15.75" thickBot="1" x14ac:dyDescent="0.3">
      <c r="A11" s="484"/>
      <c r="B11" s="485"/>
      <c r="C11" s="10" t="s">
        <v>2</v>
      </c>
      <c r="D11" s="10" t="s">
        <v>1173</v>
      </c>
      <c r="E11" s="10" t="s">
        <v>2</v>
      </c>
      <c r="F11" s="10" t="s">
        <v>1173</v>
      </c>
      <c r="G11" s="178" t="s">
        <v>715</v>
      </c>
      <c r="H11" s="178" t="s">
        <v>716</v>
      </c>
      <c r="I11" s="178" t="s">
        <v>718</v>
      </c>
      <c r="J11" s="178" t="s">
        <v>717</v>
      </c>
      <c r="K11" s="225" t="s">
        <v>4</v>
      </c>
      <c r="L11" s="225" t="s">
        <v>5</v>
      </c>
      <c r="M11" s="225" t="s">
        <v>6</v>
      </c>
      <c r="N11" s="178" t="s">
        <v>715</v>
      </c>
      <c r="O11" s="178" t="s">
        <v>716</v>
      </c>
      <c r="P11" s="178" t="s">
        <v>6</v>
      </c>
      <c r="Q11" s="178" t="s">
        <v>4</v>
      </c>
      <c r="R11" s="178" t="s">
        <v>5</v>
      </c>
      <c r="S11" s="178" t="s">
        <v>6</v>
      </c>
      <c r="T11" s="178" t="s">
        <v>4</v>
      </c>
      <c r="U11" s="178" t="s">
        <v>5</v>
      </c>
      <c r="V11" s="178" t="s">
        <v>6</v>
      </c>
      <c r="W11" s="164" t="s">
        <v>4</v>
      </c>
      <c r="X11" s="164" t="s">
        <v>1175</v>
      </c>
      <c r="Y11" s="11" t="s">
        <v>6</v>
      </c>
    </row>
    <row r="12" spans="1:25" x14ac:dyDescent="0.25">
      <c r="A12" s="12" t="s">
        <v>15</v>
      </c>
      <c r="B12" t="s">
        <v>27</v>
      </c>
      <c r="C12" s="325">
        <f>'2020 Budgeted HC'!$S$7</f>
        <v>161</v>
      </c>
      <c r="D12">
        <f>'2020 Actual HC'!G7</f>
        <v>157</v>
      </c>
      <c r="E12" s="325"/>
      <c r="G12" s="254">
        <f>'Budget 2020'!$S$23*3</f>
        <v>752282.45444444439</v>
      </c>
      <c r="H12" s="180">
        <f>'Budget 2020'!$T$5*3</f>
        <v>29717.54555555556</v>
      </c>
      <c r="I12" s="237">
        <f>'BW PKY-2020'!$V$16/27*3</f>
        <v>65802.222222222219</v>
      </c>
      <c r="J12" s="375">
        <f>'BW PKY-2020'!$V$36/27*3</f>
        <v>7031.1111111111113</v>
      </c>
      <c r="K12" s="33">
        <f>G12+I12</f>
        <v>818084.67666666664</v>
      </c>
      <c r="L12" s="33">
        <f>H12+J12</f>
        <v>36748.656666666669</v>
      </c>
      <c r="M12" s="229">
        <f>K12+L12</f>
        <v>854833.33333333326</v>
      </c>
      <c r="N12" s="180">
        <f>'Budget 2020'!$S$17*3</f>
        <v>147050.13333333333</v>
      </c>
      <c r="O12" s="180">
        <f>'Budget 2020'!$Y$5*3</f>
        <v>9394.3111111111102</v>
      </c>
      <c r="P12" s="180">
        <f>N12+O12</f>
        <v>156444.44444444444</v>
      </c>
      <c r="Q12" s="242">
        <f>K12+N12</f>
        <v>965134.80999999994</v>
      </c>
      <c r="R12" s="180">
        <f>L12+O12</f>
        <v>46142.967777777783</v>
      </c>
      <c r="S12" s="229">
        <f>Q12+R12</f>
        <v>1011277.7777777778</v>
      </c>
      <c r="T12" s="173">
        <f>963494.67-4680+9440.81-866.16+21</f>
        <v>967410.32000000007</v>
      </c>
      <c r="U12" s="173">
        <v>34032.339999999997</v>
      </c>
      <c r="V12" s="173">
        <f>SUM(T12:U12)</f>
        <v>1001442.66</v>
      </c>
      <c r="W12" s="161">
        <f>(T12-Q12)/Q12</f>
        <v>2.357712079621422E-3</v>
      </c>
      <c r="X12" s="161">
        <f>(U12-R12)/R12</f>
        <v>-0.26245879623742369</v>
      </c>
      <c r="Y12" s="161">
        <f>(V12-S12)/S12</f>
        <v>-9.725436466516451E-3</v>
      </c>
    </row>
    <row r="13" spans="1:25" x14ac:dyDescent="0.25">
      <c r="A13" s="12" t="str">
        <f>A12</f>
        <v>Jan</v>
      </c>
      <c r="B13" t="s">
        <v>28</v>
      </c>
      <c r="C13" s="326"/>
      <c r="E13" s="326">
        <f>'2020 Budgeted HC'!$S$10</f>
        <v>14</v>
      </c>
      <c r="F13">
        <f>'2020 Actual HC'!C7</f>
        <v>3</v>
      </c>
      <c r="G13" s="255">
        <f>'Budget 2020'!$T$9*3</f>
        <v>15555.555555555555</v>
      </c>
      <c r="H13" s="180"/>
      <c r="I13" s="237"/>
      <c r="J13" s="227"/>
      <c r="K13" s="33">
        <f t="shared" ref="K13:K35" si="0">G13+I13</f>
        <v>15555.555555555555</v>
      </c>
      <c r="L13" s="33">
        <f t="shared" ref="L13:L35" si="1">H13+J13</f>
        <v>0</v>
      </c>
      <c r="M13" s="230">
        <f t="shared" ref="M13:M35" si="2">K13+L13</f>
        <v>15555.555555555555</v>
      </c>
      <c r="N13" s="180"/>
      <c r="O13" s="180"/>
      <c r="P13" s="180"/>
      <c r="Q13" s="243">
        <f t="shared" ref="Q13:R35" si="3">K13+N13</f>
        <v>15555.555555555555</v>
      </c>
      <c r="R13" s="180">
        <f t="shared" si="3"/>
        <v>0</v>
      </c>
      <c r="S13" s="230">
        <f t="shared" ref="S13:S35" si="4">Q13+R13</f>
        <v>15555.555555555555</v>
      </c>
      <c r="T13" s="173">
        <f>2530+1190+960</f>
        <v>4680</v>
      </c>
      <c r="U13" s="173">
        <v>0</v>
      </c>
      <c r="V13" s="173">
        <f t="shared" ref="V13:V34" si="5">SUM(T13:U13)</f>
        <v>4680</v>
      </c>
      <c r="W13" s="161">
        <f t="shared" ref="W13:W34" si="6">(T13-Q13)/Q13</f>
        <v>-0.69914285714285718</v>
      </c>
      <c r="X13" s="33">
        <v>0</v>
      </c>
      <c r="Y13" s="161">
        <f t="shared" ref="Y13:Y37" si="7">(V13-S13)/S13</f>
        <v>-0.69914285714285718</v>
      </c>
    </row>
    <row r="14" spans="1:25" x14ac:dyDescent="0.25">
      <c r="A14" t="s">
        <v>16</v>
      </c>
      <c r="B14" t="s">
        <v>27</v>
      </c>
      <c r="C14" s="326">
        <f>'2020 Budgeted HC'!$S$7</f>
        <v>161</v>
      </c>
      <c r="D14">
        <f>'2020 Actual HC'!G9</f>
        <v>158</v>
      </c>
      <c r="E14" s="326"/>
      <c r="G14" s="255">
        <f>'Budget 2020'!$S$23*2</f>
        <v>501521.63629629626</v>
      </c>
      <c r="H14" s="180">
        <f>'Budget 2020'!$T$5*2</f>
        <v>19811.69703703704</v>
      </c>
      <c r="I14" s="237">
        <f>'BW PKY-2020'!$V$16/27*2</f>
        <v>43868.148148148146</v>
      </c>
      <c r="J14" s="375">
        <f>'BW PKY-2020'!$V$36/27*2</f>
        <v>4687.4074074074078</v>
      </c>
      <c r="K14" s="33">
        <f t="shared" si="0"/>
        <v>545389.78444444435</v>
      </c>
      <c r="L14" s="33">
        <f t="shared" si="1"/>
        <v>24499.104444444449</v>
      </c>
      <c r="M14" s="230">
        <f t="shared" si="2"/>
        <v>569888.88888888876</v>
      </c>
      <c r="N14" s="180">
        <f>'Budget 2020'!$S$17*2</f>
        <v>98033.422222222216</v>
      </c>
      <c r="O14" s="180">
        <f>'Budget 2020'!$Y$5*2</f>
        <v>6262.8740740740741</v>
      </c>
      <c r="P14" s="180">
        <f t="shared" ref="P14:P34" si="8">N14+O14</f>
        <v>104296.29629629629</v>
      </c>
      <c r="Q14" s="243">
        <f>K14+N14</f>
        <v>643423.20666666655</v>
      </c>
      <c r="R14" s="180">
        <f t="shared" si="3"/>
        <v>30761.978518518525</v>
      </c>
      <c r="S14" s="230">
        <f t="shared" si="4"/>
        <v>674185.18518518505</v>
      </c>
      <c r="T14" s="173">
        <f>639882.84-2280+6319.36-577.44+35</f>
        <v>643379.76</v>
      </c>
      <c r="U14" s="173">
        <v>28051.040000000001</v>
      </c>
      <c r="V14" s="173">
        <f t="shared" si="5"/>
        <v>671430.8</v>
      </c>
      <c r="W14" s="161">
        <f t="shared" si="6"/>
        <v>-6.7524245654147617E-5</v>
      </c>
      <c r="X14" s="161">
        <f t="shared" ref="X14:X34" si="9">(U14-R14)/R14</f>
        <v>-8.8126273051213372E-2</v>
      </c>
      <c r="Y14" s="161">
        <f t="shared" si="7"/>
        <v>-4.0855023897157141E-3</v>
      </c>
    </row>
    <row r="15" spans="1:25" x14ac:dyDescent="0.25">
      <c r="A15" t="s">
        <v>16</v>
      </c>
      <c r="B15" t="s">
        <v>28</v>
      </c>
      <c r="C15" s="326"/>
      <c r="E15" s="326">
        <f>'2020 Budgeted HC'!$S$10</f>
        <v>14</v>
      </c>
      <c r="F15">
        <f>'2020 Actual HC'!C9</f>
        <v>3</v>
      </c>
      <c r="G15" s="255">
        <f>'Budget 2020'!$T$9*2</f>
        <v>10370.37037037037</v>
      </c>
      <c r="H15" s="180"/>
      <c r="I15" s="237"/>
      <c r="J15" s="227"/>
      <c r="K15" s="33">
        <f t="shared" si="0"/>
        <v>10370.37037037037</v>
      </c>
      <c r="L15" s="33">
        <f t="shared" si="1"/>
        <v>0</v>
      </c>
      <c r="M15" s="230">
        <f t="shared" si="2"/>
        <v>10370.37037037037</v>
      </c>
      <c r="N15" s="180"/>
      <c r="O15" s="180"/>
      <c r="P15" s="180"/>
      <c r="Q15" s="243">
        <f>K15+N15</f>
        <v>10370.37037037037</v>
      </c>
      <c r="R15" s="180">
        <f t="shared" si="3"/>
        <v>0</v>
      </c>
      <c r="S15" s="230">
        <f t="shared" si="4"/>
        <v>10370.37037037037</v>
      </c>
      <c r="T15" s="173">
        <f>1080+1200</f>
        <v>2280</v>
      </c>
      <c r="U15" s="173">
        <v>0</v>
      </c>
      <c r="V15" s="173">
        <f t="shared" si="5"/>
        <v>2280</v>
      </c>
      <c r="W15" s="161">
        <f t="shared" si="6"/>
        <v>-0.78014285714285714</v>
      </c>
      <c r="X15" s="33">
        <v>0</v>
      </c>
      <c r="Y15" s="161">
        <f t="shared" si="7"/>
        <v>-0.78014285714285714</v>
      </c>
    </row>
    <row r="16" spans="1:25" x14ac:dyDescent="0.25">
      <c r="A16" s="12" t="s">
        <v>17</v>
      </c>
      <c r="B16" t="s">
        <v>27</v>
      </c>
      <c r="C16" s="326">
        <f>'2020 Budgeted HC'!$S$7</f>
        <v>161</v>
      </c>
      <c r="D16">
        <f>'2020 Actual HC'!G11</f>
        <v>157</v>
      </c>
      <c r="E16" s="326"/>
      <c r="G16" s="255">
        <f>'Budget 2020'!$S$23*2</f>
        <v>501521.63629629626</v>
      </c>
      <c r="H16" s="180">
        <f>'Budget 2020'!$T$5*2</f>
        <v>19811.69703703704</v>
      </c>
      <c r="I16" s="237">
        <f>'BW PKY-2020'!$V$16/27*2</f>
        <v>43868.148148148146</v>
      </c>
      <c r="J16" s="375">
        <f>'BW PKY-2020'!$V$36/27*2</f>
        <v>4687.4074074074078</v>
      </c>
      <c r="K16" s="33">
        <f t="shared" si="0"/>
        <v>545389.78444444435</v>
      </c>
      <c r="L16" s="33">
        <f t="shared" si="1"/>
        <v>24499.104444444449</v>
      </c>
      <c r="M16" s="230">
        <f t="shared" si="2"/>
        <v>569888.88888888876</v>
      </c>
      <c r="N16" s="180">
        <f>'Budget 2020'!$S$17*2</f>
        <v>98033.422222222216</v>
      </c>
      <c r="O16" s="180">
        <f>'Budget 2020'!$Y$5*2</f>
        <v>6262.8740740740741</v>
      </c>
      <c r="P16" s="180">
        <f t="shared" si="8"/>
        <v>104296.29629629629</v>
      </c>
      <c r="Q16" s="243">
        <f t="shared" si="3"/>
        <v>643423.20666666655</v>
      </c>
      <c r="R16" s="180">
        <f t="shared" si="3"/>
        <v>30761.978518518525</v>
      </c>
      <c r="S16" s="230">
        <f t="shared" si="4"/>
        <v>674185.18518518505</v>
      </c>
      <c r="T16" s="173">
        <f>670404.95-1840+6013.55-577.44</f>
        <v>674001.06</v>
      </c>
      <c r="U16" s="173">
        <v>19830.09</v>
      </c>
      <c r="V16" s="173">
        <f t="shared" si="5"/>
        <v>693831.15</v>
      </c>
      <c r="W16" s="161">
        <f t="shared" si="6"/>
        <v>4.7523702932236241E-2</v>
      </c>
      <c r="X16" s="161">
        <f t="shared" si="9"/>
        <v>-0.35537013693503472</v>
      </c>
      <c r="Y16" s="161">
        <f t="shared" si="7"/>
        <v>2.9140309289677764E-2</v>
      </c>
    </row>
    <row r="17" spans="1:25" x14ac:dyDescent="0.25">
      <c r="A17" s="12" t="s">
        <v>17</v>
      </c>
      <c r="B17" t="s">
        <v>28</v>
      </c>
      <c r="C17" s="326"/>
      <c r="E17" s="326">
        <f>'2020 Budgeted HC'!$S$10</f>
        <v>14</v>
      </c>
      <c r="F17">
        <f>'2020 Actual HC'!C11</f>
        <v>4</v>
      </c>
      <c r="G17" s="255">
        <f>'Budget 2020'!$T$9*2</f>
        <v>10370.37037037037</v>
      </c>
      <c r="H17" s="180"/>
      <c r="I17" s="237"/>
      <c r="J17" s="227"/>
      <c r="K17" s="33">
        <f t="shared" si="0"/>
        <v>10370.37037037037</v>
      </c>
      <c r="L17" s="33">
        <f t="shared" si="1"/>
        <v>0</v>
      </c>
      <c r="M17" s="230">
        <f t="shared" si="2"/>
        <v>10370.37037037037</v>
      </c>
      <c r="N17" s="180"/>
      <c r="O17" s="180"/>
      <c r="P17" s="180"/>
      <c r="Q17" s="243">
        <f t="shared" si="3"/>
        <v>10370.37037037037</v>
      </c>
      <c r="R17" s="180">
        <f t="shared" si="3"/>
        <v>0</v>
      </c>
      <c r="S17" s="230">
        <f t="shared" si="4"/>
        <v>10370.37037037037</v>
      </c>
      <c r="T17" s="173">
        <f>1280+560</f>
        <v>1840</v>
      </c>
      <c r="U17" s="173">
        <v>0</v>
      </c>
      <c r="V17" s="173">
        <f t="shared" si="5"/>
        <v>1840</v>
      </c>
      <c r="W17" s="161">
        <f t="shared" si="6"/>
        <v>-0.82257142857142862</v>
      </c>
      <c r="X17" s="33">
        <v>0</v>
      </c>
      <c r="Y17" s="161">
        <f t="shared" si="7"/>
        <v>-0.82257142857142862</v>
      </c>
    </row>
    <row r="18" spans="1:25" x14ac:dyDescent="0.25">
      <c r="A18" t="s">
        <v>18</v>
      </c>
      <c r="B18" t="s">
        <v>27</v>
      </c>
      <c r="C18" s="326">
        <f>'2020 Budgeted HC'!$S$7</f>
        <v>161</v>
      </c>
      <c r="D18">
        <f>'2020 Actual HC'!G13</f>
        <v>158</v>
      </c>
      <c r="E18" s="326"/>
      <c r="G18" s="255">
        <f>'Budget 2020'!$S$23*2</f>
        <v>501521.63629629626</v>
      </c>
      <c r="H18" s="180">
        <f>'Budget 2020'!$T$5*2</f>
        <v>19811.69703703704</v>
      </c>
      <c r="I18" s="237">
        <f>'BW PKY-2020'!$V$16/27*2</f>
        <v>43868.148148148146</v>
      </c>
      <c r="J18" s="375">
        <f>'BW PKY-2020'!$V$36/27*2</f>
        <v>4687.4074074074078</v>
      </c>
      <c r="K18" s="33">
        <f t="shared" si="0"/>
        <v>545389.78444444435</v>
      </c>
      <c r="L18" s="33">
        <f t="shared" si="1"/>
        <v>24499.104444444449</v>
      </c>
      <c r="M18" s="230">
        <f t="shared" si="2"/>
        <v>569888.88888888876</v>
      </c>
      <c r="N18" s="180">
        <f>'Budget 2020'!$S$17*2</f>
        <v>98033.422222222216</v>
      </c>
      <c r="O18" s="180">
        <f>'Budget 2020'!$Y$5*2</f>
        <v>6262.8740740740741</v>
      </c>
      <c r="P18" s="180">
        <f t="shared" si="8"/>
        <v>104296.29629629629</v>
      </c>
      <c r="Q18" s="243">
        <f t="shared" si="3"/>
        <v>643423.20666666655</v>
      </c>
      <c r="R18" s="180">
        <f>L18+O18</f>
        <v>30761.978518518525</v>
      </c>
      <c r="S18" s="230">
        <f>Q18+R18</f>
        <v>674185.18518518505</v>
      </c>
      <c r="T18" s="173">
        <f>672368.02-250+6639.82-3017.44+7</f>
        <v>675747.4</v>
      </c>
      <c r="U18" s="173">
        <v>17438.93</v>
      </c>
      <c r="V18" s="173">
        <f t="shared" si="5"/>
        <v>693186.33000000007</v>
      </c>
      <c r="W18" s="161">
        <f t="shared" si="6"/>
        <v>5.0237841903143274E-2</v>
      </c>
      <c r="X18" s="161">
        <f t="shared" si="9"/>
        <v>-0.43310115799275167</v>
      </c>
      <c r="Y18" s="161">
        <f t="shared" si="7"/>
        <v>2.8183865846289388E-2</v>
      </c>
    </row>
    <row r="19" spans="1:25" x14ac:dyDescent="0.25">
      <c r="A19" t="s">
        <v>18</v>
      </c>
      <c r="B19" t="s">
        <v>28</v>
      </c>
      <c r="C19" s="326"/>
      <c r="E19" s="326">
        <f>'2020 Budgeted HC'!$S$10</f>
        <v>14</v>
      </c>
      <c r="F19">
        <f>'2020 Actual HC'!C13</f>
        <v>1</v>
      </c>
      <c r="G19" s="255">
        <f>'Budget 2020'!$T$9*2</f>
        <v>10370.37037037037</v>
      </c>
      <c r="H19" s="180"/>
      <c r="I19" s="237"/>
      <c r="J19" s="227"/>
      <c r="K19" s="33">
        <f t="shared" si="0"/>
        <v>10370.37037037037</v>
      </c>
      <c r="L19" s="33">
        <f t="shared" si="1"/>
        <v>0</v>
      </c>
      <c r="M19" s="230">
        <f t="shared" si="2"/>
        <v>10370.37037037037</v>
      </c>
      <c r="N19" s="180"/>
      <c r="O19" s="180"/>
      <c r="P19" s="180"/>
      <c r="Q19" s="243">
        <f t="shared" si="3"/>
        <v>10370.37037037037</v>
      </c>
      <c r="R19" s="180">
        <f t="shared" si="3"/>
        <v>0</v>
      </c>
      <c r="S19" s="230">
        <f t="shared" si="4"/>
        <v>10370.37037037037</v>
      </c>
      <c r="T19" s="173">
        <f>40+210</f>
        <v>250</v>
      </c>
      <c r="U19" s="173">
        <v>0</v>
      </c>
      <c r="V19" s="173">
        <f t="shared" si="5"/>
        <v>250</v>
      </c>
      <c r="W19" s="161">
        <f t="shared" si="6"/>
        <v>-0.97589285714285712</v>
      </c>
      <c r="X19" s="33">
        <v>0</v>
      </c>
      <c r="Y19" s="161">
        <f t="shared" si="7"/>
        <v>-0.97589285714285712</v>
      </c>
    </row>
    <row r="20" spans="1:25" x14ac:dyDescent="0.25">
      <c r="A20" s="12" t="s">
        <v>19</v>
      </c>
      <c r="B20" t="s">
        <v>27</v>
      </c>
      <c r="C20" s="326">
        <f>'2020 Budgeted HC'!$S$7</f>
        <v>161</v>
      </c>
      <c r="D20">
        <f>'2020 Actual HC'!G15</f>
        <v>157</v>
      </c>
      <c r="E20" s="326"/>
      <c r="G20" s="255">
        <f>'Budget 2020'!$S$23*2</f>
        <v>501521.63629629626</v>
      </c>
      <c r="H20" s="180">
        <f>'Budget 2020'!$T$5*2</f>
        <v>19811.69703703704</v>
      </c>
      <c r="I20" s="237">
        <f>'BW PKY-2020'!$V$16/27*2</f>
        <v>43868.148148148146</v>
      </c>
      <c r="J20" s="375">
        <f>'BW PKY-2020'!$V$36/27*2</f>
        <v>4687.4074074074078</v>
      </c>
      <c r="K20" s="33">
        <f t="shared" si="0"/>
        <v>545389.78444444435</v>
      </c>
      <c r="L20" s="33">
        <f t="shared" si="1"/>
        <v>24499.104444444449</v>
      </c>
      <c r="M20" s="230">
        <f t="shared" si="2"/>
        <v>569888.88888888876</v>
      </c>
      <c r="N20" s="180">
        <f>'Budget 2020'!$S$17*2</f>
        <v>98033.422222222216</v>
      </c>
      <c r="O20" s="180">
        <f>'Budget 2020'!$Y$5*2</f>
        <v>6262.8740740740741</v>
      </c>
      <c r="P20" s="180">
        <f t="shared" si="8"/>
        <v>104296.29629629629</v>
      </c>
      <c r="Q20" s="243">
        <f t="shared" si="3"/>
        <v>643423.20666666655</v>
      </c>
      <c r="R20" s="180">
        <f t="shared" si="3"/>
        <v>30761.978518518525</v>
      </c>
      <c r="S20" s="230">
        <f t="shared" si="4"/>
        <v>674185.18518518505</v>
      </c>
      <c r="T20" s="173">
        <f>670188.92-910+6631.7-3017.44+7</f>
        <v>672900.18</v>
      </c>
      <c r="U20" s="173">
        <v>16604.53</v>
      </c>
      <c r="V20" s="173">
        <f t="shared" si="5"/>
        <v>689504.71000000008</v>
      </c>
      <c r="W20" s="161">
        <f t="shared" si="6"/>
        <v>4.5812729519102376E-2</v>
      </c>
      <c r="X20" s="161">
        <f t="shared" si="9"/>
        <v>-0.46022555116199132</v>
      </c>
      <c r="Y20" s="161">
        <f t="shared" si="7"/>
        <v>2.2723022029336144E-2</v>
      </c>
    </row>
    <row r="21" spans="1:25" x14ac:dyDescent="0.25">
      <c r="A21" s="12" t="s">
        <v>19</v>
      </c>
      <c r="B21" t="s">
        <v>28</v>
      </c>
      <c r="C21" s="326"/>
      <c r="E21" s="326">
        <f>'2020 Budgeted HC'!$S$10</f>
        <v>14</v>
      </c>
      <c r="F21">
        <f>'2020 Actual HC'!C15</f>
        <v>1</v>
      </c>
      <c r="G21" s="255">
        <f>'Budget 2020'!$T$9*2</f>
        <v>10370.37037037037</v>
      </c>
      <c r="H21" s="180"/>
      <c r="I21" s="237"/>
      <c r="J21" s="227"/>
      <c r="K21" s="33">
        <f t="shared" si="0"/>
        <v>10370.37037037037</v>
      </c>
      <c r="L21" s="33">
        <f t="shared" si="1"/>
        <v>0</v>
      </c>
      <c r="M21" s="230">
        <f t="shared" si="2"/>
        <v>10370.37037037037</v>
      </c>
      <c r="N21" s="180"/>
      <c r="O21" s="180"/>
      <c r="P21" s="180"/>
      <c r="Q21" s="243">
        <f t="shared" si="3"/>
        <v>10370.37037037037</v>
      </c>
      <c r="R21" s="180">
        <f t="shared" si="3"/>
        <v>0</v>
      </c>
      <c r="S21" s="230">
        <f t="shared" si="4"/>
        <v>10370.37037037037</v>
      </c>
      <c r="T21" s="173">
        <f>530+380</f>
        <v>910</v>
      </c>
      <c r="U21" s="173">
        <v>0</v>
      </c>
      <c r="V21" s="173">
        <f t="shared" si="5"/>
        <v>910</v>
      </c>
      <c r="W21" s="161">
        <f t="shared" si="6"/>
        <v>-0.91225000000000001</v>
      </c>
      <c r="X21" s="33">
        <v>0</v>
      </c>
      <c r="Y21" s="161">
        <f t="shared" si="7"/>
        <v>-0.91225000000000001</v>
      </c>
    </row>
    <row r="22" spans="1:25" x14ac:dyDescent="0.25">
      <c r="A22" t="s">
        <v>20</v>
      </c>
      <c r="B22" t="s">
        <v>27</v>
      </c>
      <c r="C22" s="326">
        <f>'2020 Budgeted HC'!$S$7</f>
        <v>161</v>
      </c>
      <c r="D22">
        <f>'2020 Actual HC'!G17</f>
        <v>157</v>
      </c>
      <c r="E22" s="326"/>
      <c r="G22" s="255">
        <f>'Budget 2020'!$S$23*2</f>
        <v>501521.63629629626</v>
      </c>
      <c r="H22" s="180">
        <f>'Budget 2020'!$T$5*2</f>
        <v>19811.69703703704</v>
      </c>
      <c r="I22" s="237">
        <f>'BW PKY-2020'!$V$16/27*2</f>
        <v>43868.148148148146</v>
      </c>
      <c r="J22" s="375">
        <f>'BW PKY-2020'!$V$36/27*2</f>
        <v>4687.4074074074078</v>
      </c>
      <c r="K22" s="33">
        <f t="shared" si="0"/>
        <v>545389.78444444435</v>
      </c>
      <c r="L22" s="33">
        <f t="shared" si="1"/>
        <v>24499.104444444449</v>
      </c>
      <c r="M22" s="230">
        <f t="shared" si="2"/>
        <v>569888.88888888876</v>
      </c>
      <c r="N22" s="180">
        <f>'Budget 2020'!$S$17*2</f>
        <v>98033.422222222216</v>
      </c>
      <c r="O22" s="180">
        <f>'Budget 2020'!$Y$5*2</f>
        <v>6262.8740740740741</v>
      </c>
      <c r="P22" s="180">
        <f t="shared" si="8"/>
        <v>104296.29629629629</v>
      </c>
      <c r="Q22" s="243">
        <f t="shared" si="3"/>
        <v>643423.20666666655</v>
      </c>
      <c r="R22" s="180">
        <f t="shared" si="3"/>
        <v>30761.978518518525</v>
      </c>
      <c r="S22" s="230">
        <f t="shared" si="4"/>
        <v>674185.18518518505</v>
      </c>
      <c r="T22" s="173">
        <f>668639.83-420+6660-3017.44</f>
        <v>671862.39</v>
      </c>
      <c r="U22" s="173">
        <v>19984.27</v>
      </c>
      <c r="V22" s="173">
        <f t="shared" si="5"/>
        <v>691846.66</v>
      </c>
      <c r="W22" s="161">
        <f t="shared" si="6"/>
        <v>4.4199809765435985E-2</v>
      </c>
      <c r="X22" s="161">
        <f t="shared" si="9"/>
        <v>-0.35035810560853259</v>
      </c>
      <c r="Y22" s="161">
        <f t="shared" si="7"/>
        <v>2.6196770861946085E-2</v>
      </c>
    </row>
    <row r="23" spans="1:25" x14ac:dyDescent="0.25">
      <c r="A23" t="s">
        <v>20</v>
      </c>
      <c r="B23" t="s">
        <v>28</v>
      </c>
      <c r="C23" s="326"/>
      <c r="E23" s="326">
        <f>'2020 Budgeted HC'!$S$10</f>
        <v>14</v>
      </c>
      <c r="F23">
        <f>'2020 Actual HC'!C17</f>
        <v>1</v>
      </c>
      <c r="G23" s="255">
        <f>'Budget 2020'!$T$9*2</f>
        <v>10370.37037037037</v>
      </c>
      <c r="H23" s="180"/>
      <c r="I23" s="237"/>
      <c r="J23" s="227"/>
      <c r="K23" s="33">
        <f t="shared" si="0"/>
        <v>10370.37037037037</v>
      </c>
      <c r="L23" s="33">
        <f t="shared" si="1"/>
        <v>0</v>
      </c>
      <c r="M23" s="230">
        <f t="shared" si="2"/>
        <v>10370.37037037037</v>
      </c>
      <c r="N23" s="180"/>
      <c r="O23" s="180"/>
      <c r="P23" s="180"/>
      <c r="Q23" s="243">
        <f t="shared" si="3"/>
        <v>10370.37037037037</v>
      </c>
      <c r="R23" s="180">
        <f t="shared" si="3"/>
        <v>0</v>
      </c>
      <c r="S23" s="230">
        <f t="shared" si="4"/>
        <v>10370.37037037037</v>
      </c>
      <c r="T23" s="173">
        <f>380+40</f>
        <v>420</v>
      </c>
      <c r="U23" s="173">
        <v>0</v>
      </c>
      <c r="V23" s="173">
        <f t="shared" si="5"/>
        <v>420</v>
      </c>
      <c r="W23" s="161">
        <f t="shared" si="6"/>
        <v>-0.95950000000000002</v>
      </c>
      <c r="X23" s="33">
        <v>0</v>
      </c>
      <c r="Y23" s="161">
        <f t="shared" si="7"/>
        <v>-0.95950000000000002</v>
      </c>
    </row>
    <row r="24" spans="1:25" x14ac:dyDescent="0.25">
      <c r="A24" s="12" t="s">
        <v>21</v>
      </c>
      <c r="B24" t="s">
        <v>27</v>
      </c>
      <c r="C24" s="326">
        <f>'2020 Budgeted HC'!$S$7</f>
        <v>161</v>
      </c>
      <c r="D24">
        <f>'2020 Actual HC'!G20</f>
        <v>155</v>
      </c>
      <c r="E24" s="326"/>
      <c r="G24" s="255">
        <f>'Budget 2020'!$S$23*3</f>
        <v>752282.45444444439</v>
      </c>
      <c r="H24" s="180">
        <f>'Budget 2020'!$T$5*3</f>
        <v>29717.54555555556</v>
      </c>
      <c r="I24" s="237">
        <f>'BW PKY-2020'!$V$16/27*3</f>
        <v>65802.222222222219</v>
      </c>
      <c r="J24" s="375">
        <f>'BW PKY-2020'!$V$36/27*3</f>
        <v>7031.1111111111113</v>
      </c>
      <c r="K24" s="33">
        <f t="shared" si="0"/>
        <v>818084.67666666664</v>
      </c>
      <c r="L24" s="33">
        <f t="shared" si="1"/>
        <v>36748.656666666669</v>
      </c>
      <c r="M24" s="230">
        <f t="shared" si="2"/>
        <v>854833.33333333326</v>
      </c>
      <c r="N24" s="180">
        <f>'Budget 2020'!$S$17*3</f>
        <v>147050.13333333333</v>
      </c>
      <c r="O24" s="180">
        <f>'Budget 2020'!$Y$5*3</f>
        <v>9394.3111111111102</v>
      </c>
      <c r="P24" s="180">
        <f t="shared" si="8"/>
        <v>156444.44444444444</v>
      </c>
      <c r="Q24" s="243">
        <f t="shared" si="3"/>
        <v>965134.80999999994</v>
      </c>
      <c r="R24" s="180">
        <f t="shared" si="3"/>
        <v>46142.967777777783</v>
      </c>
      <c r="S24" s="230">
        <f t="shared" si="4"/>
        <v>1011277.7777777778</v>
      </c>
      <c r="T24" s="173">
        <f>997754.07-1136+9854.12-5326.16+7</f>
        <v>1001153.0299999999</v>
      </c>
      <c r="U24" s="173">
        <v>26789.77</v>
      </c>
      <c r="V24" s="173">
        <f t="shared" si="5"/>
        <v>1027942.7999999999</v>
      </c>
      <c r="W24" s="161">
        <f t="shared" si="6"/>
        <v>3.7319366814673252E-2</v>
      </c>
      <c r="X24" s="161">
        <f t="shared" si="9"/>
        <v>-0.41941814126438098</v>
      </c>
      <c r="Y24" s="161">
        <f t="shared" si="7"/>
        <v>1.6479173762566565E-2</v>
      </c>
    </row>
    <row r="25" spans="1:25" x14ac:dyDescent="0.25">
      <c r="A25" s="12" t="s">
        <v>21</v>
      </c>
      <c r="B25" t="s">
        <v>28</v>
      </c>
      <c r="C25" s="326"/>
      <c r="E25" s="326">
        <f>'2020 Budgeted HC'!$S$10</f>
        <v>14</v>
      </c>
      <c r="F25">
        <f>'2020 Actual HC'!C20</f>
        <v>1</v>
      </c>
      <c r="G25" s="255">
        <f>'Budget 2020'!$T$9*3</f>
        <v>15555.555555555555</v>
      </c>
      <c r="H25" s="180"/>
      <c r="I25" s="237"/>
      <c r="J25" s="227"/>
      <c r="K25" s="33">
        <f t="shared" si="0"/>
        <v>15555.555555555555</v>
      </c>
      <c r="L25" s="33">
        <f t="shared" si="1"/>
        <v>0</v>
      </c>
      <c r="M25" s="230">
        <f t="shared" si="2"/>
        <v>15555.555555555555</v>
      </c>
      <c r="N25" s="180"/>
      <c r="O25" s="180"/>
      <c r="P25" s="180"/>
      <c r="Q25" s="243">
        <f t="shared" si="3"/>
        <v>15555.555555555555</v>
      </c>
      <c r="R25" s="180">
        <f t="shared" si="3"/>
        <v>0</v>
      </c>
      <c r="S25" s="230">
        <f t="shared" si="4"/>
        <v>15555.555555555555</v>
      </c>
      <c r="T25" s="173">
        <f>560+336+240</f>
        <v>1136</v>
      </c>
      <c r="U25" s="173">
        <v>0</v>
      </c>
      <c r="V25" s="173">
        <f t="shared" si="5"/>
        <v>1136</v>
      </c>
      <c r="W25" s="161">
        <f t="shared" si="6"/>
        <v>-0.92697142857142856</v>
      </c>
      <c r="X25" s="33">
        <v>0</v>
      </c>
      <c r="Y25" s="161">
        <f t="shared" si="7"/>
        <v>-0.92697142857142856</v>
      </c>
    </row>
    <row r="26" spans="1:25" x14ac:dyDescent="0.25">
      <c r="A26" t="s">
        <v>22</v>
      </c>
      <c r="B26" t="s">
        <v>27</v>
      </c>
      <c r="C26" s="326">
        <f>'2020 Budgeted HC'!$S$7</f>
        <v>161</v>
      </c>
      <c r="D26">
        <f>'2020 Actual HC'!G22</f>
        <v>156</v>
      </c>
      <c r="E26" s="326"/>
      <c r="G26" s="255">
        <f>'Budget 2020'!$S$23*2</f>
        <v>501521.63629629626</v>
      </c>
      <c r="H26" s="180">
        <f>'Budget 2020'!$T$5*2</f>
        <v>19811.69703703704</v>
      </c>
      <c r="I26" s="237">
        <f>'BW PKY-2020'!$V$16/27*2</f>
        <v>43868.148148148146</v>
      </c>
      <c r="J26" s="375">
        <f>'BW PKY-2020'!$V$36/27*2</f>
        <v>4687.4074074074078</v>
      </c>
      <c r="K26" s="33">
        <f t="shared" si="0"/>
        <v>545389.78444444435</v>
      </c>
      <c r="L26" s="33">
        <f t="shared" si="1"/>
        <v>24499.104444444449</v>
      </c>
      <c r="M26" s="230">
        <f t="shared" si="2"/>
        <v>569888.88888888876</v>
      </c>
      <c r="N26" s="180">
        <f>'Budget 2020'!$S$17*2</f>
        <v>98033.422222222216</v>
      </c>
      <c r="O26" s="180">
        <f>'Budget 2020'!$Y$5*2</f>
        <v>6262.8740740740741</v>
      </c>
      <c r="P26" s="180">
        <f t="shared" si="8"/>
        <v>104296.29629629629</v>
      </c>
      <c r="Q26" s="243">
        <f t="shared" si="3"/>
        <v>643423.20666666655</v>
      </c>
      <c r="R26" s="180">
        <f t="shared" si="3"/>
        <v>30761.978518518525</v>
      </c>
      <c r="S26" s="230">
        <f t="shared" si="4"/>
        <v>674185.18518518505</v>
      </c>
      <c r="T26" s="173">
        <f>674552.72-7040+6513.01-5377.44+14</f>
        <v>668662.29</v>
      </c>
      <c r="U26" s="173">
        <v>20858.560000000001</v>
      </c>
      <c r="V26" s="173">
        <f t="shared" si="5"/>
        <v>689520.85000000009</v>
      </c>
      <c r="W26" s="161">
        <f t="shared" si="6"/>
        <v>3.9226255863675917E-2</v>
      </c>
      <c r="X26" s="161">
        <f t="shared" si="9"/>
        <v>-0.32193698180228314</v>
      </c>
      <c r="Y26" s="161">
        <f t="shared" si="7"/>
        <v>2.2746962039224643E-2</v>
      </c>
    </row>
    <row r="27" spans="1:25" s="49" customFormat="1" x14ac:dyDescent="0.25">
      <c r="A27" s="86" t="s">
        <v>22</v>
      </c>
      <c r="B27" s="86" t="s">
        <v>28</v>
      </c>
      <c r="C27" s="327"/>
      <c r="D27" s="86"/>
      <c r="E27" s="326">
        <f>'2020 Budgeted HC'!$S$10</f>
        <v>14</v>
      </c>
      <c r="F27" s="86">
        <f>'2020 Actual HC'!C22</f>
        <v>8</v>
      </c>
      <c r="G27" s="255">
        <f>'Budget 2020'!$T$9*2</f>
        <v>10370.37037037037</v>
      </c>
      <c r="H27" s="180"/>
      <c r="I27" s="237"/>
      <c r="J27" s="227"/>
      <c r="K27" s="33">
        <f t="shared" si="0"/>
        <v>10370.37037037037</v>
      </c>
      <c r="L27" s="33">
        <f t="shared" si="1"/>
        <v>0</v>
      </c>
      <c r="M27" s="230">
        <f t="shared" si="2"/>
        <v>10370.37037037037</v>
      </c>
      <c r="N27" s="180"/>
      <c r="O27" s="180"/>
      <c r="P27" s="180"/>
      <c r="Q27" s="243">
        <f t="shared" si="3"/>
        <v>10370.37037037037</v>
      </c>
      <c r="R27" s="180">
        <f t="shared" si="3"/>
        <v>0</v>
      </c>
      <c r="S27" s="230">
        <f t="shared" si="4"/>
        <v>10370.37037037037</v>
      </c>
      <c r="T27" s="173">
        <f>1440+5600</f>
        <v>7040</v>
      </c>
      <c r="U27" s="173">
        <v>0</v>
      </c>
      <c r="V27" s="173">
        <f t="shared" si="5"/>
        <v>7040</v>
      </c>
      <c r="W27" s="162">
        <f t="shared" si="6"/>
        <v>-0.32114285714285717</v>
      </c>
      <c r="X27" s="33">
        <v>0</v>
      </c>
      <c r="Y27" s="162">
        <f t="shared" si="7"/>
        <v>-0.32114285714285717</v>
      </c>
    </row>
    <row r="28" spans="1:25" x14ac:dyDescent="0.25">
      <c r="A28" s="12" t="s">
        <v>23</v>
      </c>
      <c r="B28" t="s">
        <v>27</v>
      </c>
      <c r="C28" s="326">
        <f>'2020 Budgeted HC'!$S$7</f>
        <v>161</v>
      </c>
      <c r="D28">
        <f>'2020 Actual HC'!G24</f>
        <v>155</v>
      </c>
      <c r="E28" s="326"/>
      <c r="G28" s="255">
        <f>'Budget 2020'!$S$23*2</f>
        <v>501521.63629629626</v>
      </c>
      <c r="H28" s="180">
        <f>'Budget 2020'!$T$5*2</f>
        <v>19811.69703703704</v>
      </c>
      <c r="I28" s="237">
        <f>'BW PKY-2020'!$V$16/27*2</f>
        <v>43868.148148148146</v>
      </c>
      <c r="J28" s="375">
        <f>'BW PKY-2020'!$V$36/27*2</f>
        <v>4687.4074074074078</v>
      </c>
      <c r="K28" s="33">
        <f t="shared" si="0"/>
        <v>545389.78444444435</v>
      </c>
      <c r="L28" s="33">
        <f t="shared" si="1"/>
        <v>24499.104444444449</v>
      </c>
      <c r="M28" s="230">
        <f t="shared" si="2"/>
        <v>569888.88888888876</v>
      </c>
      <c r="N28" s="180">
        <f>'Budget 2020'!$S$17*2</f>
        <v>98033.422222222216</v>
      </c>
      <c r="O28" s="180">
        <f>'Budget 2020'!$Y$5*2</f>
        <v>6262.8740740740741</v>
      </c>
      <c r="P28" s="180">
        <f t="shared" si="8"/>
        <v>104296.29629629629</v>
      </c>
      <c r="Q28" s="243">
        <f t="shared" si="3"/>
        <v>643423.20666666655</v>
      </c>
      <c r="R28" s="180">
        <f t="shared" si="3"/>
        <v>30761.978518518525</v>
      </c>
      <c r="S28" s="230">
        <f t="shared" si="4"/>
        <v>674185.18518518505</v>
      </c>
      <c r="T28" s="173">
        <f>673406.53-10440+6585.95-4597.44</f>
        <v>664955.04</v>
      </c>
      <c r="U28" s="173">
        <v>30177.8</v>
      </c>
      <c r="V28" s="173">
        <f t="shared" si="5"/>
        <v>695132.84000000008</v>
      </c>
      <c r="W28" s="161">
        <f t="shared" si="6"/>
        <v>3.3464496011702489E-2</v>
      </c>
      <c r="X28" s="161">
        <f t="shared" si="9"/>
        <v>-1.8990277825168281E-2</v>
      </c>
      <c r="Y28" s="161">
        <f t="shared" si="7"/>
        <v>3.1071069603911771E-2</v>
      </c>
    </row>
    <row r="29" spans="1:25" x14ac:dyDescent="0.25">
      <c r="A29" s="12" t="s">
        <v>23</v>
      </c>
      <c r="B29" t="s">
        <v>28</v>
      </c>
      <c r="C29" s="326"/>
      <c r="E29" s="326">
        <f>'2020 Budgeted HC'!$S$10</f>
        <v>14</v>
      </c>
      <c r="F29">
        <f>'2020 Actual HC'!C24</f>
        <v>8</v>
      </c>
      <c r="G29" s="255">
        <f>'Budget 2020'!$T$9*2</f>
        <v>10370.37037037037</v>
      </c>
      <c r="H29" s="180"/>
      <c r="I29" s="237"/>
      <c r="J29" s="227"/>
      <c r="K29" s="33">
        <f t="shared" si="0"/>
        <v>10370.37037037037</v>
      </c>
      <c r="L29" s="33">
        <f t="shared" si="1"/>
        <v>0</v>
      </c>
      <c r="M29" s="230">
        <f t="shared" si="2"/>
        <v>10370.37037037037</v>
      </c>
      <c r="N29" s="180"/>
      <c r="O29" s="180"/>
      <c r="P29" s="180"/>
      <c r="Q29" s="243">
        <f t="shared" si="3"/>
        <v>10370.37037037037</v>
      </c>
      <c r="R29" s="180">
        <f t="shared" si="3"/>
        <v>0</v>
      </c>
      <c r="S29" s="230">
        <f t="shared" si="4"/>
        <v>10370.37037037037</v>
      </c>
      <c r="T29" s="173">
        <f>5500+4940</f>
        <v>10440</v>
      </c>
      <c r="U29" s="173">
        <v>0</v>
      </c>
      <c r="V29" s="173">
        <f t="shared" si="5"/>
        <v>10440</v>
      </c>
      <c r="W29" s="161">
        <f t="shared" si="6"/>
        <v>6.7142857142857074E-3</v>
      </c>
      <c r="X29" s="33">
        <v>0</v>
      </c>
      <c r="Y29" s="161">
        <f t="shared" si="7"/>
        <v>6.7142857142857074E-3</v>
      </c>
    </row>
    <row r="30" spans="1:25" x14ac:dyDescent="0.25">
      <c r="A30" t="s">
        <v>24</v>
      </c>
      <c r="B30" t="s">
        <v>27</v>
      </c>
      <c r="C30" s="326">
        <f>'2020 Budgeted HC'!$S$7</f>
        <v>161</v>
      </c>
      <c r="D30">
        <f>'2020 Actual HC'!G26</f>
        <v>158</v>
      </c>
      <c r="E30" s="326"/>
      <c r="G30" s="255">
        <f>'Budget 2020'!$S$23*2</f>
        <v>501521.63629629626</v>
      </c>
      <c r="H30" s="180">
        <f>'Budget 2020'!$T$5*2</f>
        <v>19811.69703703704</v>
      </c>
      <c r="I30" s="237">
        <f>'BW PKY-2020'!$V$16/27*2</f>
        <v>43868.148148148146</v>
      </c>
      <c r="J30" s="375">
        <f>'BW PKY-2020'!$V$36/27*2</f>
        <v>4687.4074074074078</v>
      </c>
      <c r="K30" s="33">
        <f t="shared" si="0"/>
        <v>545389.78444444435</v>
      </c>
      <c r="L30" s="33">
        <f t="shared" si="1"/>
        <v>24499.104444444449</v>
      </c>
      <c r="M30" s="230">
        <f t="shared" si="2"/>
        <v>569888.88888888876</v>
      </c>
      <c r="N30" s="180">
        <f>'Budget 2020'!$S$17*2</f>
        <v>98033.422222222216</v>
      </c>
      <c r="O30" s="180">
        <f>'Budget 2020'!$Y$5*2</f>
        <v>6262.8740740740741</v>
      </c>
      <c r="P30" s="180">
        <f t="shared" si="8"/>
        <v>104296.29629629629</v>
      </c>
      <c r="Q30" s="243">
        <f t="shared" si="3"/>
        <v>643423.20666666655</v>
      </c>
      <c r="R30" s="180">
        <f t="shared" si="3"/>
        <v>30761.978518518525</v>
      </c>
      <c r="S30" s="230">
        <f t="shared" si="4"/>
        <v>674185.18518518505</v>
      </c>
      <c r="T30" s="173">
        <f>680939.58-12160+6545.95-4597.44+7</f>
        <v>670735.09</v>
      </c>
      <c r="U30" s="173">
        <v>28319.08</v>
      </c>
      <c r="V30" s="173">
        <f t="shared" si="5"/>
        <v>699054.16999999993</v>
      </c>
      <c r="W30" s="161">
        <f t="shared" si="6"/>
        <v>4.2447774731076311E-2</v>
      </c>
      <c r="X30" s="161">
        <f t="shared" si="9"/>
        <v>-7.9412919329877069E-2</v>
      </c>
      <c r="Y30" s="161">
        <f t="shared" si="7"/>
        <v>3.6887468549140344E-2</v>
      </c>
    </row>
    <row r="31" spans="1:25" x14ac:dyDescent="0.25">
      <c r="A31" t="s">
        <v>24</v>
      </c>
      <c r="B31" t="s">
        <v>28</v>
      </c>
      <c r="C31" s="326"/>
      <c r="E31" s="326">
        <f>'2020 Budgeted HC'!$S$10</f>
        <v>14</v>
      </c>
      <c r="F31">
        <f>'2020 Actual HC'!C26</f>
        <v>9</v>
      </c>
      <c r="G31" s="255">
        <f>'Budget 2020'!$T$9*2</f>
        <v>10370.37037037037</v>
      </c>
      <c r="H31" s="180"/>
      <c r="I31" s="237"/>
      <c r="J31" s="227"/>
      <c r="K31" s="33">
        <f t="shared" si="0"/>
        <v>10370.37037037037</v>
      </c>
      <c r="L31" s="33">
        <f t="shared" si="1"/>
        <v>0</v>
      </c>
      <c r="M31" s="230">
        <f t="shared" si="2"/>
        <v>10370.37037037037</v>
      </c>
      <c r="N31" s="180"/>
      <c r="O31" s="180"/>
      <c r="P31" s="180"/>
      <c r="Q31" s="243">
        <f t="shared" si="3"/>
        <v>10370.37037037037</v>
      </c>
      <c r="R31" s="180">
        <f t="shared" si="3"/>
        <v>0</v>
      </c>
      <c r="S31" s="230">
        <f t="shared" si="4"/>
        <v>10370.37037037037</v>
      </c>
      <c r="T31" s="173">
        <f>5920+6240</f>
        <v>12160</v>
      </c>
      <c r="U31" s="173">
        <v>0</v>
      </c>
      <c r="V31" s="173">
        <f t="shared" si="5"/>
        <v>12160</v>
      </c>
      <c r="W31" s="161">
        <f t="shared" si="6"/>
        <v>0.17257142857142857</v>
      </c>
      <c r="X31" s="33">
        <v>0</v>
      </c>
      <c r="Y31" s="161">
        <f t="shared" si="7"/>
        <v>0.17257142857142857</v>
      </c>
    </row>
    <row r="32" spans="1:25" x14ac:dyDescent="0.25">
      <c r="A32" s="12" t="s">
        <v>25</v>
      </c>
      <c r="B32" t="s">
        <v>27</v>
      </c>
      <c r="C32" s="326">
        <f>'2020 Budgeted HC'!$S$7</f>
        <v>161</v>
      </c>
      <c r="D32">
        <f>'2020 Actual HC'!G28</f>
        <v>156</v>
      </c>
      <c r="E32" s="326"/>
      <c r="G32" s="255">
        <f>'Budget 2020'!$S$23*2</f>
        <v>501521.63629629626</v>
      </c>
      <c r="H32" s="180">
        <f>'Budget 2020'!$T$5*2</f>
        <v>19811.69703703704</v>
      </c>
      <c r="I32" s="237">
        <f>'BW PKY-2020'!$V$16/27*2</f>
        <v>43868.148148148146</v>
      </c>
      <c r="J32" s="375">
        <f>'BW PKY-2020'!$V$36/27*2</f>
        <v>4687.4074074074078</v>
      </c>
      <c r="K32" s="33">
        <f t="shared" si="0"/>
        <v>545389.78444444435</v>
      </c>
      <c r="L32" s="33">
        <f t="shared" si="1"/>
        <v>24499.104444444449</v>
      </c>
      <c r="M32" s="230">
        <f t="shared" si="2"/>
        <v>569888.88888888876</v>
      </c>
      <c r="N32" s="180">
        <f>'Budget 2020'!$S$17*2</f>
        <v>98033.422222222216</v>
      </c>
      <c r="O32" s="180">
        <f>'Budget 2020'!$Y$5*2</f>
        <v>6262.8740740740741</v>
      </c>
      <c r="P32" s="180">
        <f t="shared" si="8"/>
        <v>104296.29629629629</v>
      </c>
      <c r="Q32" s="243">
        <f t="shared" si="3"/>
        <v>643423.20666666655</v>
      </c>
      <c r="R32" s="180">
        <f t="shared" si="3"/>
        <v>30761.978518518525</v>
      </c>
      <c r="S32" s="230">
        <f t="shared" si="4"/>
        <v>674185.18518518505</v>
      </c>
      <c r="T32" s="173">
        <f>677598.32-10810+6472.69-4597.44+14</f>
        <v>668677.56999999995</v>
      </c>
      <c r="U32" s="173">
        <v>19030.32</v>
      </c>
      <c r="V32" s="173">
        <f t="shared" si="5"/>
        <v>687707.8899999999</v>
      </c>
      <c r="W32" s="161">
        <f t="shared" si="6"/>
        <v>3.9250003841432374E-2</v>
      </c>
      <c r="X32" s="161">
        <f t="shared" si="9"/>
        <v>-0.38136878976936212</v>
      </c>
      <c r="Y32" s="161">
        <f t="shared" si="7"/>
        <v>2.0057849255617256E-2</v>
      </c>
    </row>
    <row r="33" spans="1:25" x14ac:dyDescent="0.25">
      <c r="A33" s="12" t="s">
        <v>25</v>
      </c>
      <c r="B33" t="s">
        <v>28</v>
      </c>
      <c r="C33" s="326"/>
      <c r="E33" s="326">
        <f>'2020 Budgeted HC'!$S$10</f>
        <v>14</v>
      </c>
      <c r="F33">
        <f>'2020 Actual HC'!C28</f>
        <v>9</v>
      </c>
      <c r="G33" s="255">
        <f>'Budget 2020'!$T$9*2</f>
        <v>10370.37037037037</v>
      </c>
      <c r="H33" s="180"/>
      <c r="I33" s="237"/>
      <c r="J33" s="227"/>
      <c r="K33" s="33">
        <f t="shared" si="0"/>
        <v>10370.37037037037</v>
      </c>
      <c r="L33" s="33">
        <f t="shared" si="1"/>
        <v>0</v>
      </c>
      <c r="M33" s="230">
        <f t="shared" si="2"/>
        <v>10370.37037037037</v>
      </c>
      <c r="N33" s="180"/>
      <c r="O33" s="180"/>
      <c r="P33" s="180"/>
      <c r="Q33" s="243">
        <f t="shared" si="3"/>
        <v>10370.37037037037</v>
      </c>
      <c r="R33" s="180">
        <f t="shared" si="3"/>
        <v>0</v>
      </c>
      <c r="S33" s="230">
        <f t="shared" si="4"/>
        <v>10370.37037037037</v>
      </c>
      <c r="T33" s="173">
        <f>5720+5090</f>
        <v>10810</v>
      </c>
      <c r="U33" s="173">
        <v>0</v>
      </c>
      <c r="V33" s="173">
        <f t="shared" si="5"/>
        <v>10810</v>
      </c>
      <c r="W33" s="161">
        <f t="shared" si="6"/>
        <v>4.2392857142857135E-2</v>
      </c>
      <c r="X33" s="33">
        <v>0</v>
      </c>
      <c r="Y33" s="161">
        <f t="shared" si="7"/>
        <v>4.2392857142857135E-2</v>
      </c>
    </row>
    <row r="34" spans="1:25" x14ac:dyDescent="0.25">
      <c r="A34" t="s">
        <v>26</v>
      </c>
      <c r="B34" t="s">
        <v>27</v>
      </c>
      <c r="C34" s="326">
        <f>'2020 Budgeted HC'!$S$7</f>
        <v>161</v>
      </c>
      <c r="D34">
        <f>'2020 Actual HC'!G31</f>
        <v>154</v>
      </c>
      <c r="E34" s="326"/>
      <c r="G34" s="255">
        <f>'Budget 2020'!$S$23*3</f>
        <v>752282.45444444439</v>
      </c>
      <c r="H34" s="180">
        <f>'Budget 2020'!$T$5*3</f>
        <v>29717.54555555556</v>
      </c>
      <c r="I34" s="237">
        <f>'BW PKY-2020'!$V$16/27*3</f>
        <v>65802.222222222219</v>
      </c>
      <c r="J34" s="375">
        <f>'BW PKY-2020'!$V$36/27*3</f>
        <v>7031.1111111111113</v>
      </c>
      <c r="K34" s="33">
        <f t="shared" si="0"/>
        <v>818084.67666666664</v>
      </c>
      <c r="L34" s="33">
        <f t="shared" si="1"/>
        <v>36748.656666666669</v>
      </c>
      <c r="M34" s="230">
        <f t="shared" si="2"/>
        <v>854833.33333333326</v>
      </c>
      <c r="N34" s="180">
        <f>'Budget 2020'!$S$17*3</f>
        <v>147050.13333333333</v>
      </c>
      <c r="O34" s="180">
        <f>'Budget 2020'!$Y$5*3</f>
        <v>9394.3111111111102</v>
      </c>
      <c r="P34" s="180">
        <f t="shared" si="8"/>
        <v>156444.44444444444</v>
      </c>
      <c r="Q34" s="243">
        <f t="shared" si="3"/>
        <v>965134.80999999994</v>
      </c>
      <c r="R34" s="180">
        <f t="shared" si="3"/>
        <v>46142.967777777783</v>
      </c>
      <c r="S34" s="230">
        <f t="shared" si="4"/>
        <v>1011277.7777777778</v>
      </c>
      <c r="T34" s="173">
        <f>993897.71-6080+9858.46-6896.16+21</f>
        <v>990801.00999999989</v>
      </c>
      <c r="U34" s="173">
        <v>38874.870000000003</v>
      </c>
      <c r="V34" s="173">
        <f t="shared" si="5"/>
        <v>1029675.8799999999</v>
      </c>
      <c r="W34" s="161">
        <f t="shared" si="6"/>
        <v>2.6593383363718852E-2</v>
      </c>
      <c r="X34" s="161">
        <f t="shared" si="9"/>
        <v>-0.15751257727462556</v>
      </c>
      <c r="Y34" s="161">
        <f t="shared" si="7"/>
        <v>1.8192926440696505E-2</v>
      </c>
    </row>
    <row r="35" spans="1:25" x14ac:dyDescent="0.25">
      <c r="A35" t="s">
        <v>26</v>
      </c>
      <c r="B35" t="s">
        <v>28</v>
      </c>
      <c r="C35" s="328"/>
      <c r="D35" s="65"/>
      <c r="E35" s="328">
        <f>'2020 Budgeted HC'!$S$10</f>
        <v>14</v>
      </c>
      <c r="F35" s="65">
        <f>'2020 Actual HC'!C31</f>
        <v>2</v>
      </c>
      <c r="G35" s="256">
        <f>'Budget 2020'!$T$9*3</f>
        <v>15555.555555555555</v>
      </c>
      <c r="H35" s="182"/>
      <c r="I35" s="238"/>
      <c r="J35" s="238"/>
      <c r="K35" s="257">
        <f t="shared" si="0"/>
        <v>15555.555555555555</v>
      </c>
      <c r="L35" s="258">
        <f t="shared" si="1"/>
        <v>0</v>
      </c>
      <c r="M35" s="231">
        <f t="shared" si="2"/>
        <v>15555.555555555555</v>
      </c>
      <c r="N35" s="182"/>
      <c r="O35" s="182"/>
      <c r="P35" s="182"/>
      <c r="Q35" s="244">
        <f t="shared" si="3"/>
        <v>15555.555555555555</v>
      </c>
      <c r="R35" s="182">
        <f t="shared" si="3"/>
        <v>0</v>
      </c>
      <c r="S35" s="231">
        <f t="shared" si="4"/>
        <v>15555.555555555555</v>
      </c>
      <c r="T35" s="176">
        <f>3520+1720+840</f>
        <v>6080</v>
      </c>
      <c r="U35" s="176">
        <v>0</v>
      </c>
      <c r="V35" s="176">
        <f>SUM(T35:U35)</f>
        <v>6080</v>
      </c>
      <c r="W35" s="163">
        <f>(T35-Q35)/Q35</f>
        <v>-0.6091428571428571</v>
      </c>
      <c r="X35" s="258">
        <v>0</v>
      </c>
      <c r="Y35" s="163">
        <f t="shared" si="7"/>
        <v>-0.6091428571428571</v>
      </c>
    </row>
    <row r="36" spans="1:25" x14ac:dyDescent="0.25">
      <c r="C36" s="67"/>
      <c r="D36" s="67"/>
      <c r="E36" s="67"/>
      <c r="F36" s="67"/>
      <c r="G36" s="67"/>
      <c r="H36" s="67"/>
      <c r="I36" s="67"/>
      <c r="J36" s="67"/>
      <c r="K36" s="193"/>
      <c r="L36" s="193"/>
      <c r="M36" s="69"/>
      <c r="N36" s="69"/>
      <c r="O36" s="69"/>
      <c r="P36" s="69"/>
      <c r="Q36" s="330" t="s">
        <v>423</v>
      </c>
      <c r="R36" s="69"/>
      <c r="S36" s="69"/>
      <c r="T36" s="376"/>
      <c r="U36" s="376"/>
      <c r="V36" s="376"/>
      <c r="W36" s="329"/>
      <c r="X36" s="329"/>
      <c r="Y36" s="329"/>
    </row>
    <row r="37" spans="1:25" x14ac:dyDescent="0.25">
      <c r="A37" s="12"/>
      <c r="B37" s="407" t="s">
        <v>1176</v>
      </c>
      <c r="C37" s="66">
        <f>AVERAGE(C12:C35)</f>
        <v>161</v>
      </c>
      <c r="D37" s="407">
        <f>AVERAGE(D12:D35)</f>
        <v>156.5</v>
      </c>
      <c r="E37" s="60"/>
      <c r="F37" s="60"/>
      <c r="G37" s="246">
        <f>SUM(G12:G36)</f>
        <v>6910542.0900000008</v>
      </c>
      <c r="H37" s="246">
        <f t="shared" ref="H37:K37" si="10">SUM(H12:H36)</f>
        <v>267457.91000000009</v>
      </c>
      <c r="I37" s="214">
        <f t="shared" si="10"/>
        <v>592220</v>
      </c>
      <c r="J37" s="214">
        <f t="shared" si="10"/>
        <v>63280.000000000007</v>
      </c>
      <c r="K37" s="246">
        <f t="shared" si="10"/>
        <v>7502762.0900000017</v>
      </c>
      <c r="L37" s="246">
        <f t="shared" ref="L37" si="11">SUM(L12:L36)</f>
        <v>330737.91000000003</v>
      </c>
      <c r="M37" s="246">
        <f t="shared" ref="M37" si="12">SUM(M12:M36)</f>
        <v>7833500</v>
      </c>
      <c r="N37" s="246">
        <f t="shared" ref="N37:O37" si="13">SUM(N12:N36)</f>
        <v>1323451.2</v>
      </c>
      <c r="O37" s="246">
        <f t="shared" si="13"/>
        <v>84548.800000000003</v>
      </c>
      <c r="P37" s="212">
        <f t="shared" ref="P37" si="14">SUM(P12:P36)</f>
        <v>1408000</v>
      </c>
      <c r="Q37" s="246">
        <f t="shared" ref="Q37" si="15">SUM(Q12:Q36)</f>
        <v>8826213.2899999972</v>
      </c>
      <c r="R37" s="246">
        <f t="shared" ref="R37:S37" si="16">SUM(R12:R36)</f>
        <v>415286.71000000008</v>
      </c>
      <c r="S37" s="246">
        <f t="shared" si="16"/>
        <v>9241499.9999999981</v>
      </c>
      <c r="T37" s="173">
        <f t="shared" ref="T37:V37" si="17">SUM(T12:T35)</f>
        <v>9028331.1400000006</v>
      </c>
      <c r="U37" s="173">
        <f t="shared" si="17"/>
        <v>299991.59999999998</v>
      </c>
      <c r="V37" s="173">
        <f t="shared" si="17"/>
        <v>9328322.7399999984</v>
      </c>
      <c r="W37" s="161">
        <f>(T37-Q37)/Q37</f>
        <v>2.2899724191913724E-2</v>
      </c>
      <c r="X37" s="161">
        <f>(U37-R37)/R37</f>
        <v>-0.27762773819561931</v>
      </c>
      <c r="Y37" s="405">
        <f t="shared" si="7"/>
        <v>9.394875290807795E-3</v>
      </c>
    </row>
    <row r="38" spans="1:25" x14ac:dyDescent="0.25">
      <c r="K38" s="13"/>
      <c r="L38" s="13"/>
    </row>
    <row r="40" spans="1:25" x14ac:dyDescent="0.25">
      <c r="A40" s="24" t="s">
        <v>701</v>
      </c>
      <c r="B40" t="s">
        <v>702</v>
      </c>
    </row>
    <row r="41" spans="1:25" x14ac:dyDescent="0.25">
      <c r="A41" s="168" t="s">
        <v>703</v>
      </c>
      <c r="B41" s="474" t="s">
        <v>705</v>
      </c>
      <c r="C41" s="474"/>
      <c r="D41" s="474"/>
      <c r="E41" s="474"/>
      <c r="F41" s="474"/>
      <c r="G41" s="474"/>
      <c r="H41" s="474"/>
      <c r="I41" s="474"/>
      <c r="J41" s="474"/>
      <c r="K41" s="474"/>
      <c r="L41" s="474"/>
      <c r="M41" s="474"/>
      <c r="N41" s="474"/>
      <c r="O41" s="474"/>
      <c r="P41" s="474"/>
      <c r="Q41" s="474"/>
      <c r="R41" s="474"/>
      <c r="S41" s="474"/>
      <c r="T41" s="474"/>
      <c r="U41" s="474"/>
      <c r="V41" s="474"/>
      <c r="W41" s="474"/>
      <c r="X41" s="474"/>
      <c r="Y41" s="474"/>
    </row>
    <row r="43" spans="1:25" s="330" customFormat="1" x14ac:dyDescent="0.25"/>
    <row r="44" spans="1:25" s="330" customFormat="1" x14ac:dyDescent="0.25"/>
    <row r="45" spans="1:25" s="167" customFormat="1" x14ac:dyDescent="0.25">
      <c r="A45" s="167" t="s">
        <v>828</v>
      </c>
    </row>
    <row r="46" spans="1:25" s="24" customFormat="1" ht="43.5" customHeight="1" x14ac:dyDescent="0.25">
      <c r="I46" s="34">
        <f>I37</f>
        <v>592220</v>
      </c>
      <c r="J46" s="34">
        <f>J37</f>
        <v>63280.000000000007</v>
      </c>
      <c r="K46" s="496" t="s">
        <v>832</v>
      </c>
      <c r="L46" s="496"/>
      <c r="M46" s="18"/>
      <c r="N46" s="18"/>
      <c r="O46" s="18"/>
      <c r="P46" s="18">
        <f>P37</f>
        <v>1408000</v>
      </c>
      <c r="Q46" s="495" t="s">
        <v>830</v>
      </c>
      <c r="R46" s="495"/>
      <c r="S46" s="18">
        <f>S37</f>
        <v>9241499.9999999981</v>
      </c>
      <c r="T46" s="495" t="s">
        <v>831</v>
      </c>
      <c r="U46" s="495"/>
      <c r="V46" s="495"/>
    </row>
    <row r="47" spans="1:25" s="24" customFormat="1" x14ac:dyDescent="0.25">
      <c r="K47" s="18"/>
      <c r="L47" s="18"/>
      <c r="M47" s="18"/>
      <c r="N47" s="18"/>
      <c r="O47" s="18"/>
      <c r="P47" s="18"/>
      <c r="Q47" s="259"/>
      <c r="R47" s="259"/>
      <c r="S47" s="18"/>
      <c r="T47" s="18"/>
      <c r="U47" s="15"/>
    </row>
    <row r="48" spans="1:25" s="24" customFormat="1" ht="45" customHeight="1" x14ac:dyDescent="0.25">
      <c r="G48" s="34">
        <f>G37</f>
        <v>6910542.0900000008</v>
      </c>
      <c r="H48" s="34">
        <f>H37</f>
        <v>267457.91000000009</v>
      </c>
      <c r="I48" s="220">
        <f>G48+H48</f>
        <v>7178000.0000000009</v>
      </c>
      <c r="J48" s="495" t="s">
        <v>833</v>
      </c>
      <c r="K48" s="495"/>
      <c r="L48" s="18"/>
      <c r="M48" s="18"/>
      <c r="N48" s="18"/>
      <c r="O48" s="18"/>
      <c r="P48" s="18">
        <f>P46+I48</f>
        <v>8586000</v>
      </c>
      <c r="Q48" s="259" t="s">
        <v>829</v>
      </c>
      <c r="R48" s="259"/>
      <c r="S48" s="18"/>
      <c r="T48" s="18"/>
      <c r="U48" s="330"/>
    </row>
  </sheetData>
  <mergeCells count="18">
    <mergeCell ref="A2:Y2"/>
    <mergeCell ref="A3:Y3"/>
    <mergeCell ref="A5:Y5"/>
    <mergeCell ref="A6:Y6"/>
    <mergeCell ref="A10:A11"/>
    <mergeCell ref="B10:B11"/>
    <mergeCell ref="C10:D10"/>
    <mergeCell ref="G10:M10"/>
    <mergeCell ref="N10:P10"/>
    <mergeCell ref="Q10:S10"/>
    <mergeCell ref="E10:F10"/>
    <mergeCell ref="T10:V10"/>
    <mergeCell ref="W10:Y10"/>
    <mergeCell ref="K46:L46"/>
    <mergeCell ref="Q46:R46"/>
    <mergeCell ref="T46:V46"/>
    <mergeCell ref="J48:K48"/>
    <mergeCell ref="B41:Y41"/>
  </mergeCells>
  <pageMargins left="0.2" right="0.2" top="0.25" bottom="0.25" header="0.3" footer="0.3"/>
  <pageSetup scale="7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topLeftCell="A11" zoomScale="95" zoomScaleNormal="95" workbookViewId="0">
      <selection activeCell="D37" sqref="D37"/>
    </sheetView>
  </sheetViews>
  <sheetFormatPr defaultRowHeight="15" x14ac:dyDescent="0.25"/>
  <cols>
    <col min="1" max="1" width="9.140625" style="85"/>
    <col min="2" max="2" width="15.85546875" bestFit="1" customWidth="1"/>
    <col min="3" max="6" width="11.85546875" customWidth="1"/>
    <col min="7" max="7" width="13.28515625" bestFit="1" customWidth="1"/>
    <col min="8" max="8" width="10.5703125" bestFit="1" customWidth="1"/>
    <col min="9" max="10" width="13.28515625" bestFit="1" customWidth="1"/>
    <col min="11" max="11" width="11.5703125" bestFit="1" customWidth="1"/>
    <col min="12" max="12" width="13.28515625" bestFit="1" customWidth="1"/>
  </cols>
  <sheetData>
    <row r="1" spans="1:15" x14ac:dyDescent="0.25">
      <c r="A1" s="8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13</v>
      </c>
    </row>
    <row r="2" spans="1:15" x14ac:dyDescent="0.25">
      <c r="A2" s="476" t="s">
        <v>10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8"/>
    </row>
    <row r="3" spans="1:15" x14ac:dyDescent="0.25">
      <c r="A3" s="476" t="s">
        <v>11</v>
      </c>
      <c r="B3" s="477"/>
      <c r="C3" s="477"/>
      <c r="D3" s="477"/>
      <c r="E3" s="477"/>
      <c r="F3" s="477"/>
      <c r="G3" s="477"/>
      <c r="H3" s="477"/>
      <c r="I3" s="477"/>
      <c r="J3" s="477"/>
      <c r="K3" s="477"/>
      <c r="L3" s="477"/>
      <c r="M3" s="477"/>
      <c r="N3" s="477"/>
      <c r="O3" s="478"/>
    </row>
    <row r="4" spans="1:15" x14ac:dyDescent="0.25">
      <c r="A4" s="82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6"/>
    </row>
    <row r="5" spans="1:15" x14ac:dyDescent="0.25">
      <c r="A5" s="476" t="s">
        <v>1172</v>
      </c>
      <c r="B5" s="477"/>
      <c r="C5" s="477"/>
      <c r="D5" s="477"/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8"/>
    </row>
    <row r="6" spans="1:15" x14ac:dyDescent="0.25">
      <c r="A6" s="476" t="s">
        <v>630</v>
      </c>
      <c r="B6" s="477"/>
      <c r="C6" s="477"/>
      <c r="D6" s="477"/>
      <c r="E6" s="477"/>
      <c r="F6" s="477"/>
      <c r="G6" s="477"/>
      <c r="H6" s="477"/>
      <c r="I6" s="477"/>
      <c r="J6" s="477"/>
      <c r="K6" s="477"/>
      <c r="L6" s="477"/>
      <c r="M6" s="477"/>
      <c r="N6" s="477"/>
      <c r="O6" s="478"/>
    </row>
    <row r="7" spans="1:15" x14ac:dyDescent="0.25">
      <c r="A7" s="82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2"/>
    </row>
    <row r="8" spans="1:15" x14ac:dyDescent="0.25">
      <c r="A8" s="82" t="s">
        <v>14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6"/>
    </row>
    <row r="9" spans="1:15" x14ac:dyDescent="0.25">
      <c r="A9" s="82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6"/>
    </row>
    <row r="10" spans="1:15" ht="45" customHeight="1" x14ac:dyDescent="0.25">
      <c r="A10" s="502" t="s">
        <v>0</v>
      </c>
      <c r="B10" s="481" t="s">
        <v>1</v>
      </c>
      <c r="C10" s="475" t="s">
        <v>692</v>
      </c>
      <c r="D10" s="475"/>
      <c r="E10" s="475" t="s">
        <v>691</v>
      </c>
      <c r="F10" s="475"/>
      <c r="G10" s="481" t="s">
        <v>1252</v>
      </c>
      <c r="H10" s="481"/>
      <c r="I10" s="481"/>
      <c r="J10" s="481" t="s">
        <v>8</v>
      </c>
      <c r="K10" s="481"/>
      <c r="L10" s="481"/>
      <c r="M10" s="481" t="s">
        <v>9</v>
      </c>
      <c r="N10" s="481"/>
      <c r="O10" s="482"/>
    </row>
    <row r="11" spans="1:15" x14ac:dyDescent="0.25">
      <c r="A11" s="503"/>
      <c r="B11" s="504"/>
      <c r="C11" s="90" t="s">
        <v>2</v>
      </c>
      <c r="D11" s="411" t="s">
        <v>1173</v>
      </c>
      <c r="E11" s="90" t="s">
        <v>2</v>
      </c>
      <c r="F11" s="411" t="s">
        <v>1173</v>
      </c>
      <c r="G11" s="90" t="s">
        <v>4</v>
      </c>
      <c r="H11" s="90" t="s">
        <v>5</v>
      </c>
      <c r="I11" s="90" t="s">
        <v>6</v>
      </c>
      <c r="J11" s="90" t="s">
        <v>1250</v>
      </c>
      <c r="K11" s="90" t="s">
        <v>5</v>
      </c>
      <c r="L11" s="90" t="s">
        <v>6</v>
      </c>
      <c r="M11" s="90" t="s">
        <v>4</v>
      </c>
      <c r="N11" s="90" t="s">
        <v>1175</v>
      </c>
      <c r="O11" s="91" t="s">
        <v>6</v>
      </c>
    </row>
    <row r="12" spans="1:15" x14ac:dyDescent="0.25">
      <c r="A12" s="92">
        <v>44075</v>
      </c>
      <c r="B12" s="93" t="s">
        <v>27</v>
      </c>
      <c r="C12" s="99">
        <f>'2020'!C28</f>
        <v>161</v>
      </c>
      <c r="D12" s="93">
        <f>'2020'!D28</f>
        <v>155</v>
      </c>
      <c r="E12" s="99"/>
      <c r="F12" s="93"/>
      <c r="G12" s="100">
        <f>'Based Period 2'!$AJ$24/15*2</f>
        <v>639818.2906666667</v>
      </c>
      <c r="H12" s="100">
        <f>'Based Period 2'!$AJ$25/15*2</f>
        <v>25996.914666666667</v>
      </c>
      <c r="I12" s="101">
        <f>G12+H12</f>
        <v>665815.20533333335</v>
      </c>
      <c r="J12" s="390">
        <f>'2020'!T28</f>
        <v>664955.04</v>
      </c>
      <c r="K12" s="390">
        <f>'2020'!U28</f>
        <v>30177.8</v>
      </c>
      <c r="L12" s="390">
        <f>J12+K12</f>
        <v>695132.84000000008</v>
      </c>
      <c r="M12" s="94">
        <f>(J12-G12)/G12</f>
        <v>3.9287325323478624E-2</v>
      </c>
      <c r="N12" s="94">
        <f>(K12-H12)/H12</f>
        <v>0.16082236630541691</v>
      </c>
      <c r="O12" s="94">
        <f>(L12-I12)/I12</f>
        <v>4.4032690199661592E-2</v>
      </c>
    </row>
    <row r="13" spans="1:15" x14ac:dyDescent="0.25">
      <c r="A13" s="92">
        <v>44075</v>
      </c>
      <c r="B13" s="93" t="s">
        <v>28</v>
      </c>
      <c r="C13" s="99"/>
      <c r="D13" s="93"/>
      <c r="E13" s="99">
        <f>'2020'!E29</f>
        <v>14</v>
      </c>
      <c r="F13" s="93">
        <v>8</v>
      </c>
      <c r="G13" s="100"/>
      <c r="H13" s="100">
        <f>'2020'!R29</f>
        <v>0</v>
      </c>
      <c r="I13" s="101">
        <f t="shared" ref="I13:I25" si="0">G13+H13</f>
        <v>0</v>
      </c>
      <c r="J13" s="390">
        <f>'2020'!T29</f>
        <v>10440</v>
      </c>
      <c r="K13" s="390">
        <v>0</v>
      </c>
      <c r="L13" s="390">
        <f t="shared" ref="L13:L25" si="1">J13+K13</f>
        <v>10440</v>
      </c>
      <c r="M13" s="33">
        <v>0</v>
      </c>
      <c r="N13" s="33">
        <v>0</v>
      </c>
      <c r="O13" s="94" t="e">
        <f t="shared" ref="O13:O24" si="2">(L13-I13)/I13</f>
        <v>#DIV/0!</v>
      </c>
    </row>
    <row r="14" spans="1:15" x14ac:dyDescent="0.25">
      <c r="A14" s="92">
        <v>44105</v>
      </c>
      <c r="B14" s="93" t="s">
        <v>27</v>
      </c>
      <c r="C14" s="99">
        <f>'2020'!C30</f>
        <v>161</v>
      </c>
      <c r="D14" s="93">
        <f>'2020'!D30</f>
        <v>158</v>
      </c>
      <c r="E14" s="99"/>
      <c r="F14" s="93"/>
      <c r="G14" s="100">
        <f>'Based Period 2'!$AJ$24/15*2</f>
        <v>639818.2906666667</v>
      </c>
      <c r="H14" s="100">
        <f>'Based Period 2'!$AJ$25/15*2</f>
        <v>25996.914666666667</v>
      </c>
      <c r="I14" s="101">
        <f t="shared" si="0"/>
        <v>665815.20533333335</v>
      </c>
      <c r="J14" s="390">
        <f>'2020'!T30</f>
        <v>670735.09</v>
      </c>
      <c r="K14" s="390">
        <v>28319</v>
      </c>
      <c r="L14" s="390">
        <f t="shared" si="1"/>
        <v>699054.09</v>
      </c>
      <c r="M14" s="94">
        <f t="shared" ref="M14:M24" si="3">(J14-G14)/G14</f>
        <v>4.8321218358917381E-2</v>
      </c>
      <c r="N14" s="94">
        <f t="shared" ref="N14:N24" si="4">(K14-H14)/H14</f>
        <v>8.9321573852404815E-2</v>
      </c>
      <c r="O14" s="94">
        <f t="shared" si="2"/>
        <v>4.9922087090254905E-2</v>
      </c>
    </row>
    <row r="15" spans="1:15" x14ac:dyDescent="0.25">
      <c r="A15" s="92">
        <v>44105</v>
      </c>
      <c r="B15" s="93" t="s">
        <v>28</v>
      </c>
      <c r="C15" s="99"/>
      <c r="D15" s="93"/>
      <c r="E15" s="99">
        <f>'2020'!E31</f>
        <v>14</v>
      </c>
      <c r="F15" s="93">
        <v>9</v>
      </c>
      <c r="G15" s="100"/>
      <c r="H15" s="100">
        <f>'2020'!R31</f>
        <v>0</v>
      </c>
      <c r="I15" s="101">
        <f t="shared" si="0"/>
        <v>0</v>
      </c>
      <c r="J15" s="390">
        <f>'2020'!T31</f>
        <v>12160</v>
      </c>
      <c r="K15" s="390">
        <v>0</v>
      </c>
      <c r="L15" s="390">
        <f t="shared" si="1"/>
        <v>12160</v>
      </c>
      <c r="M15" s="33">
        <v>0</v>
      </c>
      <c r="N15" s="33">
        <v>0</v>
      </c>
      <c r="O15" s="94" t="e">
        <f t="shared" si="2"/>
        <v>#DIV/0!</v>
      </c>
    </row>
    <row r="16" spans="1:15" x14ac:dyDescent="0.25">
      <c r="A16" s="92">
        <v>44136</v>
      </c>
      <c r="B16" s="93" t="s">
        <v>27</v>
      </c>
      <c r="C16" s="99">
        <f>'2020'!C32</f>
        <v>161</v>
      </c>
      <c r="D16" s="93">
        <f>'2020'!D32</f>
        <v>156</v>
      </c>
      <c r="E16" s="99"/>
      <c r="F16" s="93"/>
      <c r="G16" s="100">
        <f>'Based Period 2'!$AJ$24/15*2</f>
        <v>639818.2906666667</v>
      </c>
      <c r="H16" s="100">
        <f>'Based Period 2'!$AJ$25/15*2</f>
        <v>25996.914666666667</v>
      </c>
      <c r="I16" s="101">
        <f t="shared" si="0"/>
        <v>665815.20533333335</v>
      </c>
      <c r="J16" s="390">
        <f>'2020'!T32</f>
        <v>668677.56999999995</v>
      </c>
      <c r="K16" s="390">
        <v>19030</v>
      </c>
      <c r="L16" s="390">
        <f t="shared" si="1"/>
        <v>687707.57</v>
      </c>
      <c r="M16" s="94">
        <f t="shared" si="3"/>
        <v>4.5105430329700269E-2</v>
      </c>
      <c r="N16" s="94">
        <f t="shared" si="4"/>
        <v>-0.26799005789712688</v>
      </c>
      <c r="O16" s="94">
        <f t="shared" si="2"/>
        <v>3.28805417648977E-2</v>
      </c>
    </row>
    <row r="17" spans="1:15" x14ac:dyDescent="0.25">
      <c r="A17" s="92">
        <v>44136</v>
      </c>
      <c r="B17" s="93" t="s">
        <v>28</v>
      </c>
      <c r="C17" s="99"/>
      <c r="D17" s="93"/>
      <c r="E17" s="99">
        <f>'2020'!E33</f>
        <v>14</v>
      </c>
      <c r="F17" s="93">
        <v>9</v>
      </c>
      <c r="G17" s="100"/>
      <c r="H17" s="100">
        <f>'2020'!R33</f>
        <v>0</v>
      </c>
      <c r="I17" s="101">
        <f t="shared" si="0"/>
        <v>0</v>
      </c>
      <c r="J17" s="390">
        <f>'2020'!T33</f>
        <v>10810</v>
      </c>
      <c r="K17" s="390">
        <v>0</v>
      </c>
      <c r="L17" s="390">
        <f t="shared" si="1"/>
        <v>10810</v>
      </c>
      <c r="M17" s="33">
        <v>0</v>
      </c>
      <c r="N17" s="33">
        <v>0</v>
      </c>
      <c r="O17" s="94" t="e">
        <f t="shared" si="2"/>
        <v>#DIV/0!</v>
      </c>
    </row>
    <row r="18" spans="1:15" x14ac:dyDescent="0.25">
      <c r="A18" s="92">
        <v>44166</v>
      </c>
      <c r="B18" s="93" t="s">
        <v>27</v>
      </c>
      <c r="C18" s="99">
        <f>'2020'!C34</f>
        <v>161</v>
      </c>
      <c r="D18" s="93">
        <f>'2020'!D34</f>
        <v>154</v>
      </c>
      <c r="E18" s="99"/>
      <c r="F18" s="93"/>
      <c r="G18" s="100">
        <f>'Based Period 2'!$AJ$24/15*3</f>
        <v>959727.43599999999</v>
      </c>
      <c r="H18" s="100">
        <f>'Based Period 2'!$AJ$25/15*3</f>
        <v>38995.372000000003</v>
      </c>
      <c r="I18" s="101">
        <f t="shared" si="0"/>
        <v>998722.80799999996</v>
      </c>
      <c r="J18" s="390">
        <f>'2020'!T34</f>
        <v>990801.00999999989</v>
      </c>
      <c r="K18" s="390">
        <v>38875</v>
      </c>
      <c r="L18" s="390">
        <f t="shared" si="1"/>
        <v>1029676.0099999999</v>
      </c>
      <c r="M18" s="94">
        <f t="shared" si="3"/>
        <v>3.2377498896467835E-2</v>
      </c>
      <c r="N18" s="94">
        <f t="shared" si="4"/>
        <v>-3.0868278420322038E-3</v>
      </c>
      <c r="O18" s="94">
        <f t="shared" si="2"/>
        <v>3.0992785738002224E-2</v>
      </c>
    </row>
    <row r="19" spans="1:15" x14ac:dyDescent="0.25">
      <c r="A19" s="92">
        <v>44166</v>
      </c>
      <c r="B19" s="93" t="s">
        <v>28</v>
      </c>
      <c r="C19" s="99"/>
      <c r="D19" s="93"/>
      <c r="E19" s="99">
        <f>'2020'!E35</f>
        <v>14</v>
      </c>
      <c r="F19" s="93">
        <v>2</v>
      </c>
      <c r="G19" s="100"/>
      <c r="H19" s="100">
        <f>'2020'!R35</f>
        <v>0</v>
      </c>
      <c r="I19" s="101">
        <f t="shared" si="0"/>
        <v>0</v>
      </c>
      <c r="J19" s="390">
        <f>'2020'!T35</f>
        <v>6080</v>
      </c>
      <c r="K19" s="390">
        <v>0</v>
      </c>
      <c r="L19" s="390">
        <f t="shared" si="1"/>
        <v>6080</v>
      </c>
      <c r="M19" s="33">
        <v>0</v>
      </c>
      <c r="N19" s="33">
        <v>0</v>
      </c>
      <c r="O19" s="94" t="e">
        <f t="shared" si="2"/>
        <v>#DIV/0!</v>
      </c>
    </row>
    <row r="20" spans="1:15" x14ac:dyDescent="0.25">
      <c r="A20" s="92">
        <v>44197</v>
      </c>
      <c r="B20" s="93" t="s">
        <v>27</v>
      </c>
      <c r="C20" s="99">
        <f>'Based Period HC (Plan)'!$R$8</f>
        <v>161</v>
      </c>
      <c r="D20" s="93">
        <f>'2021 Actual HC'!F6</f>
        <v>151</v>
      </c>
      <c r="E20" s="99"/>
      <c r="F20" s="93"/>
      <c r="G20" s="100">
        <f>'Based Period 2'!$AJ$24/15*2</f>
        <v>639818.2906666667</v>
      </c>
      <c r="H20" s="100">
        <f>'Based Period 2'!$AJ$25/15*2</f>
        <v>25996.914666666667</v>
      </c>
      <c r="I20" s="101">
        <f>G20+H20</f>
        <v>665815.20533333335</v>
      </c>
      <c r="J20" s="390">
        <f>648113.04-960-4597.44+21</f>
        <v>642576.60000000009</v>
      </c>
      <c r="K20" s="390">
        <v>26475.72</v>
      </c>
      <c r="L20" s="390">
        <f t="shared" si="1"/>
        <v>669052.32000000007</v>
      </c>
      <c r="M20" s="94">
        <f>(J20-G20)/G20</f>
        <v>4.3110823394238093E-3</v>
      </c>
      <c r="N20" s="94">
        <f t="shared" si="4"/>
        <v>1.8417775319594348E-2</v>
      </c>
      <c r="O20" s="94">
        <f t="shared" si="2"/>
        <v>4.8618815562286415E-3</v>
      </c>
    </row>
    <row r="21" spans="1:15" x14ac:dyDescent="0.25">
      <c r="A21" s="92">
        <v>44197</v>
      </c>
      <c r="B21" s="93" t="s">
        <v>28</v>
      </c>
      <c r="C21" s="99"/>
      <c r="D21" s="93"/>
      <c r="E21" s="99">
        <v>0</v>
      </c>
      <c r="F21" s="93">
        <f>'2021 Actual HC'!B6</f>
        <v>1</v>
      </c>
      <c r="G21" s="400">
        <v>0</v>
      </c>
      <c r="H21" s="100">
        <v>0</v>
      </c>
      <c r="I21" s="101">
        <f t="shared" si="0"/>
        <v>0</v>
      </c>
      <c r="J21" s="390">
        <v>960</v>
      </c>
      <c r="K21" s="390">
        <v>0</v>
      </c>
      <c r="L21" s="390">
        <f t="shared" si="1"/>
        <v>960</v>
      </c>
      <c r="M21" s="33">
        <v>0</v>
      </c>
      <c r="N21" s="33">
        <v>0</v>
      </c>
      <c r="O21" s="94">
        <v>0</v>
      </c>
    </row>
    <row r="22" spans="1:15" x14ac:dyDescent="0.25">
      <c r="A22" s="92">
        <v>44228</v>
      </c>
      <c r="B22" s="93" t="s">
        <v>27</v>
      </c>
      <c r="C22" s="99">
        <f>'Based Period HC (Plan)'!$R$8</f>
        <v>161</v>
      </c>
      <c r="D22" s="93">
        <f>'2021 Actual HC'!F8</f>
        <v>151</v>
      </c>
      <c r="E22" s="99"/>
      <c r="F22" s="93"/>
      <c r="G22" s="100">
        <f>'Based Period 2'!$AJ$24/15*2</f>
        <v>639818.2906666667</v>
      </c>
      <c r="H22" s="100">
        <f>'Based Period 2'!$AJ$25/15*2</f>
        <v>25996.914666666667</v>
      </c>
      <c r="I22" s="101">
        <f>G22+H22</f>
        <v>665815.20533333335</v>
      </c>
      <c r="J22" s="390">
        <f>637995.75-480-4597.44+175</f>
        <v>633093.31000000006</v>
      </c>
      <c r="K22" s="390">
        <v>39296.35</v>
      </c>
      <c r="L22" s="390">
        <f t="shared" si="1"/>
        <v>672389.66</v>
      </c>
      <c r="M22" s="94">
        <f t="shared" si="3"/>
        <v>-1.0510766517255177E-2</v>
      </c>
      <c r="N22" s="94">
        <f t="shared" si="4"/>
        <v>0.51157745078056949</v>
      </c>
      <c r="O22" s="94">
        <f t="shared" si="2"/>
        <v>9.8742933684959257E-3</v>
      </c>
    </row>
    <row r="23" spans="1:15" x14ac:dyDescent="0.25">
      <c r="A23" s="92">
        <v>44228</v>
      </c>
      <c r="B23" s="93" t="s">
        <v>28</v>
      </c>
      <c r="C23" s="99"/>
      <c r="D23" s="93"/>
      <c r="E23" s="99">
        <v>0</v>
      </c>
      <c r="F23" s="93">
        <f>'2021 Actual HC'!B8</f>
        <v>1</v>
      </c>
      <c r="G23" s="400">
        <v>0</v>
      </c>
      <c r="H23" s="100">
        <v>0</v>
      </c>
      <c r="I23" s="101">
        <f t="shared" si="0"/>
        <v>0</v>
      </c>
      <c r="J23" s="390">
        <v>480</v>
      </c>
      <c r="K23" s="390">
        <v>0</v>
      </c>
      <c r="L23" s="390">
        <f t="shared" si="1"/>
        <v>480</v>
      </c>
      <c r="M23" s="33">
        <v>0</v>
      </c>
      <c r="N23" s="33">
        <v>0</v>
      </c>
      <c r="O23" s="94">
        <v>0</v>
      </c>
    </row>
    <row r="24" spans="1:15" x14ac:dyDescent="0.25">
      <c r="A24" s="92">
        <v>44256</v>
      </c>
      <c r="B24" s="93" t="s">
        <v>27</v>
      </c>
      <c r="C24" s="99">
        <f>'Based Period HC (Plan)'!$R$8</f>
        <v>161</v>
      </c>
      <c r="D24" s="93">
        <f>'2021 Actual HC'!F10</f>
        <v>149</v>
      </c>
      <c r="E24" s="99"/>
      <c r="F24" s="93"/>
      <c r="G24" s="100">
        <f>'Based Period 2'!$AJ$24/15*2</f>
        <v>639818.2906666667</v>
      </c>
      <c r="H24" s="100">
        <f>'Based Period 2'!$AJ$25/15*2</f>
        <v>25996.914666666667</v>
      </c>
      <c r="I24" s="101">
        <f t="shared" si="0"/>
        <v>665815.20533333335</v>
      </c>
      <c r="J24" s="390">
        <f>630600.03-200-4597.44+56</f>
        <v>625858.59000000008</v>
      </c>
      <c r="K24" s="390">
        <v>28410.98</v>
      </c>
      <c r="L24" s="390">
        <f t="shared" si="1"/>
        <v>654269.57000000007</v>
      </c>
      <c r="M24" s="95">
        <f t="shared" si="3"/>
        <v>-2.1818226940841481E-2</v>
      </c>
      <c r="N24" s="95">
        <f t="shared" si="4"/>
        <v>9.2859686016073861E-2</v>
      </c>
      <c r="O24" s="95">
        <f t="shared" si="2"/>
        <v>-1.7340600275947558E-2</v>
      </c>
    </row>
    <row r="25" spans="1:15" x14ac:dyDescent="0.25">
      <c r="A25" s="92">
        <v>44256</v>
      </c>
      <c r="B25" s="93" t="s">
        <v>28</v>
      </c>
      <c r="C25" s="99"/>
      <c r="D25" s="93"/>
      <c r="E25" s="99">
        <v>0</v>
      </c>
      <c r="F25" s="93">
        <f>'2021 Actual HC'!B10</f>
        <v>1</v>
      </c>
      <c r="G25" s="400">
        <v>0</v>
      </c>
      <c r="H25" s="100">
        <v>0</v>
      </c>
      <c r="I25" s="101">
        <f t="shared" si="0"/>
        <v>0</v>
      </c>
      <c r="J25" s="390">
        <v>200</v>
      </c>
      <c r="K25" s="390">
        <v>0</v>
      </c>
      <c r="L25" s="390">
        <f t="shared" si="1"/>
        <v>200</v>
      </c>
      <c r="M25" s="95"/>
      <c r="N25" s="33"/>
      <c r="O25" s="95"/>
    </row>
    <row r="26" spans="1:15" x14ac:dyDescent="0.25">
      <c r="A26" s="96">
        <v>44287</v>
      </c>
      <c r="B26" s="93" t="s">
        <v>27</v>
      </c>
      <c r="C26" s="93">
        <f>'Based Period HC (Plan)'!$R$8</f>
        <v>161</v>
      </c>
      <c r="D26" s="93"/>
      <c r="E26" s="93"/>
      <c r="F26" s="93"/>
      <c r="G26" s="237">
        <f>'Based Period 2'!AJ33</f>
        <v>739731.27272727259</v>
      </c>
      <c r="H26" s="100">
        <f>'Based Period 2'!AK33</f>
        <v>20953.843636363632</v>
      </c>
      <c r="I26" s="101">
        <f t="shared" ref="I26:I35" si="5">G26+H26</f>
        <v>760685.11636363622</v>
      </c>
      <c r="J26" s="390"/>
      <c r="K26" s="390"/>
      <c r="L26" s="390"/>
      <c r="M26" s="95"/>
      <c r="N26" s="95"/>
      <c r="O26" s="95"/>
    </row>
    <row r="27" spans="1:15" s="49" customFormat="1" x14ac:dyDescent="0.25">
      <c r="A27" s="96">
        <v>44287</v>
      </c>
      <c r="B27" s="93" t="s">
        <v>28</v>
      </c>
      <c r="C27" s="98"/>
      <c r="D27" s="97"/>
      <c r="E27" s="98">
        <v>0</v>
      </c>
      <c r="F27" s="97"/>
      <c r="G27" s="400">
        <v>0</v>
      </c>
      <c r="H27" s="100"/>
      <c r="I27" s="101">
        <f t="shared" si="5"/>
        <v>0</v>
      </c>
      <c r="J27" s="391"/>
      <c r="K27" s="391"/>
      <c r="L27" s="391"/>
      <c r="M27" s="95"/>
      <c r="N27" s="95"/>
      <c r="O27" s="95"/>
    </row>
    <row r="28" spans="1:15" x14ac:dyDescent="0.25">
      <c r="A28" s="96">
        <v>44317</v>
      </c>
      <c r="B28" s="93" t="s">
        <v>27</v>
      </c>
      <c r="C28" s="93">
        <f>'Based Period HC (Plan)'!$R$8</f>
        <v>161</v>
      </c>
      <c r="D28" s="93"/>
      <c r="E28" s="93"/>
      <c r="F28" s="93"/>
      <c r="G28" s="237">
        <f>'Based Period 2'!AJ34</f>
        <v>739731.27272727259</v>
      </c>
      <c r="H28" s="237">
        <f>'Based Period 2'!AK34</f>
        <v>20953.843636363632</v>
      </c>
      <c r="I28" s="101">
        <f t="shared" si="5"/>
        <v>760685.11636363622</v>
      </c>
      <c r="J28" s="390"/>
      <c r="K28" s="390"/>
      <c r="L28" s="390"/>
      <c r="M28" s="95"/>
      <c r="N28" s="95"/>
      <c r="O28" s="95"/>
    </row>
    <row r="29" spans="1:15" x14ac:dyDescent="0.25">
      <c r="A29" s="96">
        <v>44317</v>
      </c>
      <c r="B29" s="93" t="s">
        <v>28</v>
      </c>
      <c r="C29" s="93"/>
      <c r="D29" s="93"/>
      <c r="E29" s="93">
        <v>0</v>
      </c>
      <c r="F29" s="93"/>
      <c r="G29" s="400">
        <v>0</v>
      </c>
      <c r="H29" s="100"/>
      <c r="I29" s="101">
        <f t="shared" si="5"/>
        <v>0</v>
      </c>
      <c r="J29" s="390"/>
      <c r="K29" s="390"/>
      <c r="L29" s="390"/>
      <c r="M29" s="95"/>
      <c r="N29" s="95"/>
      <c r="O29" s="95"/>
    </row>
    <row r="30" spans="1:15" x14ac:dyDescent="0.25">
      <c r="A30" s="96">
        <v>44348</v>
      </c>
      <c r="B30" s="93" t="s">
        <v>27</v>
      </c>
      <c r="C30" s="93">
        <f>'Based Period HC (Plan)'!$R$8</f>
        <v>161</v>
      </c>
      <c r="D30" s="93"/>
      <c r="E30" s="93"/>
      <c r="F30" s="93"/>
      <c r="G30" s="237">
        <f>'Based Period 2'!AJ35</f>
        <v>739731.27272727259</v>
      </c>
      <c r="H30" s="237">
        <f>'Based Period 2'!AK35</f>
        <v>20953.843636363632</v>
      </c>
      <c r="I30" s="101">
        <f t="shared" si="5"/>
        <v>760685.11636363622</v>
      </c>
      <c r="J30" s="390"/>
      <c r="K30" s="390"/>
      <c r="L30" s="390"/>
      <c r="M30" s="95"/>
      <c r="N30" s="95"/>
      <c r="O30" s="95"/>
    </row>
    <row r="31" spans="1:15" x14ac:dyDescent="0.25">
      <c r="A31" s="96">
        <v>44348</v>
      </c>
      <c r="B31" s="93" t="s">
        <v>28</v>
      </c>
      <c r="C31" s="93"/>
      <c r="D31" s="93"/>
      <c r="E31" s="93">
        <v>0</v>
      </c>
      <c r="F31" s="93"/>
      <c r="G31" s="400">
        <v>0</v>
      </c>
      <c r="H31" s="100"/>
      <c r="I31" s="101">
        <f t="shared" si="5"/>
        <v>0</v>
      </c>
      <c r="J31" s="390"/>
      <c r="K31" s="390"/>
      <c r="L31" s="390"/>
      <c r="M31" s="95"/>
      <c r="N31" s="95"/>
      <c r="O31" s="95"/>
    </row>
    <row r="32" spans="1:15" x14ac:dyDescent="0.25">
      <c r="A32" s="96">
        <v>44378</v>
      </c>
      <c r="B32" s="93" t="s">
        <v>27</v>
      </c>
      <c r="C32" s="93">
        <f>'Based Period HC (Plan)'!$R$8</f>
        <v>161</v>
      </c>
      <c r="D32" s="93"/>
      <c r="E32" s="93"/>
      <c r="F32" s="93"/>
      <c r="G32" s="400">
        <f>'Based Period 2'!AJ36</f>
        <v>1109596.9090909089</v>
      </c>
      <c r="H32" s="400">
        <f>'Based Period 2'!AK36</f>
        <v>31430.76545454545</v>
      </c>
      <c r="I32" s="101">
        <f t="shared" si="5"/>
        <v>1141027.6745454543</v>
      </c>
      <c r="J32" s="390"/>
      <c r="K32" s="390"/>
      <c r="L32" s="390"/>
      <c r="M32" s="95"/>
      <c r="N32" s="95"/>
      <c r="O32" s="95"/>
    </row>
    <row r="33" spans="1:15" x14ac:dyDescent="0.25">
      <c r="A33" s="96">
        <v>44378</v>
      </c>
      <c r="B33" s="93" t="s">
        <v>28</v>
      </c>
      <c r="C33" s="93"/>
      <c r="D33" s="93"/>
      <c r="E33" s="93">
        <v>0</v>
      </c>
      <c r="F33" s="93"/>
      <c r="G33" s="400">
        <v>0</v>
      </c>
      <c r="H33" s="100"/>
      <c r="I33" s="101">
        <f t="shared" si="5"/>
        <v>0</v>
      </c>
      <c r="J33" s="390"/>
      <c r="K33" s="390"/>
      <c r="L33" s="390"/>
      <c r="M33" s="95"/>
      <c r="N33" s="95"/>
      <c r="O33" s="95"/>
    </row>
    <row r="34" spans="1:15" x14ac:dyDescent="0.25">
      <c r="A34" s="96">
        <v>44409</v>
      </c>
      <c r="B34" s="93" t="s">
        <v>27</v>
      </c>
      <c r="C34" s="93">
        <f>'Based Period HC (Plan)'!$R$8</f>
        <v>161</v>
      </c>
      <c r="D34" s="93"/>
      <c r="E34" s="93"/>
      <c r="F34" s="93"/>
      <c r="G34" s="400">
        <f>'Based Period 2'!AJ37</f>
        <v>739731.27272727259</v>
      </c>
      <c r="H34" s="400">
        <f>'Based Period 2'!AK37</f>
        <v>20953.843636363632</v>
      </c>
      <c r="I34" s="101">
        <f t="shared" si="5"/>
        <v>760685.11636363622</v>
      </c>
      <c r="J34" s="390"/>
      <c r="K34" s="390"/>
      <c r="L34" s="390"/>
      <c r="M34" s="95"/>
      <c r="N34" s="95"/>
      <c r="O34" s="95"/>
    </row>
    <row r="35" spans="1:15" x14ac:dyDescent="0.25">
      <c r="A35" s="96">
        <v>44409</v>
      </c>
      <c r="B35" s="93" t="s">
        <v>28</v>
      </c>
      <c r="C35" s="93"/>
      <c r="D35" s="93"/>
      <c r="E35" s="93">
        <v>0</v>
      </c>
      <c r="F35" s="93"/>
      <c r="G35" s="100">
        <v>0</v>
      </c>
      <c r="H35" s="100"/>
      <c r="I35" s="101">
        <f t="shared" si="5"/>
        <v>0</v>
      </c>
      <c r="J35" s="390"/>
      <c r="K35" s="390"/>
      <c r="L35" s="390"/>
      <c r="M35" s="95"/>
      <c r="N35" s="95"/>
      <c r="O35" s="95"/>
    </row>
    <row r="36" spans="1:15" x14ac:dyDescent="0.25">
      <c r="C36" s="66"/>
      <c r="D36" s="67"/>
      <c r="E36" s="67"/>
      <c r="F36" s="67"/>
      <c r="G36" s="68"/>
      <c r="H36" s="68"/>
      <c r="I36" s="69"/>
      <c r="J36" s="68"/>
      <c r="K36" s="68"/>
      <c r="L36" s="68"/>
      <c r="M36" s="16"/>
      <c r="N36" s="16"/>
      <c r="O36" s="16"/>
    </row>
    <row r="37" spans="1:15" x14ac:dyDescent="0.25">
      <c r="A37" s="83"/>
      <c r="B37" s="407" t="s">
        <v>1176</v>
      </c>
      <c r="C37" s="66">
        <f>AVERAGE(C12:C35)</f>
        <v>161</v>
      </c>
      <c r="D37" s="468">
        <f>AVERAGE(D12:D35)</f>
        <v>153.42857142857142</v>
      </c>
      <c r="E37" s="60"/>
      <c r="F37" s="60"/>
      <c r="G37" s="18">
        <f>SUM(G12:G35)</f>
        <v>8867159.1799999997</v>
      </c>
      <c r="H37" s="18">
        <f>SUM(H12:H35)</f>
        <v>310223</v>
      </c>
      <c r="I37" s="18">
        <f t="shared" ref="I37:L37" si="6">SUM(I12:I35)</f>
        <v>9177382.1799999997</v>
      </c>
      <c r="J37" s="17">
        <f>SUM(J12:J35)</f>
        <v>4937827.209999999</v>
      </c>
      <c r="K37" s="17">
        <f t="shared" si="6"/>
        <v>210584.85000000003</v>
      </c>
      <c r="L37" s="17">
        <f t="shared" si="6"/>
        <v>5148412.0600000005</v>
      </c>
      <c r="M37" s="95"/>
      <c r="N37" s="95"/>
      <c r="O37" s="95"/>
    </row>
    <row r="38" spans="1:15" x14ac:dyDescent="0.25">
      <c r="G38" s="13"/>
      <c r="H38" s="13"/>
    </row>
    <row r="39" spans="1:15" x14ac:dyDescent="0.25">
      <c r="B39" s="407"/>
      <c r="F39" s="66" t="s">
        <v>706</v>
      </c>
      <c r="G39" s="18">
        <f>SUM(G12:G25)</f>
        <v>4798637.1800000006</v>
      </c>
      <c r="H39" s="18">
        <f t="shared" ref="H39:L39" si="7">SUM(H12:H25)</f>
        <v>194976.86000000004</v>
      </c>
      <c r="I39" s="18">
        <f>SUM(I12:I25)</f>
        <v>4993614.04</v>
      </c>
      <c r="J39" s="18">
        <f>SUM(J12:J25)</f>
        <v>4937827.209999999</v>
      </c>
      <c r="K39" s="18">
        <f t="shared" si="7"/>
        <v>210584.85000000003</v>
      </c>
      <c r="L39" s="18">
        <f t="shared" si="7"/>
        <v>5148412.0600000005</v>
      </c>
      <c r="M39" s="95">
        <f>(J39-G39)/G39</f>
        <v>2.9006158369322344E-2</v>
      </c>
      <c r="N39" s="95">
        <f>(K39-H39)/H39</f>
        <v>8.0050473681851211E-2</v>
      </c>
      <c r="O39" s="95">
        <f>(L39-I39)/I39</f>
        <v>3.0999195925041991E-2</v>
      </c>
    </row>
    <row r="40" spans="1:15" x14ac:dyDescent="0.25">
      <c r="J40" s="66"/>
    </row>
    <row r="41" spans="1:15" s="330" customFormat="1" x14ac:dyDescent="0.25">
      <c r="A41" s="85"/>
    </row>
    <row r="42" spans="1:15" s="330" customFormat="1" x14ac:dyDescent="0.25">
      <c r="A42" s="85"/>
      <c r="G42" s="18"/>
      <c r="H42" s="18"/>
      <c r="I42" s="18"/>
    </row>
    <row r="43" spans="1:15" s="330" customFormat="1" x14ac:dyDescent="0.25">
      <c r="A43" s="85" t="s">
        <v>1183</v>
      </c>
      <c r="B43" s="330" t="s">
        <v>702</v>
      </c>
    </row>
    <row r="44" spans="1:15" x14ac:dyDescent="0.25">
      <c r="A44" s="85" t="s">
        <v>1182</v>
      </c>
      <c r="B44" s="474" t="s">
        <v>705</v>
      </c>
      <c r="C44" s="474"/>
      <c r="D44" s="474"/>
      <c r="E44" s="474"/>
      <c r="F44" s="474"/>
      <c r="G44" s="474"/>
      <c r="H44" s="474"/>
      <c r="I44" s="474"/>
      <c r="J44" s="474"/>
      <c r="K44" s="474"/>
      <c r="L44" s="474"/>
      <c r="M44" s="474"/>
      <c r="N44" s="474"/>
      <c r="O44" s="474"/>
    </row>
    <row r="45" spans="1:15" x14ac:dyDescent="0.25">
      <c r="A45" s="85" t="s">
        <v>1179</v>
      </c>
      <c r="B45" t="s">
        <v>1181</v>
      </c>
    </row>
  </sheetData>
  <autoFilter ref="A10:O37">
    <filterColumn colId="2" showButton="0"/>
    <filterColumn colId="4" showButton="0"/>
    <filterColumn colId="6" showButton="0"/>
    <filterColumn colId="7" showButton="0"/>
    <filterColumn colId="9" showButton="0"/>
    <filterColumn colId="10" showButton="0"/>
    <filterColumn colId="12" showButton="0"/>
    <filterColumn colId="13" showButton="0"/>
  </autoFilter>
  <mergeCells count="12">
    <mergeCell ref="B44:O44"/>
    <mergeCell ref="M10:O10"/>
    <mergeCell ref="A2:O2"/>
    <mergeCell ref="A3:O3"/>
    <mergeCell ref="A5:O5"/>
    <mergeCell ref="A6:O6"/>
    <mergeCell ref="A10:A11"/>
    <mergeCell ref="B10:B11"/>
    <mergeCell ref="C10:D10"/>
    <mergeCell ref="E10:F10"/>
    <mergeCell ref="G10:I10"/>
    <mergeCell ref="J10:L10"/>
  </mergeCells>
  <pageMargins left="0.2" right="0.2" top="0.25" bottom="0.25" header="0.3" footer="0.3"/>
  <pageSetup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workbookViewId="0">
      <selection activeCell="M22" sqref="M22"/>
    </sheetView>
  </sheetViews>
  <sheetFormatPr defaultRowHeight="15" x14ac:dyDescent="0.25"/>
  <cols>
    <col min="7" max="7" width="10.5703125" bestFit="1" customWidth="1"/>
    <col min="8" max="8" width="9" bestFit="1" customWidth="1"/>
    <col min="9" max="9" width="11.5703125" bestFit="1" customWidth="1"/>
  </cols>
  <sheetData>
    <row r="1" spans="1:15" x14ac:dyDescent="0.25">
      <c r="A1" s="8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13</v>
      </c>
    </row>
    <row r="2" spans="1:15" x14ac:dyDescent="0.25">
      <c r="A2" s="476" t="s">
        <v>10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8"/>
    </row>
    <row r="3" spans="1:15" x14ac:dyDescent="0.25">
      <c r="A3" s="476" t="s">
        <v>11</v>
      </c>
      <c r="B3" s="477"/>
      <c r="C3" s="477"/>
      <c r="D3" s="477"/>
      <c r="E3" s="477"/>
      <c r="F3" s="477"/>
      <c r="G3" s="477"/>
      <c r="H3" s="477"/>
      <c r="I3" s="477"/>
      <c r="J3" s="477"/>
      <c r="K3" s="477"/>
      <c r="L3" s="477"/>
      <c r="M3" s="477"/>
      <c r="N3" s="477"/>
      <c r="O3" s="478"/>
    </row>
    <row r="4" spans="1:15" x14ac:dyDescent="0.25">
      <c r="A4" s="82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6"/>
    </row>
    <row r="5" spans="1:15" x14ac:dyDescent="0.25">
      <c r="A5" s="476" t="s">
        <v>700</v>
      </c>
      <c r="B5" s="477"/>
      <c r="C5" s="477"/>
      <c r="D5" s="477"/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8"/>
    </row>
    <row r="6" spans="1:15" x14ac:dyDescent="0.25">
      <c r="A6" s="476" t="s">
        <v>672</v>
      </c>
      <c r="B6" s="477"/>
      <c r="C6" s="477"/>
      <c r="D6" s="477"/>
      <c r="E6" s="477"/>
      <c r="F6" s="477"/>
      <c r="G6" s="477"/>
      <c r="H6" s="477"/>
      <c r="I6" s="477"/>
      <c r="J6" s="477"/>
      <c r="K6" s="477"/>
      <c r="L6" s="477"/>
      <c r="M6" s="477"/>
      <c r="N6" s="477"/>
      <c r="O6" s="478"/>
    </row>
    <row r="7" spans="1:15" x14ac:dyDescent="0.25">
      <c r="A7" s="82"/>
      <c r="B7" s="185"/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6"/>
    </row>
    <row r="8" spans="1:15" x14ac:dyDescent="0.25">
      <c r="A8" s="82" t="s">
        <v>14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6"/>
    </row>
    <row r="9" spans="1:15" x14ac:dyDescent="0.25">
      <c r="A9" s="82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6"/>
    </row>
    <row r="10" spans="1:15" x14ac:dyDescent="0.25">
      <c r="A10" s="502" t="s">
        <v>0</v>
      </c>
      <c r="B10" s="481" t="s">
        <v>1</v>
      </c>
      <c r="C10" s="475" t="s">
        <v>692</v>
      </c>
      <c r="D10" s="475"/>
      <c r="E10" s="475" t="s">
        <v>691</v>
      </c>
      <c r="F10" s="475"/>
      <c r="G10" s="481" t="s">
        <v>1253</v>
      </c>
      <c r="H10" s="481"/>
      <c r="I10" s="481"/>
      <c r="J10" s="481" t="s">
        <v>8</v>
      </c>
      <c r="K10" s="481"/>
      <c r="L10" s="481"/>
      <c r="M10" s="481" t="s">
        <v>9</v>
      </c>
      <c r="N10" s="481"/>
      <c r="O10" s="482"/>
    </row>
    <row r="11" spans="1:15" ht="15.75" thickBot="1" x14ac:dyDescent="0.3">
      <c r="A11" s="505"/>
      <c r="B11" s="485"/>
      <c r="C11" s="187" t="s">
        <v>2</v>
      </c>
      <c r="D11" s="187" t="s">
        <v>3</v>
      </c>
      <c r="E11" s="187" t="s">
        <v>2</v>
      </c>
      <c r="F11" s="187" t="s">
        <v>3</v>
      </c>
      <c r="G11" s="187" t="s">
        <v>4</v>
      </c>
      <c r="H11" s="187" t="s">
        <v>5</v>
      </c>
      <c r="I11" s="187" t="s">
        <v>6</v>
      </c>
      <c r="J11" s="187" t="s">
        <v>4</v>
      </c>
      <c r="K11" s="187" t="s">
        <v>5</v>
      </c>
      <c r="L11" s="187" t="s">
        <v>6</v>
      </c>
      <c r="M11" s="187" t="s">
        <v>4</v>
      </c>
      <c r="N11" s="187" t="s">
        <v>5</v>
      </c>
      <c r="O11" s="11" t="s">
        <v>6</v>
      </c>
    </row>
    <row r="12" spans="1:15" x14ac:dyDescent="0.25">
      <c r="A12" s="83">
        <v>44562</v>
      </c>
      <c r="B12" t="s">
        <v>27</v>
      </c>
      <c r="C12">
        <f>'Forecasted Headcount'!$O$4</f>
        <v>162</v>
      </c>
      <c r="G12" s="190">
        <f>9813284/12</f>
        <v>817773.66666666663</v>
      </c>
      <c r="H12" s="190">
        <f>324731/12</f>
        <v>27060.916666666668</v>
      </c>
      <c r="I12" s="18">
        <f>G12+H12</f>
        <v>844834.58333333326</v>
      </c>
      <c r="J12" s="190"/>
      <c r="K12" s="190"/>
      <c r="L12" s="190"/>
      <c r="M12" s="191"/>
      <c r="N12" s="191"/>
      <c r="O12" s="191"/>
    </row>
    <row r="13" spans="1:15" x14ac:dyDescent="0.25">
      <c r="A13" s="83">
        <f>A12</f>
        <v>44562</v>
      </c>
      <c r="B13" t="s">
        <v>28</v>
      </c>
      <c r="E13">
        <v>0</v>
      </c>
      <c r="G13" s="190"/>
      <c r="H13" s="190"/>
      <c r="I13" s="18">
        <f t="shared" ref="I13:I35" si="0">G13+H13</f>
        <v>0</v>
      </c>
      <c r="J13" s="190"/>
      <c r="K13" s="190"/>
      <c r="L13" s="190"/>
      <c r="M13" s="191"/>
      <c r="N13" s="191"/>
      <c r="O13" s="191"/>
    </row>
    <row r="14" spans="1:15" x14ac:dyDescent="0.25">
      <c r="A14" s="84">
        <v>44593</v>
      </c>
      <c r="B14" t="s">
        <v>27</v>
      </c>
      <c r="C14">
        <f>'Forecasted Headcount'!$O$4</f>
        <v>162</v>
      </c>
      <c r="G14" s="190">
        <f>9813284/12</f>
        <v>817773.66666666663</v>
      </c>
      <c r="H14" s="190">
        <f>324731/12</f>
        <v>27060.916666666668</v>
      </c>
      <c r="I14" s="18">
        <f t="shared" si="0"/>
        <v>844834.58333333326</v>
      </c>
      <c r="J14" s="190"/>
      <c r="K14" s="190"/>
      <c r="L14" s="190"/>
      <c r="M14" s="191"/>
      <c r="N14" s="191"/>
      <c r="O14" s="191"/>
    </row>
    <row r="15" spans="1:15" x14ac:dyDescent="0.25">
      <c r="A15" s="84">
        <v>44593</v>
      </c>
      <c r="B15" t="s">
        <v>28</v>
      </c>
      <c r="E15">
        <v>0</v>
      </c>
      <c r="G15" s="190"/>
      <c r="H15" s="190"/>
      <c r="I15" s="18">
        <f t="shared" si="0"/>
        <v>0</v>
      </c>
      <c r="J15" s="190"/>
      <c r="K15" s="190"/>
      <c r="L15" s="190"/>
      <c r="M15" s="191"/>
      <c r="N15" s="191"/>
      <c r="O15" s="191"/>
    </row>
    <row r="16" spans="1:15" x14ac:dyDescent="0.25">
      <c r="A16" s="83">
        <v>44621</v>
      </c>
      <c r="B16" t="s">
        <v>27</v>
      </c>
      <c r="C16">
        <f>'Forecasted Headcount'!$O$4</f>
        <v>162</v>
      </c>
      <c r="G16" s="190">
        <f>9813284/12</f>
        <v>817773.66666666663</v>
      </c>
      <c r="H16" s="190">
        <f>324731/12</f>
        <v>27060.916666666668</v>
      </c>
      <c r="I16" s="18">
        <f t="shared" si="0"/>
        <v>844834.58333333326</v>
      </c>
      <c r="J16" s="190"/>
      <c r="K16" s="190"/>
      <c r="L16" s="190"/>
      <c r="M16" s="191"/>
      <c r="N16" s="191"/>
      <c r="O16" s="191"/>
    </row>
    <row r="17" spans="1:15" x14ac:dyDescent="0.25">
      <c r="A17" s="83">
        <v>44621</v>
      </c>
      <c r="B17" t="s">
        <v>28</v>
      </c>
      <c r="E17">
        <v>0</v>
      </c>
      <c r="G17" s="190"/>
      <c r="H17" s="190"/>
      <c r="I17" s="18">
        <f t="shared" si="0"/>
        <v>0</v>
      </c>
      <c r="J17" s="190"/>
      <c r="K17" s="190"/>
      <c r="L17" s="190"/>
      <c r="M17" s="191"/>
      <c r="N17" s="191"/>
      <c r="O17" s="191"/>
    </row>
    <row r="18" spans="1:15" x14ac:dyDescent="0.25">
      <c r="A18" s="84">
        <v>44652</v>
      </c>
      <c r="B18" t="s">
        <v>27</v>
      </c>
      <c r="C18">
        <f>'Forecasted Headcount'!$O$4</f>
        <v>162</v>
      </c>
      <c r="G18" s="190">
        <f>9813284/12</f>
        <v>817773.66666666663</v>
      </c>
      <c r="H18" s="190">
        <f>324731/12</f>
        <v>27060.916666666668</v>
      </c>
      <c r="I18" s="18">
        <f t="shared" si="0"/>
        <v>844834.58333333326</v>
      </c>
      <c r="J18" s="190"/>
      <c r="K18" s="190"/>
      <c r="L18" s="190"/>
      <c r="M18" s="191"/>
      <c r="N18" s="191"/>
      <c r="O18" s="191"/>
    </row>
    <row r="19" spans="1:15" x14ac:dyDescent="0.25">
      <c r="A19" s="84">
        <v>44652</v>
      </c>
      <c r="B19" t="s">
        <v>28</v>
      </c>
      <c r="E19">
        <v>0</v>
      </c>
      <c r="G19" s="190"/>
      <c r="H19" s="190"/>
      <c r="I19" s="18">
        <f t="shared" si="0"/>
        <v>0</v>
      </c>
      <c r="J19" s="190"/>
      <c r="K19" s="190"/>
      <c r="L19" s="190"/>
      <c r="M19" s="191"/>
      <c r="N19" s="191"/>
      <c r="O19" s="191"/>
    </row>
    <row r="20" spans="1:15" x14ac:dyDescent="0.25">
      <c r="A20" s="83">
        <v>44682</v>
      </c>
      <c r="B20" t="s">
        <v>27</v>
      </c>
      <c r="C20">
        <f>'Forecasted Headcount'!$O$4</f>
        <v>162</v>
      </c>
      <c r="G20" s="190">
        <f>9813284/12</f>
        <v>817773.66666666663</v>
      </c>
      <c r="H20" s="190">
        <f>324731/12</f>
        <v>27060.916666666668</v>
      </c>
      <c r="I20" s="18">
        <f t="shared" si="0"/>
        <v>844834.58333333326</v>
      </c>
      <c r="J20" s="190"/>
      <c r="K20" s="190"/>
      <c r="L20" s="190"/>
      <c r="M20" s="191"/>
      <c r="N20" s="191"/>
      <c r="O20" s="191"/>
    </row>
    <row r="21" spans="1:15" x14ac:dyDescent="0.25">
      <c r="A21" s="83">
        <v>44682</v>
      </c>
      <c r="B21" t="s">
        <v>28</v>
      </c>
      <c r="E21">
        <v>0</v>
      </c>
      <c r="G21" s="190"/>
      <c r="H21" s="190"/>
      <c r="I21" s="18">
        <f t="shared" si="0"/>
        <v>0</v>
      </c>
      <c r="J21" s="190"/>
      <c r="K21" s="190"/>
      <c r="L21" s="190"/>
      <c r="M21" s="191"/>
      <c r="N21" s="191"/>
      <c r="O21" s="191"/>
    </row>
    <row r="22" spans="1:15" x14ac:dyDescent="0.25">
      <c r="A22" s="84">
        <v>44713</v>
      </c>
      <c r="B22" t="s">
        <v>27</v>
      </c>
      <c r="C22">
        <f>'Forecasted Headcount'!$O$4</f>
        <v>162</v>
      </c>
      <c r="G22" s="190">
        <f>9813284/12</f>
        <v>817773.66666666663</v>
      </c>
      <c r="H22" s="190">
        <f>324731/12</f>
        <v>27060.916666666668</v>
      </c>
      <c r="I22" s="18">
        <f t="shared" si="0"/>
        <v>844834.58333333326</v>
      </c>
      <c r="J22" s="190"/>
      <c r="K22" s="190"/>
      <c r="L22" s="190"/>
      <c r="M22" s="191"/>
      <c r="N22" s="191"/>
      <c r="O22" s="191"/>
    </row>
    <row r="23" spans="1:15" x14ac:dyDescent="0.25">
      <c r="A23" s="84">
        <v>44713</v>
      </c>
      <c r="B23" t="s">
        <v>28</v>
      </c>
      <c r="E23">
        <v>0</v>
      </c>
      <c r="G23" s="190"/>
      <c r="H23" s="190"/>
      <c r="I23" s="18">
        <f t="shared" si="0"/>
        <v>0</v>
      </c>
      <c r="J23" s="190"/>
      <c r="K23" s="190"/>
      <c r="L23" s="190"/>
      <c r="M23" s="191"/>
      <c r="N23" s="191"/>
      <c r="O23" s="191"/>
    </row>
    <row r="24" spans="1:15" x14ac:dyDescent="0.25">
      <c r="A24" s="83">
        <v>44743</v>
      </c>
      <c r="B24" t="s">
        <v>27</v>
      </c>
      <c r="C24">
        <f>'Forecasted Headcount'!$O$4</f>
        <v>162</v>
      </c>
      <c r="G24" s="190">
        <f>9813284/12</f>
        <v>817773.66666666663</v>
      </c>
      <c r="H24" s="190">
        <f>324731/12</f>
        <v>27060.916666666668</v>
      </c>
      <c r="I24" s="18">
        <f t="shared" si="0"/>
        <v>844834.58333333326</v>
      </c>
      <c r="J24" s="190"/>
      <c r="K24" s="190"/>
      <c r="L24" s="190"/>
      <c r="M24" s="191"/>
      <c r="N24" s="191"/>
      <c r="O24" s="191"/>
    </row>
    <row r="25" spans="1:15" x14ac:dyDescent="0.25">
      <c r="A25" s="83">
        <v>44743</v>
      </c>
      <c r="B25" t="s">
        <v>28</v>
      </c>
      <c r="E25">
        <v>0</v>
      </c>
      <c r="G25" s="190"/>
      <c r="H25" s="190"/>
      <c r="I25" s="18">
        <f t="shared" si="0"/>
        <v>0</v>
      </c>
      <c r="J25" s="190"/>
      <c r="K25" s="190"/>
      <c r="L25" s="190"/>
      <c r="M25" s="191"/>
      <c r="N25" s="191"/>
      <c r="O25" s="191"/>
    </row>
    <row r="26" spans="1:15" x14ac:dyDescent="0.25">
      <c r="A26" s="84">
        <v>44774</v>
      </c>
      <c r="B26" t="s">
        <v>27</v>
      </c>
      <c r="C26">
        <f>'Forecasted Headcount'!$O$4</f>
        <v>162</v>
      </c>
      <c r="E26" s="86"/>
      <c r="G26" s="190">
        <f>9813284/12</f>
        <v>817773.66666666663</v>
      </c>
      <c r="H26" s="190">
        <f>324731/12</f>
        <v>27060.916666666668</v>
      </c>
      <c r="I26" s="18">
        <f t="shared" si="0"/>
        <v>844834.58333333326</v>
      </c>
      <c r="J26" s="190"/>
      <c r="K26" s="190"/>
      <c r="L26" s="190"/>
      <c r="M26" s="191"/>
      <c r="N26" s="191"/>
      <c r="O26" s="191"/>
    </row>
    <row r="27" spans="1:15" x14ac:dyDescent="0.25">
      <c r="A27" s="84">
        <v>44774</v>
      </c>
      <c r="B27" t="s">
        <v>28</v>
      </c>
      <c r="C27" s="49"/>
      <c r="D27" s="49"/>
      <c r="E27" s="86">
        <v>0</v>
      </c>
      <c r="F27" s="49"/>
      <c r="G27" s="63"/>
      <c r="H27" s="63"/>
      <c r="I27" s="18">
        <f t="shared" si="0"/>
        <v>0</v>
      </c>
      <c r="J27" s="63"/>
      <c r="K27" s="63"/>
      <c r="L27" s="63"/>
      <c r="M27" s="64"/>
      <c r="N27" s="64"/>
      <c r="O27" s="64"/>
    </row>
    <row r="28" spans="1:15" x14ac:dyDescent="0.25">
      <c r="A28" s="83">
        <v>44805</v>
      </c>
      <c r="B28" t="s">
        <v>27</v>
      </c>
      <c r="C28">
        <f>'Forecasted Headcount'!$O$4</f>
        <v>162</v>
      </c>
      <c r="E28" s="86"/>
      <c r="G28" s="190">
        <f>9813284/12</f>
        <v>817773.66666666663</v>
      </c>
      <c r="H28" s="190">
        <f>324731/12</f>
        <v>27060.916666666668</v>
      </c>
      <c r="I28" s="18">
        <f t="shared" si="0"/>
        <v>844834.58333333326</v>
      </c>
      <c r="J28" s="190"/>
      <c r="K28" s="190"/>
      <c r="L28" s="190"/>
      <c r="M28" s="191"/>
      <c r="N28" s="191"/>
      <c r="O28" s="191"/>
    </row>
    <row r="29" spans="1:15" x14ac:dyDescent="0.25">
      <c r="A29" s="83">
        <v>44805</v>
      </c>
      <c r="B29" t="s">
        <v>28</v>
      </c>
      <c r="E29" s="86">
        <v>0</v>
      </c>
      <c r="G29" s="190"/>
      <c r="H29" s="190"/>
      <c r="I29" s="18">
        <f t="shared" si="0"/>
        <v>0</v>
      </c>
      <c r="J29" s="190"/>
      <c r="K29" s="190"/>
      <c r="L29" s="190"/>
      <c r="M29" s="191"/>
      <c r="N29" s="191"/>
      <c r="O29" s="191"/>
    </row>
    <row r="30" spans="1:15" x14ac:dyDescent="0.25">
      <c r="A30" s="84">
        <v>44835</v>
      </c>
      <c r="B30" t="s">
        <v>27</v>
      </c>
      <c r="C30">
        <f>'Forecasted Headcount'!$O$4</f>
        <v>162</v>
      </c>
      <c r="E30" s="86"/>
      <c r="G30" s="190">
        <f>9813284/12</f>
        <v>817773.66666666663</v>
      </c>
      <c r="H30" s="190">
        <f>324731/12</f>
        <v>27060.916666666668</v>
      </c>
      <c r="I30" s="18">
        <f t="shared" si="0"/>
        <v>844834.58333333326</v>
      </c>
      <c r="J30" s="190"/>
      <c r="K30" s="190"/>
      <c r="L30" s="190"/>
      <c r="M30" s="191"/>
      <c r="N30" s="191"/>
      <c r="O30" s="191"/>
    </row>
    <row r="31" spans="1:15" x14ac:dyDescent="0.25">
      <c r="A31" s="84">
        <v>44835</v>
      </c>
      <c r="B31" t="s">
        <v>28</v>
      </c>
      <c r="E31">
        <v>0</v>
      </c>
      <c r="G31" s="190"/>
      <c r="H31" s="190"/>
      <c r="I31" s="18">
        <f t="shared" si="0"/>
        <v>0</v>
      </c>
      <c r="J31" s="190"/>
      <c r="K31" s="190"/>
      <c r="L31" s="190"/>
      <c r="M31" s="191"/>
      <c r="N31" s="191"/>
      <c r="O31" s="191"/>
    </row>
    <row r="32" spans="1:15" x14ac:dyDescent="0.25">
      <c r="A32" s="83">
        <v>44866</v>
      </c>
      <c r="B32" t="s">
        <v>27</v>
      </c>
      <c r="C32">
        <f>'Forecasted Headcount'!$O$4</f>
        <v>162</v>
      </c>
      <c r="G32" s="190">
        <f>9813284/12</f>
        <v>817773.66666666663</v>
      </c>
      <c r="H32" s="190">
        <f>324731/12</f>
        <v>27060.916666666668</v>
      </c>
      <c r="I32" s="18">
        <f t="shared" si="0"/>
        <v>844834.58333333326</v>
      </c>
      <c r="J32" s="190"/>
      <c r="K32" s="190"/>
      <c r="L32" s="190"/>
      <c r="M32" s="191"/>
      <c r="N32" s="191"/>
      <c r="O32" s="191"/>
    </row>
    <row r="33" spans="1:15" x14ac:dyDescent="0.25">
      <c r="A33" s="83">
        <v>44866</v>
      </c>
      <c r="B33" t="s">
        <v>28</v>
      </c>
      <c r="E33">
        <v>0</v>
      </c>
      <c r="G33" s="190"/>
      <c r="H33" s="190"/>
      <c r="I33" s="18">
        <f t="shared" si="0"/>
        <v>0</v>
      </c>
      <c r="J33" s="190"/>
      <c r="K33" s="190"/>
      <c r="L33" s="190"/>
      <c r="M33" s="191"/>
      <c r="N33" s="191"/>
      <c r="O33" s="191"/>
    </row>
    <row r="34" spans="1:15" x14ac:dyDescent="0.25">
      <c r="A34" s="84">
        <v>44896</v>
      </c>
      <c r="B34" t="s">
        <v>27</v>
      </c>
      <c r="C34">
        <f>'Forecasted Headcount'!$O$4</f>
        <v>162</v>
      </c>
      <c r="G34" s="190">
        <f>9813284/12</f>
        <v>817773.66666666663</v>
      </c>
      <c r="H34" s="190">
        <f>324731/12</f>
        <v>27060.916666666668</v>
      </c>
      <c r="I34" s="18">
        <f t="shared" si="0"/>
        <v>844834.58333333326</v>
      </c>
      <c r="J34" s="190"/>
      <c r="K34" s="190"/>
      <c r="L34" s="190"/>
      <c r="M34" s="191"/>
      <c r="N34" s="191"/>
      <c r="O34" s="191"/>
    </row>
    <row r="35" spans="1:15" x14ac:dyDescent="0.25">
      <c r="A35" s="84">
        <v>44896</v>
      </c>
      <c r="B35" t="s">
        <v>28</v>
      </c>
      <c r="D35" s="65"/>
      <c r="E35" s="65">
        <v>0</v>
      </c>
      <c r="F35" s="65"/>
      <c r="G35" s="192"/>
      <c r="H35" s="192"/>
      <c r="I35" s="19">
        <f t="shared" si="0"/>
        <v>0</v>
      </c>
      <c r="J35" s="192"/>
      <c r="K35" s="192"/>
      <c r="L35" s="192"/>
      <c r="M35" s="458"/>
      <c r="N35" s="458"/>
      <c r="O35" s="458"/>
    </row>
    <row r="36" spans="1:15" x14ac:dyDescent="0.25">
      <c r="A36" s="85"/>
      <c r="C36" s="66"/>
      <c r="D36" s="67"/>
      <c r="E36" s="67"/>
      <c r="F36" s="67"/>
      <c r="G36" s="193">
        <f>SUM(G12:G35)</f>
        <v>9813284</v>
      </c>
      <c r="H36" s="193">
        <f>SUM(H12:H35)</f>
        <v>324731</v>
      </c>
      <c r="I36" s="193">
        <f>SUM(I12:I35)</f>
        <v>10138015</v>
      </c>
      <c r="J36" s="193"/>
      <c r="K36" s="193"/>
      <c r="L36" s="193"/>
      <c r="M36" s="191"/>
      <c r="N36" s="191"/>
      <c r="O36" s="191"/>
    </row>
    <row r="37" spans="1:15" x14ac:dyDescent="0.25">
      <c r="A37" s="83"/>
      <c r="B37" s="12"/>
      <c r="C37" s="66"/>
      <c r="D37" s="60"/>
      <c r="E37" s="60"/>
      <c r="F37" s="60"/>
      <c r="G37" s="18"/>
      <c r="H37" s="18"/>
      <c r="I37" s="18"/>
      <c r="J37" s="190"/>
      <c r="K37" s="190"/>
      <c r="L37" s="190"/>
    </row>
    <row r="38" spans="1:15" x14ac:dyDescent="0.25">
      <c r="A38" s="83"/>
      <c r="B38" s="12"/>
      <c r="C38" s="66"/>
      <c r="D38" s="60"/>
      <c r="E38" s="60"/>
      <c r="F38" s="60"/>
      <c r="G38" s="18"/>
      <c r="H38" s="18"/>
      <c r="I38" s="18"/>
      <c r="J38" s="190"/>
      <c r="K38" s="190"/>
      <c r="L38" s="190"/>
    </row>
    <row r="39" spans="1:15" x14ac:dyDescent="0.25">
      <c r="A39" s="85" t="s">
        <v>699</v>
      </c>
      <c r="B39" s="330" t="s">
        <v>1171</v>
      </c>
      <c r="G39" s="13"/>
      <c r="H39" s="13"/>
    </row>
  </sheetData>
  <mergeCells count="11">
    <mergeCell ref="A2:O2"/>
    <mergeCell ref="A3:O3"/>
    <mergeCell ref="A5:O5"/>
    <mergeCell ref="A6:O6"/>
    <mergeCell ref="A10:A11"/>
    <mergeCell ref="B10:B11"/>
    <mergeCell ref="C10:D10"/>
    <mergeCell ref="E10:F10"/>
    <mergeCell ref="G10:I10"/>
    <mergeCell ref="J10:L10"/>
    <mergeCell ref="M10:O10"/>
  </mergeCells>
  <pageMargins left="0.7" right="0.7" top="0.75" bottom="0.75" header="0.3" footer="0.3"/>
  <pageSetup scale="86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9" sqref="L19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37"/>
  <sheetViews>
    <sheetView topLeftCell="Q16" workbookViewId="0">
      <selection activeCell="S41" sqref="S41"/>
    </sheetView>
  </sheetViews>
  <sheetFormatPr defaultRowHeight="15" x14ac:dyDescent="0.25"/>
  <cols>
    <col min="1" max="2" width="9.140625" style="35"/>
    <col min="3" max="3" width="36.5703125" style="35" customWidth="1"/>
    <col min="4" max="4" width="15.140625" style="35" customWidth="1"/>
    <col min="5" max="26" width="9.140625" style="35"/>
    <col min="27" max="27" width="11.5703125" style="35" bestFit="1" customWidth="1"/>
    <col min="28" max="34" width="9.140625" style="35"/>
    <col min="35" max="35" width="11.7109375" style="35" bestFit="1" customWidth="1"/>
    <col min="36" max="36" width="13.28515625" style="35" bestFit="1" customWidth="1"/>
    <col min="37" max="37" width="11.5703125" style="35" bestFit="1" customWidth="1"/>
    <col min="38" max="38" width="13.28515625" style="35" bestFit="1" customWidth="1"/>
    <col min="39" max="39" width="9.140625" style="35"/>
    <col min="40" max="40" width="10.5703125" style="35" bestFit="1" customWidth="1"/>
    <col min="41" max="16384" width="9.140625" style="35"/>
  </cols>
  <sheetData>
    <row r="1" spans="1:44" ht="51" x14ac:dyDescent="0.25">
      <c r="A1" s="412"/>
      <c r="B1" s="412"/>
      <c r="C1" s="412"/>
      <c r="D1" s="413" t="s">
        <v>1184</v>
      </c>
      <c r="E1" s="413"/>
      <c r="F1" s="414" t="s">
        <v>1185</v>
      </c>
      <c r="G1" s="414" t="s">
        <v>1186</v>
      </c>
      <c r="H1" s="414" t="s">
        <v>1187</v>
      </c>
      <c r="I1" s="414" t="s">
        <v>1188</v>
      </c>
      <c r="J1" s="414" t="s">
        <v>1189</v>
      </c>
      <c r="K1" s="414" t="s">
        <v>1190</v>
      </c>
      <c r="L1" s="414" t="s">
        <v>1191</v>
      </c>
      <c r="M1" s="415" t="s">
        <v>1192</v>
      </c>
      <c r="N1" s="416" t="s">
        <v>1193</v>
      </c>
      <c r="O1" s="416" t="s">
        <v>1194</v>
      </c>
      <c r="P1" s="416" t="s">
        <v>1195</v>
      </c>
      <c r="Q1" s="416" t="s">
        <v>1196</v>
      </c>
      <c r="R1" s="416" t="s">
        <v>1197</v>
      </c>
      <c r="S1" s="417" t="s">
        <v>1198</v>
      </c>
      <c r="T1" s="417" t="s">
        <v>1199</v>
      </c>
      <c r="U1" s="413"/>
      <c r="V1" s="418" t="s">
        <v>1200</v>
      </c>
      <c r="W1" s="419" t="s">
        <v>5</v>
      </c>
      <c r="X1" s="419" t="s">
        <v>1201</v>
      </c>
      <c r="Y1" s="419" t="s">
        <v>1202</v>
      </c>
      <c r="Z1" s="420" t="s">
        <v>1203</v>
      </c>
      <c r="AA1" s="421" t="s">
        <v>29</v>
      </c>
      <c r="AB1" s="412"/>
      <c r="AC1" s="412"/>
      <c r="AD1" s="412"/>
      <c r="AE1" s="412"/>
      <c r="AF1" s="412" t="s">
        <v>1200</v>
      </c>
      <c r="AG1" s="412" t="s">
        <v>5</v>
      </c>
      <c r="AH1" s="412" t="s">
        <v>1204</v>
      </c>
      <c r="AI1" s="412" t="s">
        <v>1205</v>
      </c>
      <c r="AJ1" s="412" t="s">
        <v>1206</v>
      </c>
      <c r="AK1" s="412"/>
      <c r="AL1" s="412" t="s">
        <v>1200</v>
      </c>
      <c r="AM1" s="412" t="s">
        <v>5</v>
      </c>
      <c r="AN1" s="412" t="s">
        <v>1204</v>
      </c>
      <c r="AO1" s="412" t="s">
        <v>1207</v>
      </c>
      <c r="AP1" s="412" t="s">
        <v>1208</v>
      </c>
      <c r="AQ1" s="412"/>
      <c r="AR1" s="412"/>
    </row>
    <row r="2" spans="1:44" x14ac:dyDescent="0.25">
      <c r="A2" s="422" t="s">
        <v>1209</v>
      </c>
      <c r="B2" s="423" t="s">
        <v>764</v>
      </c>
      <c r="C2" s="423" t="s">
        <v>1210</v>
      </c>
      <c r="D2" s="424">
        <v>5038843.55</v>
      </c>
      <c r="E2" s="413"/>
      <c r="F2" s="425">
        <v>746356.49</v>
      </c>
      <c r="G2" s="425">
        <v>761962.85</v>
      </c>
      <c r="H2" s="425">
        <v>713787.24</v>
      </c>
      <c r="I2" s="425">
        <v>766531.22</v>
      </c>
      <c r="J2" s="425">
        <v>681194.13</v>
      </c>
      <c r="K2" s="425">
        <v>642044.61</v>
      </c>
      <c r="L2" s="425">
        <v>726967.01</v>
      </c>
      <c r="M2" s="425">
        <f>SUM(F2:L2)</f>
        <v>5038843.55</v>
      </c>
      <c r="N2" s="426">
        <v>779413</v>
      </c>
      <c r="O2" s="426">
        <v>743984</v>
      </c>
      <c r="P2" s="426">
        <v>779413</v>
      </c>
      <c r="Q2" s="426">
        <v>779413</v>
      </c>
      <c r="R2" s="426">
        <v>779413</v>
      </c>
      <c r="S2" s="413">
        <f>SUM(N2:R2)</f>
        <v>3861636</v>
      </c>
      <c r="T2" s="413">
        <f>+M2+S2</f>
        <v>8900479.5500000007</v>
      </c>
      <c r="U2" s="413"/>
      <c r="V2" s="413">
        <f>T2</f>
        <v>8900479.5500000007</v>
      </c>
      <c r="W2" s="421"/>
      <c r="X2" s="421"/>
      <c r="Y2" s="421"/>
      <c r="Z2" s="421"/>
      <c r="AA2" s="421">
        <f>SUM(V2:Z2)</f>
        <v>8900479.5500000007</v>
      </c>
      <c r="AB2" s="412"/>
      <c r="AC2" s="412"/>
      <c r="AD2" s="412"/>
      <c r="AE2" s="412"/>
      <c r="AF2" s="421">
        <f>+M2</f>
        <v>5038843.55</v>
      </c>
      <c r="AG2" s="412"/>
      <c r="AH2" s="412"/>
      <c r="AI2" s="412"/>
      <c r="AJ2" s="421">
        <f>SUM(AF2:AI2)</f>
        <v>5038843.55</v>
      </c>
      <c r="AK2" s="412"/>
      <c r="AL2" s="421">
        <f>+S2</f>
        <v>3861636</v>
      </c>
      <c r="AM2" s="412"/>
      <c r="AN2" s="412"/>
      <c r="AO2" s="412"/>
      <c r="AP2" s="421">
        <f>SUM(AL2:AO2)</f>
        <v>3861636</v>
      </c>
      <c r="AQ2" s="421">
        <f>+S2-AP2</f>
        <v>0</v>
      </c>
      <c r="AR2" s="412"/>
    </row>
    <row r="3" spans="1:44" x14ac:dyDescent="0.25">
      <c r="A3" s="427" t="s">
        <v>1209</v>
      </c>
      <c r="B3" s="428" t="s">
        <v>767</v>
      </c>
      <c r="C3" s="428" t="s">
        <v>1211</v>
      </c>
      <c r="D3" s="429">
        <v>235438.45</v>
      </c>
      <c r="E3" s="413"/>
      <c r="F3" s="425">
        <v>35405.14</v>
      </c>
      <c r="G3" s="425">
        <v>28710.37</v>
      </c>
      <c r="H3" s="425">
        <v>24081.33</v>
      </c>
      <c r="I3" s="425">
        <v>29041.41</v>
      </c>
      <c r="J3" s="425">
        <v>42768.12</v>
      </c>
      <c r="K3" s="425">
        <v>40644.269999999997</v>
      </c>
      <c r="L3" s="425">
        <v>34787.81</v>
      </c>
      <c r="M3" s="425">
        <f t="shared" ref="M3:M25" si="0">SUM(F3:L3)</f>
        <v>235438.44999999998</v>
      </c>
      <c r="N3" s="426">
        <v>39805</v>
      </c>
      <c r="O3" s="426">
        <v>38029</v>
      </c>
      <c r="P3" s="426">
        <v>39945</v>
      </c>
      <c r="Q3" s="426">
        <v>39959</v>
      </c>
      <c r="R3" s="426">
        <v>39884</v>
      </c>
      <c r="S3" s="413">
        <f t="shared" ref="S3:S25" si="1">SUM(N3:R3)</f>
        <v>197622</v>
      </c>
      <c r="T3" s="413">
        <f t="shared" ref="T3:T25" si="2">+M3+S3</f>
        <v>433060.44999999995</v>
      </c>
      <c r="U3" s="413"/>
      <c r="V3" s="413"/>
      <c r="W3" s="421"/>
      <c r="X3" s="421"/>
      <c r="Y3" s="413">
        <f>T3</f>
        <v>433060.44999999995</v>
      </c>
      <c r="Z3" s="421"/>
      <c r="AA3" s="421">
        <f>SUM(W3:Z3)</f>
        <v>433060.44999999995</v>
      </c>
      <c r="AB3" s="412"/>
      <c r="AC3" s="412" t="s">
        <v>1200</v>
      </c>
      <c r="AD3" s="412"/>
      <c r="AE3" s="412"/>
      <c r="AF3" s="421">
        <f>+M3</f>
        <v>235438.44999999998</v>
      </c>
      <c r="AG3" s="412"/>
      <c r="AH3" s="412"/>
      <c r="AI3" s="412"/>
      <c r="AJ3" s="421">
        <f t="shared" ref="AJ3:AJ19" si="3">SUM(AF3:AI3)</f>
        <v>235438.44999999998</v>
      </c>
      <c r="AK3" s="412"/>
      <c r="AL3" s="421">
        <f>+S3</f>
        <v>197622</v>
      </c>
      <c r="AM3" s="412"/>
      <c r="AN3" s="412"/>
      <c r="AO3" s="412"/>
      <c r="AP3" s="421">
        <f t="shared" ref="AP3:AP19" si="4">SUM(AL3:AO3)</f>
        <v>197622</v>
      </c>
      <c r="AQ3" s="421">
        <f t="shared" ref="AQ3:AQ20" si="5">+S3-AP3</f>
        <v>0</v>
      </c>
      <c r="AR3" s="412"/>
    </row>
    <row r="4" spans="1:44" x14ac:dyDescent="0.25">
      <c r="A4" s="427" t="s">
        <v>1209</v>
      </c>
      <c r="B4" s="428" t="s">
        <v>771</v>
      </c>
      <c r="C4" s="428" t="s">
        <v>1212</v>
      </c>
      <c r="D4" s="429">
        <v>192647.19</v>
      </c>
      <c r="E4" s="413"/>
      <c r="F4" s="425">
        <v>36580.78</v>
      </c>
      <c r="G4" s="425">
        <v>27897.67</v>
      </c>
      <c r="H4" s="425">
        <v>15508.61</v>
      </c>
      <c r="I4" s="425">
        <v>30255.46</v>
      </c>
      <c r="J4" s="425">
        <v>21979.57</v>
      </c>
      <c r="K4" s="425">
        <v>37727.97</v>
      </c>
      <c r="L4" s="425">
        <v>22697.13</v>
      </c>
      <c r="M4" s="425">
        <f t="shared" si="0"/>
        <v>192647.19</v>
      </c>
      <c r="N4" s="426">
        <v>22752</v>
      </c>
      <c r="O4" s="426">
        <v>22129</v>
      </c>
      <c r="P4" s="426">
        <v>15834</v>
      </c>
      <c r="Q4" s="426">
        <v>20089</v>
      </c>
      <c r="R4" s="426">
        <v>33733</v>
      </c>
      <c r="S4" s="413">
        <f t="shared" si="1"/>
        <v>114537</v>
      </c>
      <c r="T4" s="413">
        <f t="shared" si="2"/>
        <v>307184.19</v>
      </c>
      <c r="U4" s="413"/>
      <c r="V4" s="413"/>
      <c r="W4" s="421">
        <f>T4</f>
        <v>307184.19</v>
      </c>
      <c r="X4" s="421"/>
      <c r="Y4" s="421"/>
      <c r="Z4" s="421"/>
      <c r="AA4" s="421">
        <f t="shared" ref="AA4:AA15" si="6">SUM(V4:Z4)</f>
        <v>307184.19</v>
      </c>
      <c r="AB4" s="412"/>
      <c r="AC4" s="421">
        <f>AA3+Y16</f>
        <v>471871.17999999993</v>
      </c>
      <c r="AD4" s="421">
        <f>+V20+AC4</f>
        <v>9372350.7300000004</v>
      </c>
      <c r="AE4" s="412"/>
      <c r="AF4" s="412"/>
      <c r="AG4" s="421">
        <f>+M4</f>
        <v>192647.19</v>
      </c>
      <c r="AH4" s="412"/>
      <c r="AI4" s="412"/>
      <c r="AJ4" s="421">
        <f t="shared" si="3"/>
        <v>192647.19</v>
      </c>
      <c r="AK4" s="412"/>
      <c r="AL4" s="412"/>
      <c r="AM4" s="421">
        <f>+S4</f>
        <v>114537</v>
      </c>
      <c r="AN4" s="412"/>
      <c r="AO4" s="412"/>
      <c r="AP4" s="421">
        <f t="shared" si="4"/>
        <v>114537</v>
      </c>
      <c r="AQ4" s="421">
        <f t="shared" si="5"/>
        <v>0</v>
      </c>
      <c r="AR4" s="412"/>
    </row>
    <row r="5" spans="1:44" x14ac:dyDescent="0.25">
      <c r="A5" s="427" t="s">
        <v>1209</v>
      </c>
      <c r="B5" s="428" t="s">
        <v>774</v>
      </c>
      <c r="C5" s="428" t="s">
        <v>1213</v>
      </c>
      <c r="D5" s="429">
        <v>936.57</v>
      </c>
      <c r="E5" s="413"/>
      <c r="F5" s="425">
        <v>155.72</v>
      </c>
      <c r="G5" s="425">
        <v>55.61</v>
      </c>
      <c r="H5" s="425">
        <v>168.01</v>
      </c>
      <c r="I5" s="425">
        <v>202.08</v>
      </c>
      <c r="J5" s="425">
        <v>216.41</v>
      </c>
      <c r="K5" s="425">
        <v>71.680000000000007</v>
      </c>
      <c r="L5" s="425">
        <v>67.06</v>
      </c>
      <c r="M5" s="425">
        <f t="shared" si="0"/>
        <v>936.56999999999994</v>
      </c>
      <c r="N5" s="426">
        <v>53</v>
      </c>
      <c r="O5" s="426">
        <v>47</v>
      </c>
      <c r="P5" s="426">
        <v>30</v>
      </c>
      <c r="Q5" s="426">
        <v>89</v>
      </c>
      <c r="R5" s="426">
        <v>55</v>
      </c>
      <c r="S5" s="413">
        <f t="shared" si="1"/>
        <v>274</v>
      </c>
      <c r="T5" s="413">
        <f t="shared" si="2"/>
        <v>1210.57</v>
      </c>
      <c r="U5" s="413"/>
      <c r="V5" s="413"/>
      <c r="W5" s="421"/>
      <c r="X5" s="421"/>
      <c r="Y5" s="421">
        <f>T5</f>
        <v>1210.57</v>
      </c>
      <c r="Z5" s="421"/>
      <c r="AA5" s="421">
        <f t="shared" si="6"/>
        <v>1210.57</v>
      </c>
      <c r="AB5" s="412"/>
      <c r="AC5" s="412" t="s">
        <v>5</v>
      </c>
      <c r="AD5" s="412"/>
      <c r="AE5" s="412"/>
      <c r="AF5" s="412"/>
      <c r="AG5" s="421">
        <f>+M5</f>
        <v>936.56999999999994</v>
      </c>
      <c r="AH5" s="412"/>
      <c r="AI5" s="412"/>
      <c r="AJ5" s="421">
        <f t="shared" si="3"/>
        <v>936.56999999999994</v>
      </c>
      <c r="AK5" s="412"/>
      <c r="AL5" s="412"/>
      <c r="AM5" s="421">
        <f t="shared" ref="AM5:AM6" si="7">+S5</f>
        <v>274</v>
      </c>
      <c r="AN5" s="412"/>
      <c r="AO5" s="412"/>
      <c r="AP5" s="421">
        <f t="shared" si="4"/>
        <v>274</v>
      </c>
      <c r="AQ5" s="421">
        <f t="shared" si="5"/>
        <v>0</v>
      </c>
      <c r="AR5" s="412"/>
    </row>
    <row r="6" spans="1:44" x14ac:dyDescent="0.25">
      <c r="A6" s="427" t="s">
        <v>1214</v>
      </c>
      <c r="B6" s="428" t="s">
        <v>777</v>
      </c>
      <c r="C6" s="428" t="s">
        <v>1215</v>
      </c>
      <c r="D6" s="429">
        <v>1250</v>
      </c>
      <c r="E6" s="413"/>
      <c r="F6" s="425">
        <v>0</v>
      </c>
      <c r="G6" s="425">
        <v>0</v>
      </c>
      <c r="H6" s="425">
        <v>0</v>
      </c>
      <c r="I6" s="425">
        <v>0</v>
      </c>
      <c r="J6" s="425">
        <v>1250</v>
      </c>
      <c r="K6" s="425">
        <v>0</v>
      </c>
      <c r="L6" s="425">
        <v>0</v>
      </c>
      <c r="M6" s="425">
        <f t="shared" si="0"/>
        <v>1250</v>
      </c>
      <c r="N6" s="426"/>
      <c r="O6" s="426"/>
      <c r="P6" s="426"/>
      <c r="Q6" s="426"/>
      <c r="R6" s="426"/>
      <c r="S6" s="413">
        <f t="shared" si="1"/>
        <v>0</v>
      </c>
      <c r="T6" s="413">
        <f t="shared" si="2"/>
        <v>1250</v>
      </c>
      <c r="U6" s="413"/>
      <c r="V6" s="413"/>
      <c r="W6" s="421">
        <f>T6</f>
        <v>1250</v>
      </c>
      <c r="X6" s="421"/>
      <c r="Y6" s="421"/>
      <c r="Z6" s="421"/>
      <c r="AA6" s="421">
        <f t="shared" si="6"/>
        <v>1250</v>
      </c>
      <c r="AB6" s="412"/>
      <c r="AC6" s="421">
        <f>Y5+Y17</f>
        <v>1788.6699999999998</v>
      </c>
      <c r="AD6" s="421">
        <f>+AC6+W20</f>
        <v>310222.86</v>
      </c>
      <c r="AE6" s="412"/>
      <c r="AF6" s="412"/>
      <c r="AG6" s="421">
        <f>+M6</f>
        <v>1250</v>
      </c>
      <c r="AH6" s="412"/>
      <c r="AI6" s="412"/>
      <c r="AJ6" s="421">
        <f t="shared" si="3"/>
        <v>1250</v>
      </c>
      <c r="AK6" s="412"/>
      <c r="AL6" s="412"/>
      <c r="AM6" s="421">
        <f t="shared" si="7"/>
        <v>0</v>
      </c>
      <c r="AN6" s="412"/>
      <c r="AO6" s="412"/>
      <c r="AP6" s="421">
        <f t="shared" si="4"/>
        <v>0</v>
      </c>
      <c r="AQ6" s="421">
        <f t="shared" si="5"/>
        <v>0</v>
      </c>
      <c r="AR6" s="412"/>
    </row>
    <row r="7" spans="1:44" x14ac:dyDescent="0.25">
      <c r="A7" s="427" t="s">
        <v>1209</v>
      </c>
      <c r="B7" s="428" t="s">
        <v>780</v>
      </c>
      <c r="C7" s="428" t="s">
        <v>1216</v>
      </c>
      <c r="D7" s="429">
        <v>-494642.18</v>
      </c>
      <c r="E7" s="413"/>
      <c r="F7" s="425">
        <v>-31410.15</v>
      </c>
      <c r="G7" s="425">
        <v>0</v>
      </c>
      <c r="H7" s="425">
        <v>0</v>
      </c>
      <c r="I7" s="425">
        <v>-54381.98</v>
      </c>
      <c r="J7" s="425">
        <v>0</v>
      </c>
      <c r="K7" s="425">
        <v>0</v>
      </c>
      <c r="L7" s="425">
        <v>-408850.05</v>
      </c>
      <c r="M7" s="425">
        <f t="shared" si="0"/>
        <v>-494642.18</v>
      </c>
      <c r="N7" s="426">
        <v>0</v>
      </c>
      <c r="O7" s="426">
        <v>0</v>
      </c>
      <c r="P7" s="426">
        <v>0</v>
      </c>
      <c r="Q7" s="426">
        <v>0</v>
      </c>
      <c r="R7" s="426">
        <v>0</v>
      </c>
      <c r="S7" s="413">
        <f t="shared" si="1"/>
        <v>0</v>
      </c>
      <c r="T7" s="413">
        <f t="shared" si="2"/>
        <v>-494642.18</v>
      </c>
      <c r="U7" s="413"/>
      <c r="V7" s="413"/>
      <c r="W7" s="421"/>
      <c r="X7" s="421"/>
      <c r="Y7" s="421"/>
      <c r="Z7" s="421">
        <f>T7</f>
        <v>-494642.18</v>
      </c>
      <c r="AA7" s="421">
        <f t="shared" si="6"/>
        <v>-494642.18</v>
      </c>
      <c r="AB7" s="412"/>
      <c r="AC7" s="412" t="s">
        <v>1201</v>
      </c>
      <c r="AD7" s="412"/>
      <c r="AE7" s="412"/>
      <c r="AF7" s="412"/>
      <c r="AG7" s="412"/>
      <c r="AH7" s="412"/>
      <c r="AI7" s="421">
        <f>+M7</f>
        <v>-494642.18</v>
      </c>
      <c r="AJ7" s="421">
        <f t="shared" si="3"/>
        <v>-494642.18</v>
      </c>
      <c r="AK7" s="412"/>
      <c r="AL7" s="412"/>
      <c r="AM7" s="412"/>
      <c r="AN7" s="412"/>
      <c r="AO7" s="421">
        <f>+S7</f>
        <v>0</v>
      </c>
      <c r="AP7" s="421">
        <f t="shared" si="4"/>
        <v>0</v>
      </c>
      <c r="AQ7" s="421">
        <f t="shared" si="5"/>
        <v>0</v>
      </c>
      <c r="AR7" s="412"/>
    </row>
    <row r="8" spans="1:44" x14ac:dyDescent="0.25">
      <c r="A8" s="427" t="s">
        <v>1209</v>
      </c>
      <c r="B8" s="428" t="s">
        <v>783</v>
      </c>
      <c r="C8" s="428" t="s">
        <v>1217</v>
      </c>
      <c r="D8" s="429">
        <v>-10549.37</v>
      </c>
      <c r="E8" s="413"/>
      <c r="F8" s="425">
        <v>-3497.34</v>
      </c>
      <c r="G8" s="425">
        <v>0</v>
      </c>
      <c r="H8" s="425">
        <v>0</v>
      </c>
      <c r="I8" s="425">
        <v>-4036.91</v>
      </c>
      <c r="J8" s="425">
        <v>0</v>
      </c>
      <c r="K8" s="425">
        <v>0</v>
      </c>
      <c r="L8" s="425">
        <v>-3015.12</v>
      </c>
      <c r="M8" s="425">
        <f t="shared" si="0"/>
        <v>-10549.369999999999</v>
      </c>
      <c r="N8" s="426"/>
      <c r="O8" s="426"/>
      <c r="P8" s="426"/>
      <c r="Q8" s="426"/>
      <c r="R8" s="426"/>
      <c r="S8" s="413">
        <f t="shared" si="1"/>
        <v>0</v>
      </c>
      <c r="T8" s="413">
        <f t="shared" si="2"/>
        <v>-10549.369999999999</v>
      </c>
      <c r="U8" s="413"/>
      <c r="V8" s="413"/>
      <c r="W8" s="421"/>
      <c r="X8" s="421"/>
      <c r="Y8" s="421"/>
      <c r="Z8" s="421">
        <f>T8</f>
        <v>-10549.369999999999</v>
      </c>
      <c r="AA8" s="421">
        <f t="shared" si="6"/>
        <v>-10549.369999999999</v>
      </c>
      <c r="AB8" s="412"/>
      <c r="AC8" s="421">
        <f>Y9+Y11+Y13+Y18+Y19</f>
        <v>82745.42</v>
      </c>
      <c r="AD8" s="421">
        <f>+AC8+X20</f>
        <v>1041781.23</v>
      </c>
      <c r="AE8" s="412"/>
      <c r="AF8" s="412"/>
      <c r="AG8" s="412"/>
      <c r="AH8" s="412"/>
      <c r="AI8" s="421">
        <f>+M8</f>
        <v>-10549.369999999999</v>
      </c>
      <c r="AJ8" s="421">
        <f t="shared" si="3"/>
        <v>-10549.369999999999</v>
      </c>
      <c r="AK8" s="412"/>
      <c r="AL8" s="412"/>
      <c r="AM8" s="412"/>
      <c r="AN8" s="412"/>
      <c r="AO8" s="421">
        <f>+S8</f>
        <v>0</v>
      </c>
      <c r="AP8" s="421">
        <f t="shared" si="4"/>
        <v>0</v>
      </c>
      <c r="AQ8" s="421">
        <f t="shared" si="5"/>
        <v>0</v>
      </c>
      <c r="AR8" s="412"/>
    </row>
    <row r="9" spans="1:44" x14ac:dyDescent="0.25">
      <c r="A9" s="427" t="s">
        <v>1209</v>
      </c>
      <c r="B9" s="428" t="s">
        <v>920</v>
      </c>
      <c r="C9" s="428" t="s">
        <v>1218</v>
      </c>
      <c r="D9" s="429">
        <v>660.31</v>
      </c>
      <c r="E9" s="413"/>
      <c r="F9" s="425">
        <v>660.31</v>
      </c>
      <c r="G9" s="425">
        <v>0</v>
      </c>
      <c r="H9" s="425">
        <v>0</v>
      </c>
      <c r="I9" s="425">
        <v>0</v>
      </c>
      <c r="J9" s="425"/>
      <c r="K9" s="425"/>
      <c r="L9" s="425"/>
      <c r="M9" s="425">
        <f t="shared" si="0"/>
        <v>660.31</v>
      </c>
      <c r="N9" s="425"/>
      <c r="O9" s="425"/>
      <c r="P9" s="425"/>
      <c r="Q9" s="425"/>
      <c r="R9" s="425"/>
      <c r="S9" s="413">
        <f t="shared" si="1"/>
        <v>0</v>
      </c>
      <c r="T9" s="413">
        <f t="shared" si="2"/>
        <v>660.31</v>
      </c>
      <c r="U9" s="413"/>
      <c r="V9" s="413"/>
      <c r="W9" s="421"/>
      <c r="X9" s="421"/>
      <c r="Y9" s="421">
        <f>T9</f>
        <v>660.31</v>
      </c>
      <c r="Z9" s="421"/>
      <c r="AA9" s="421">
        <f t="shared" si="6"/>
        <v>660.31</v>
      </c>
      <c r="AB9" s="412"/>
      <c r="AC9" s="412"/>
      <c r="AD9" s="412"/>
      <c r="AE9" s="412"/>
      <c r="AF9" s="412"/>
      <c r="AG9" s="412"/>
      <c r="AH9" s="421">
        <f t="shared" ref="AH9:AH15" si="8">+M9</f>
        <v>660.31</v>
      </c>
      <c r="AI9" s="412"/>
      <c r="AJ9" s="421">
        <f t="shared" si="3"/>
        <v>660.31</v>
      </c>
      <c r="AK9" s="412"/>
      <c r="AL9" s="412"/>
      <c r="AM9" s="412"/>
      <c r="AN9" s="421">
        <f>+S9</f>
        <v>0</v>
      </c>
      <c r="AO9" s="412"/>
      <c r="AP9" s="421">
        <f t="shared" si="4"/>
        <v>0</v>
      </c>
      <c r="AQ9" s="421">
        <f t="shared" si="5"/>
        <v>0</v>
      </c>
      <c r="AR9" s="412"/>
    </row>
    <row r="10" spans="1:44" x14ac:dyDescent="0.25">
      <c r="A10" s="427" t="s">
        <v>1219</v>
      </c>
      <c r="B10" s="428" t="s">
        <v>1165</v>
      </c>
      <c r="C10" s="428" t="s">
        <v>1220</v>
      </c>
      <c r="D10" s="429">
        <v>2247.4499999999998</v>
      </c>
      <c r="E10" s="413"/>
      <c r="F10" s="425">
        <v>0</v>
      </c>
      <c r="G10" s="425">
        <v>0</v>
      </c>
      <c r="H10" s="425">
        <v>0</v>
      </c>
      <c r="I10" s="425">
        <v>1922.45</v>
      </c>
      <c r="J10" s="425">
        <v>0</v>
      </c>
      <c r="K10" s="425">
        <v>300</v>
      </c>
      <c r="L10" s="425">
        <v>25</v>
      </c>
      <c r="M10" s="425">
        <f t="shared" si="0"/>
        <v>2247.4499999999998</v>
      </c>
      <c r="N10" s="426"/>
      <c r="O10" s="426"/>
      <c r="P10" s="426"/>
      <c r="Q10" s="426"/>
      <c r="R10" s="426"/>
      <c r="S10" s="413">
        <f t="shared" si="1"/>
        <v>0</v>
      </c>
      <c r="T10" s="413">
        <f t="shared" si="2"/>
        <v>2247.4499999999998</v>
      </c>
      <c r="U10" s="413"/>
      <c r="V10" s="413"/>
      <c r="W10" s="421"/>
      <c r="X10" s="421">
        <f t="shared" ref="X10:X15" si="9">T10</f>
        <v>2247.4499999999998</v>
      </c>
      <c r="Y10" s="421"/>
      <c r="Z10" s="421"/>
      <c r="AA10" s="421">
        <f t="shared" si="6"/>
        <v>2247.4499999999998</v>
      </c>
      <c r="AB10" s="412"/>
      <c r="AC10" s="421">
        <f>AC8+AC6+AC4</f>
        <v>556405.2699999999</v>
      </c>
      <c r="AD10" s="421">
        <f>SUM(AD4:AD8)</f>
        <v>10724354.82</v>
      </c>
      <c r="AE10" s="412"/>
      <c r="AF10" s="412"/>
      <c r="AG10" s="412"/>
      <c r="AH10" s="421">
        <f t="shared" si="8"/>
        <v>2247.4499999999998</v>
      </c>
      <c r="AI10" s="412"/>
      <c r="AJ10" s="421">
        <f t="shared" si="3"/>
        <v>2247.4499999999998</v>
      </c>
      <c r="AK10" s="412"/>
      <c r="AL10" s="412"/>
      <c r="AM10" s="412"/>
      <c r="AN10" s="421">
        <f t="shared" ref="AN10:AN15" si="10">+S10</f>
        <v>0</v>
      </c>
      <c r="AO10" s="412"/>
      <c r="AP10" s="421">
        <f t="shared" si="4"/>
        <v>0</v>
      </c>
      <c r="AQ10" s="421">
        <f t="shared" si="5"/>
        <v>0</v>
      </c>
      <c r="AR10" s="412"/>
    </row>
    <row r="11" spans="1:44" x14ac:dyDescent="0.25">
      <c r="A11" s="427" t="s">
        <v>1209</v>
      </c>
      <c r="B11" s="428" t="s">
        <v>786</v>
      </c>
      <c r="C11" s="428" t="s">
        <v>1221</v>
      </c>
      <c r="D11" s="429">
        <v>5688.64</v>
      </c>
      <c r="E11" s="413"/>
      <c r="F11" s="425">
        <v>1347.81</v>
      </c>
      <c r="G11" s="425">
        <v>428.97</v>
      </c>
      <c r="H11" s="425">
        <v>407</v>
      </c>
      <c r="I11" s="425">
        <v>946.73</v>
      </c>
      <c r="J11" s="425">
        <v>783.25</v>
      </c>
      <c r="K11" s="425">
        <v>742.99</v>
      </c>
      <c r="L11" s="425">
        <v>1031.8900000000001</v>
      </c>
      <c r="M11" s="425">
        <f t="shared" si="0"/>
        <v>5688.64</v>
      </c>
      <c r="N11" s="426">
        <v>924</v>
      </c>
      <c r="O11" s="426">
        <v>924</v>
      </c>
      <c r="P11" s="426">
        <v>924</v>
      </c>
      <c r="Q11" s="426">
        <v>924</v>
      </c>
      <c r="R11" s="426">
        <v>924</v>
      </c>
      <c r="S11" s="413">
        <f t="shared" si="1"/>
        <v>4620</v>
      </c>
      <c r="T11" s="413">
        <f t="shared" si="2"/>
        <v>10308.64</v>
      </c>
      <c r="U11" s="413"/>
      <c r="V11" s="413"/>
      <c r="W11" s="421"/>
      <c r="X11" s="421"/>
      <c r="Y11" s="421">
        <f>T11</f>
        <v>10308.64</v>
      </c>
      <c r="Z11" s="421"/>
      <c r="AA11" s="421">
        <f t="shared" si="6"/>
        <v>10308.64</v>
      </c>
      <c r="AB11" s="412"/>
      <c r="AC11" s="412"/>
      <c r="AD11" s="412"/>
      <c r="AE11" s="412"/>
      <c r="AF11" s="412"/>
      <c r="AG11" s="412"/>
      <c r="AH11" s="421">
        <f t="shared" si="8"/>
        <v>5688.64</v>
      </c>
      <c r="AI11" s="412"/>
      <c r="AJ11" s="421">
        <f t="shared" si="3"/>
        <v>5688.64</v>
      </c>
      <c r="AK11" s="412"/>
      <c r="AL11" s="412"/>
      <c r="AM11" s="412"/>
      <c r="AN11" s="421">
        <f t="shared" si="10"/>
        <v>4620</v>
      </c>
      <c r="AO11" s="412"/>
      <c r="AP11" s="421">
        <f t="shared" si="4"/>
        <v>4620</v>
      </c>
      <c r="AQ11" s="421">
        <f t="shared" si="5"/>
        <v>0</v>
      </c>
      <c r="AR11" s="412"/>
    </row>
    <row r="12" spans="1:44" x14ac:dyDescent="0.25">
      <c r="A12" s="427" t="s">
        <v>1209</v>
      </c>
      <c r="B12" s="428" t="s">
        <v>789</v>
      </c>
      <c r="C12" s="428" t="s">
        <v>1222</v>
      </c>
      <c r="D12" s="429">
        <v>583127.62</v>
      </c>
      <c r="E12" s="413"/>
      <c r="F12" s="425">
        <v>74093.350000000006</v>
      </c>
      <c r="G12" s="425">
        <v>74162.31</v>
      </c>
      <c r="H12" s="425">
        <v>74184.88</v>
      </c>
      <c r="I12" s="425">
        <v>145194.92000000001</v>
      </c>
      <c r="J12" s="425">
        <v>72094</v>
      </c>
      <c r="K12" s="425">
        <v>72094</v>
      </c>
      <c r="L12" s="425">
        <v>71304.160000000003</v>
      </c>
      <c r="M12" s="425">
        <f t="shared" si="0"/>
        <v>583127.62</v>
      </c>
      <c r="N12" s="426">
        <v>74361</v>
      </c>
      <c r="O12" s="426">
        <v>74360</v>
      </c>
      <c r="P12" s="426">
        <v>74361</v>
      </c>
      <c r="Q12" s="426">
        <v>74360</v>
      </c>
      <c r="R12" s="426">
        <v>74361</v>
      </c>
      <c r="S12" s="413">
        <f t="shared" si="1"/>
        <v>371803</v>
      </c>
      <c r="T12" s="413">
        <f t="shared" si="2"/>
        <v>954930.62</v>
      </c>
      <c r="U12" s="413"/>
      <c r="V12" s="413"/>
      <c r="W12" s="421"/>
      <c r="X12" s="421">
        <f t="shared" si="9"/>
        <v>954930.62</v>
      </c>
      <c r="Y12" s="421"/>
      <c r="Z12" s="421"/>
      <c r="AA12" s="421">
        <f t="shared" si="6"/>
        <v>954930.62</v>
      </c>
      <c r="AB12" s="412"/>
      <c r="AC12" s="412"/>
      <c r="AD12" s="421">
        <f>+Z20</f>
        <v>-505191.55</v>
      </c>
      <c r="AE12" s="412"/>
      <c r="AF12" s="412"/>
      <c r="AG12" s="412"/>
      <c r="AH12" s="421">
        <f t="shared" si="8"/>
        <v>583127.62</v>
      </c>
      <c r="AI12" s="412"/>
      <c r="AJ12" s="421">
        <f t="shared" si="3"/>
        <v>583127.62</v>
      </c>
      <c r="AK12" s="412"/>
      <c r="AL12" s="412"/>
      <c r="AM12" s="412"/>
      <c r="AN12" s="421">
        <f t="shared" si="10"/>
        <v>371803</v>
      </c>
      <c r="AO12" s="412"/>
      <c r="AP12" s="421">
        <f t="shared" si="4"/>
        <v>371803</v>
      </c>
      <c r="AQ12" s="421">
        <f t="shared" si="5"/>
        <v>0</v>
      </c>
      <c r="AR12" s="412"/>
    </row>
    <row r="13" spans="1:44" x14ac:dyDescent="0.25">
      <c r="A13" s="427" t="s">
        <v>1209</v>
      </c>
      <c r="B13" s="428" t="s">
        <v>793</v>
      </c>
      <c r="C13" s="428" t="s">
        <v>1223</v>
      </c>
      <c r="D13" s="429">
        <v>37355.589999999997</v>
      </c>
      <c r="E13" s="413"/>
      <c r="F13" s="425">
        <v>5121.92</v>
      </c>
      <c r="G13" s="425">
        <v>4489.2700000000004</v>
      </c>
      <c r="H13" s="425">
        <v>3940.71</v>
      </c>
      <c r="I13" s="425">
        <v>10436.83</v>
      </c>
      <c r="J13" s="425">
        <v>4802.2700000000004</v>
      </c>
      <c r="K13" s="425">
        <v>4768.91</v>
      </c>
      <c r="L13" s="425">
        <v>3795.68</v>
      </c>
      <c r="M13" s="425">
        <f t="shared" si="0"/>
        <v>37355.590000000004</v>
      </c>
      <c r="N13" s="426">
        <v>6160</v>
      </c>
      <c r="O13" s="426">
        <v>6160</v>
      </c>
      <c r="P13" s="426">
        <v>6160</v>
      </c>
      <c r="Q13" s="426">
        <v>6160</v>
      </c>
      <c r="R13" s="426">
        <v>6160</v>
      </c>
      <c r="S13" s="413">
        <f t="shared" si="1"/>
        <v>30800</v>
      </c>
      <c r="T13" s="413">
        <f t="shared" si="2"/>
        <v>68155.59</v>
      </c>
      <c r="U13" s="413"/>
      <c r="V13" s="413"/>
      <c r="W13" s="421"/>
      <c r="X13" s="421"/>
      <c r="Y13" s="421">
        <f>T13</f>
        <v>68155.59</v>
      </c>
      <c r="Z13" s="421"/>
      <c r="AA13" s="421">
        <f t="shared" si="6"/>
        <v>68155.59</v>
      </c>
      <c r="AB13" s="412"/>
      <c r="AC13" s="412"/>
      <c r="AD13" s="412"/>
      <c r="AE13" s="412"/>
      <c r="AF13" s="412"/>
      <c r="AG13" s="412"/>
      <c r="AH13" s="421">
        <f t="shared" si="8"/>
        <v>37355.590000000004</v>
      </c>
      <c r="AI13" s="412"/>
      <c r="AJ13" s="421">
        <f t="shared" si="3"/>
        <v>37355.590000000004</v>
      </c>
      <c r="AK13" s="412"/>
      <c r="AL13" s="412"/>
      <c r="AM13" s="412"/>
      <c r="AN13" s="421">
        <f t="shared" si="10"/>
        <v>30800</v>
      </c>
      <c r="AO13" s="412"/>
      <c r="AP13" s="421">
        <f t="shared" si="4"/>
        <v>30800</v>
      </c>
      <c r="AQ13" s="421">
        <f t="shared" si="5"/>
        <v>0</v>
      </c>
      <c r="AR13" s="412"/>
    </row>
    <row r="14" spans="1:44" x14ac:dyDescent="0.25">
      <c r="A14" s="427" t="s">
        <v>1219</v>
      </c>
      <c r="B14" s="428" t="s">
        <v>1224</v>
      </c>
      <c r="C14" s="428" t="s">
        <v>1225</v>
      </c>
      <c r="D14" s="429">
        <v>1173.6199999999999</v>
      </c>
      <c r="E14" s="413"/>
      <c r="F14" s="425"/>
      <c r="G14" s="425"/>
      <c r="H14" s="425"/>
      <c r="I14" s="425"/>
      <c r="J14" s="425">
        <v>0</v>
      </c>
      <c r="K14" s="425">
        <v>0</v>
      </c>
      <c r="L14" s="425">
        <v>1173.6199999999999</v>
      </c>
      <c r="M14" s="425">
        <f t="shared" si="0"/>
        <v>1173.6199999999999</v>
      </c>
      <c r="N14" s="426"/>
      <c r="O14" s="426"/>
      <c r="P14" s="426"/>
      <c r="Q14" s="426"/>
      <c r="R14" s="426"/>
      <c r="S14" s="413">
        <f t="shared" si="1"/>
        <v>0</v>
      </c>
      <c r="T14" s="413">
        <f t="shared" si="2"/>
        <v>1173.6199999999999</v>
      </c>
      <c r="U14" s="413"/>
      <c r="V14" s="413"/>
      <c r="W14" s="421"/>
      <c r="X14" s="421">
        <f t="shared" si="9"/>
        <v>1173.6199999999999</v>
      </c>
      <c r="Y14" s="421"/>
      <c r="Z14" s="421"/>
      <c r="AA14" s="421">
        <f t="shared" si="6"/>
        <v>1173.6199999999999</v>
      </c>
      <c r="AB14" s="412"/>
      <c r="AC14" s="412"/>
      <c r="AD14" s="421">
        <f>+AD12+AD10</f>
        <v>10219163.27</v>
      </c>
      <c r="AE14" s="412"/>
      <c r="AF14" s="412"/>
      <c r="AG14" s="412"/>
      <c r="AH14" s="421">
        <f t="shared" si="8"/>
        <v>1173.6199999999999</v>
      </c>
      <c r="AI14" s="412"/>
      <c r="AJ14" s="421">
        <f t="shared" si="3"/>
        <v>1173.6199999999999</v>
      </c>
      <c r="AK14" s="412"/>
      <c r="AL14" s="412"/>
      <c r="AM14" s="412"/>
      <c r="AN14" s="421">
        <f t="shared" si="10"/>
        <v>0</v>
      </c>
      <c r="AO14" s="412"/>
      <c r="AP14" s="421">
        <f t="shared" si="4"/>
        <v>0</v>
      </c>
      <c r="AQ14" s="421">
        <f t="shared" si="5"/>
        <v>0</v>
      </c>
      <c r="AR14" s="412"/>
    </row>
    <row r="15" spans="1:44" x14ac:dyDescent="0.25">
      <c r="A15" s="427" t="s">
        <v>1219</v>
      </c>
      <c r="B15" s="428" t="s">
        <v>1226</v>
      </c>
      <c r="C15" s="428" t="s">
        <v>1227</v>
      </c>
      <c r="D15" s="429">
        <v>684.12</v>
      </c>
      <c r="E15" s="413"/>
      <c r="F15" s="425"/>
      <c r="G15" s="425"/>
      <c r="H15" s="425"/>
      <c r="I15" s="425"/>
      <c r="J15" s="425">
        <v>0</v>
      </c>
      <c r="K15" s="425">
        <v>0</v>
      </c>
      <c r="L15" s="425">
        <v>684.12</v>
      </c>
      <c r="M15" s="425">
        <f t="shared" si="0"/>
        <v>684.12</v>
      </c>
      <c r="N15" s="426"/>
      <c r="O15" s="426"/>
      <c r="P15" s="426"/>
      <c r="Q15" s="426"/>
      <c r="R15" s="426"/>
      <c r="S15" s="413">
        <f t="shared" si="1"/>
        <v>0</v>
      </c>
      <c r="T15" s="413">
        <f t="shared" si="2"/>
        <v>684.12</v>
      </c>
      <c r="U15" s="413"/>
      <c r="V15" s="413"/>
      <c r="W15" s="421"/>
      <c r="X15" s="421">
        <f t="shared" si="9"/>
        <v>684.12</v>
      </c>
      <c r="Y15" s="421"/>
      <c r="Z15" s="421"/>
      <c r="AA15" s="421">
        <f t="shared" si="6"/>
        <v>684.12</v>
      </c>
      <c r="AB15" s="412"/>
      <c r="AC15" s="412"/>
      <c r="AD15" s="412"/>
      <c r="AE15" s="412"/>
      <c r="AF15" s="412"/>
      <c r="AG15" s="412"/>
      <c r="AH15" s="421">
        <f t="shared" si="8"/>
        <v>684.12</v>
      </c>
      <c r="AI15" s="412"/>
      <c r="AJ15" s="421">
        <f t="shared" si="3"/>
        <v>684.12</v>
      </c>
      <c r="AK15" s="412"/>
      <c r="AL15" s="412"/>
      <c r="AM15" s="412"/>
      <c r="AN15" s="421">
        <f t="shared" si="10"/>
        <v>0</v>
      </c>
      <c r="AO15" s="412"/>
      <c r="AP15" s="421">
        <f t="shared" si="4"/>
        <v>0</v>
      </c>
      <c r="AQ15" s="421">
        <f t="shared" si="5"/>
        <v>0</v>
      </c>
      <c r="AR15" s="412"/>
    </row>
    <row r="16" spans="1:44" x14ac:dyDescent="0.25">
      <c r="A16" s="427" t="s">
        <v>1209</v>
      </c>
      <c r="B16" s="428" t="s">
        <v>796</v>
      </c>
      <c r="C16" s="428" t="s">
        <v>1228</v>
      </c>
      <c r="D16" s="429">
        <v>29546.73</v>
      </c>
      <c r="E16" s="413"/>
      <c r="F16" s="425">
        <v>1548.51</v>
      </c>
      <c r="G16" s="425">
        <v>1560</v>
      </c>
      <c r="H16" s="425">
        <v>1437.28</v>
      </c>
      <c r="I16" s="425">
        <v>1677.29</v>
      </c>
      <c r="J16" s="425">
        <v>7639.38</v>
      </c>
      <c r="K16" s="425">
        <v>9429.23</v>
      </c>
      <c r="L16" s="425">
        <v>6255.04</v>
      </c>
      <c r="M16" s="425">
        <f t="shared" si="0"/>
        <v>29546.73</v>
      </c>
      <c r="N16" s="426">
        <v>1869</v>
      </c>
      <c r="O16" s="426">
        <v>1787</v>
      </c>
      <c r="P16" s="426">
        <v>1869</v>
      </c>
      <c r="Q16" s="426">
        <v>1869</v>
      </c>
      <c r="R16" s="426">
        <v>1870</v>
      </c>
      <c r="S16" s="413">
        <f t="shared" si="1"/>
        <v>9264</v>
      </c>
      <c r="T16" s="413">
        <f t="shared" si="2"/>
        <v>38810.729999999996</v>
      </c>
      <c r="U16" s="413"/>
      <c r="V16" s="413"/>
      <c r="W16" s="421"/>
      <c r="X16" s="421"/>
      <c r="Y16" s="413">
        <f>T16</f>
        <v>38810.729999999996</v>
      </c>
      <c r="Z16" s="421"/>
      <c r="AA16" s="421">
        <f>SUM(W16:Z16)</f>
        <v>38810.729999999996</v>
      </c>
      <c r="AB16" s="412"/>
      <c r="AC16" s="412" t="s">
        <v>1229</v>
      </c>
      <c r="AD16" s="412"/>
      <c r="AE16" s="412"/>
      <c r="AF16" s="421">
        <f>+M16</f>
        <v>29546.73</v>
      </c>
      <c r="AG16" s="412"/>
      <c r="AH16" s="412"/>
      <c r="AI16" s="412"/>
      <c r="AJ16" s="421">
        <f t="shared" si="3"/>
        <v>29546.73</v>
      </c>
      <c r="AK16" s="412"/>
      <c r="AL16" s="421">
        <f>+S16</f>
        <v>9264</v>
      </c>
      <c r="AM16" s="412"/>
      <c r="AN16" s="412"/>
      <c r="AO16" s="412"/>
      <c r="AP16" s="421">
        <f t="shared" si="4"/>
        <v>9264</v>
      </c>
      <c r="AQ16" s="421">
        <f t="shared" si="5"/>
        <v>0</v>
      </c>
      <c r="AR16" s="412"/>
    </row>
    <row r="17" spans="1:44" x14ac:dyDescent="0.25">
      <c r="A17" s="427" t="s">
        <v>1209</v>
      </c>
      <c r="B17" s="428" t="s">
        <v>799</v>
      </c>
      <c r="C17" s="428" t="s">
        <v>1230</v>
      </c>
      <c r="D17" s="429">
        <v>143.1</v>
      </c>
      <c r="E17" s="413"/>
      <c r="F17" s="425">
        <v>11.23</v>
      </c>
      <c r="G17" s="425">
        <v>9.4700000000000006</v>
      </c>
      <c r="H17" s="425">
        <v>131.25</v>
      </c>
      <c r="I17" s="425">
        <v>21.94</v>
      </c>
      <c r="J17" s="425">
        <v>-49.67</v>
      </c>
      <c r="K17" s="425">
        <v>8.09</v>
      </c>
      <c r="L17" s="425">
        <v>10.79</v>
      </c>
      <c r="M17" s="425">
        <f t="shared" si="0"/>
        <v>143.09999999999997</v>
      </c>
      <c r="N17" s="426">
        <v>114</v>
      </c>
      <c r="O17" s="426">
        <v>96</v>
      </c>
      <c r="P17" s="426">
        <v>93</v>
      </c>
      <c r="Q17" s="426">
        <v>59</v>
      </c>
      <c r="R17" s="426">
        <v>73</v>
      </c>
      <c r="S17" s="413">
        <f t="shared" si="1"/>
        <v>435</v>
      </c>
      <c r="T17" s="413">
        <f t="shared" si="2"/>
        <v>578.09999999999991</v>
      </c>
      <c r="U17" s="413"/>
      <c r="V17" s="413"/>
      <c r="W17" s="421"/>
      <c r="X17" s="421"/>
      <c r="Y17" s="421">
        <f>T17</f>
        <v>578.09999999999991</v>
      </c>
      <c r="Z17" s="421"/>
      <c r="AA17" s="421">
        <f>SUM(V17:Z17)</f>
        <v>578.09999999999991</v>
      </c>
      <c r="AB17" s="412"/>
      <c r="AC17" s="412"/>
      <c r="AD17" s="412"/>
      <c r="AE17" s="412"/>
      <c r="AF17" s="412"/>
      <c r="AG17" s="421">
        <f>+M17</f>
        <v>143.09999999999997</v>
      </c>
      <c r="AH17" s="412"/>
      <c r="AI17" s="412"/>
      <c r="AJ17" s="421">
        <f t="shared" si="3"/>
        <v>143.09999999999997</v>
      </c>
      <c r="AK17" s="412"/>
      <c r="AL17" s="412"/>
      <c r="AM17" s="421">
        <f>+S17</f>
        <v>435</v>
      </c>
      <c r="AN17" s="412"/>
      <c r="AO17" s="412"/>
      <c r="AP17" s="421">
        <f t="shared" si="4"/>
        <v>435</v>
      </c>
      <c r="AQ17" s="421">
        <f t="shared" si="5"/>
        <v>0</v>
      </c>
      <c r="AR17" s="412"/>
    </row>
    <row r="18" spans="1:44" x14ac:dyDescent="0.25">
      <c r="A18" s="427" t="s">
        <v>1209</v>
      </c>
      <c r="B18" s="428" t="s">
        <v>808</v>
      </c>
      <c r="C18" s="428" t="s">
        <v>1231</v>
      </c>
      <c r="D18" s="429">
        <v>242.44</v>
      </c>
      <c r="E18" s="413"/>
      <c r="F18" s="425">
        <v>0</v>
      </c>
      <c r="G18" s="425">
        <v>49.14</v>
      </c>
      <c r="H18" s="425">
        <v>0</v>
      </c>
      <c r="I18" s="425">
        <v>0</v>
      </c>
      <c r="J18" s="425">
        <v>143.71</v>
      </c>
      <c r="K18" s="425">
        <v>49.59</v>
      </c>
      <c r="L18" s="425">
        <v>0</v>
      </c>
      <c r="M18" s="425">
        <f t="shared" si="0"/>
        <v>242.44000000000003</v>
      </c>
      <c r="N18" s="426"/>
      <c r="O18" s="426"/>
      <c r="P18" s="426"/>
      <c r="Q18" s="426"/>
      <c r="R18" s="426"/>
      <c r="S18" s="413">
        <f t="shared" si="1"/>
        <v>0</v>
      </c>
      <c r="T18" s="413">
        <f t="shared" si="2"/>
        <v>242.44000000000003</v>
      </c>
      <c r="U18" s="413"/>
      <c r="V18" s="413"/>
      <c r="W18" s="421"/>
      <c r="X18" s="421"/>
      <c r="Y18" s="421">
        <f>T18</f>
        <v>242.44000000000003</v>
      </c>
      <c r="Z18" s="421"/>
      <c r="AA18" s="421">
        <f>SUM(V18:Z18)</f>
        <v>242.44000000000003</v>
      </c>
      <c r="AB18" s="412"/>
      <c r="AC18" s="412"/>
      <c r="AD18" s="412"/>
      <c r="AE18" s="412"/>
      <c r="AF18" s="412"/>
      <c r="AG18" s="412"/>
      <c r="AH18" s="421">
        <f>+M18</f>
        <v>242.44000000000003</v>
      </c>
      <c r="AI18" s="412"/>
      <c r="AJ18" s="421">
        <f t="shared" si="3"/>
        <v>242.44000000000003</v>
      </c>
      <c r="AK18" s="412"/>
      <c r="AL18" s="412"/>
      <c r="AM18" s="412"/>
      <c r="AN18" s="421">
        <f>+S18</f>
        <v>0</v>
      </c>
      <c r="AO18" s="412"/>
      <c r="AP18" s="421">
        <f t="shared" si="4"/>
        <v>0</v>
      </c>
      <c r="AQ18" s="421">
        <f t="shared" si="5"/>
        <v>0</v>
      </c>
      <c r="AR18" s="412"/>
    </row>
    <row r="19" spans="1:44" x14ac:dyDescent="0.25">
      <c r="A19" s="427" t="s">
        <v>1209</v>
      </c>
      <c r="B19" s="428" t="s">
        <v>814</v>
      </c>
      <c r="C19" s="428" t="s">
        <v>1232</v>
      </c>
      <c r="D19" s="429">
        <v>2568.44</v>
      </c>
      <c r="E19" s="413"/>
      <c r="F19" s="430">
        <v>120.71</v>
      </c>
      <c r="G19" s="430">
        <v>127.15</v>
      </c>
      <c r="H19" s="430">
        <v>133.66</v>
      </c>
      <c r="I19" s="430">
        <v>254.32</v>
      </c>
      <c r="J19" s="430">
        <v>636.73</v>
      </c>
      <c r="K19" s="430">
        <v>830.56</v>
      </c>
      <c r="L19" s="430">
        <v>465.31</v>
      </c>
      <c r="M19" s="430">
        <f t="shared" si="0"/>
        <v>2568.44</v>
      </c>
      <c r="N19" s="426">
        <v>162</v>
      </c>
      <c r="O19" s="426">
        <v>162</v>
      </c>
      <c r="P19" s="426">
        <v>162</v>
      </c>
      <c r="Q19" s="426">
        <v>162</v>
      </c>
      <c r="R19" s="426">
        <v>162</v>
      </c>
      <c r="S19" s="413">
        <f t="shared" si="1"/>
        <v>810</v>
      </c>
      <c r="T19" s="413">
        <f t="shared" si="2"/>
        <v>3378.44</v>
      </c>
      <c r="U19" s="413"/>
      <c r="V19" s="413"/>
      <c r="W19" s="421"/>
      <c r="X19" s="421"/>
      <c r="Y19" s="421">
        <f>T19</f>
        <v>3378.44</v>
      </c>
      <c r="Z19" s="421"/>
      <c r="AA19" s="421">
        <f>SUM(V19:Z19)</f>
        <v>3378.44</v>
      </c>
      <c r="AB19" s="412"/>
      <c r="AC19" s="412"/>
      <c r="AD19" s="412"/>
      <c r="AE19" s="412"/>
      <c r="AF19" s="412"/>
      <c r="AG19" s="412"/>
      <c r="AH19" s="421">
        <f>+M19</f>
        <v>2568.44</v>
      </c>
      <c r="AI19" s="412"/>
      <c r="AJ19" s="421">
        <f t="shared" si="3"/>
        <v>2568.44</v>
      </c>
      <c r="AK19" s="412"/>
      <c r="AL19" s="412"/>
      <c r="AM19" s="412"/>
      <c r="AN19" s="421">
        <f>+S19</f>
        <v>810</v>
      </c>
      <c r="AO19" s="412"/>
      <c r="AP19" s="421">
        <f t="shared" si="4"/>
        <v>810</v>
      </c>
      <c r="AQ19" s="421">
        <f t="shared" si="5"/>
        <v>0</v>
      </c>
      <c r="AR19" s="412"/>
    </row>
    <row r="20" spans="1:44" x14ac:dyDescent="0.25">
      <c r="A20" s="427"/>
      <c r="B20" s="428"/>
      <c r="C20" s="428" t="s">
        <v>1233</v>
      </c>
      <c r="D20" s="429">
        <f>SUM(D2:D19)</f>
        <v>5627362.2700000014</v>
      </c>
      <c r="E20" s="413"/>
      <c r="F20" s="431">
        <f t="shared" ref="F20:L20" si="11">SUM(F2:F19)</f>
        <v>866494.4800000001</v>
      </c>
      <c r="G20" s="431">
        <f t="shared" si="11"/>
        <v>899452.81</v>
      </c>
      <c r="H20" s="431">
        <f t="shared" si="11"/>
        <v>833779.97</v>
      </c>
      <c r="I20" s="431">
        <f t="shared" si="11"/>
        <v>928065.75999999978</v>
      </c>
      <c r="J20" s="431">
        <f t="shared" si="11"/>
        <v>833457.89999999991</v>
      </c>
      <c r="K20" s="431">
        <f t="shared" si="11"/>
        <v>808711.9</v>
      </c>
      <c r="L20" s="431">
        <f t="shared" si="11"/>
        <v>457399.45000000007</v>
      </c>
      <c r="M20" s="432">
        <f t="shared" si="0"/>
        <v>5627362.2700000005</v>
      </c>
      <c r="N20" s="433">
        <f>SUM(N2:N19)</f>
        <v>925613</v>
      </c>
      <c r="O20" s="426">
        <f>SUM(O2:O19)</f>
        <v>887678</v>
      </c>
      <c r="P20" s="426">
        <f>SUM(P2:P19)</f>
        <v>918791</v>
      </c>
      <c r="Q20" s="426">
        <f>SUM(Q2:Q19)</f>
        <v>923084</v>
      </c>
      <c r="R20" s="426">
        <f>SUM(R2:R19)</f>
        <v>936635</v>
      </c>
      <c r="S20" s="413">
        <f t="shared" si="1"/>
        <v>4591801</v>
      </c>
      <c r="T20" s="413">
        <f t="shared" si="2"/>
        <v>10219163.27</v>
      </c>
      <c r="U20" s="413"/>
      <c r="V20" s="413">
        <f>SUM(V2:V19)</f>
        <v>8900479.5500000007</v>
      </c>
      <c r="W20" s="413">
        <f>SUM(W2:W19)</f>
        <v>308434.19</v>
      </c>
      <c r="X20" s="413">
        <f>SUM(X2:X19)</f>
        <v>959035.80999999994</v>
      </c>
      <c r="Y20" s="413">
        <f>SUM(Y2:Y19)</f>
        <v>556405.26999999979</v>
      </c>
      <c r="Z20" s="413">
        <f>SUM(Z2:Z19)</f>
        <v>-505191.55</v>
      </c>
      <c r="AA20" s="434">
        <f>SUM(V20:Z20)</f>
        <v>10219163.27</v>
      </c>
      <c r="AB20" s="412"/>
      <c r="AC20" s="421"/>
      <c r="AD20" s="412"/>
      <c r="AE20" s="412"/>
      <c r="AF20" s="421">
        <f>SUM(AF2:AF19)</f>
        <v>5303828.7300000004</v>
      </c>
      <c r="AG20" s="421">
        <f t="shared" ref="AG20:AJ20" si="12">SUM(AG2:AG19)</f>
        <v>194976.86000000002</v>
      </c>
      <c r="AH20" s="421">
        <f t="shared" si="12"/>
        <v>633748.22999999986</v>
      </c>
      <c r="AI20" s="421">
        <f t="shared" si="12"/>
        <v>-505191.55</v>
      </c>
      <c r="AJ20" s="421">
        <f t="shared" si="12"/>
        <v>5627362.2700000014</v>
      </c>
      <c r="AK20" s="412"/>
      <c r="AL20" s="421">
        <f>SUM(AL2:AL19)</f>
        <v>4068522</v>
      </c>
      <c r="AM20" s="421">
        <f t="shared" ref="AM20:AP20" si="13">SUM(AM2:AM19)</f>
        <v>115246</v>
      </c>
      <c r="AN20" s="421">
        <f t="shared" si="13"/>
        <v>408033</v>
      </c>
      <c r="AO20" s="421">
        <f t="shared" si="13"/>
        <v>0</v>
      </c>
      <c r="AP20" s="421">
        <f t="shared" si="13"/>
        <v>4591801</v>
      </c>
      <c r="AQ20" s="421">
        <f t="shared" si="5"/>
        <v>0</v>
      </c>
      <c r="AR20" s="421">
        <f>+AP20+AJ20</f>
        <v>10219163.270000001</v>
      </c>
    </row>
    <row r="21" spans="1:44" x14ac:dyDescent="0.25">
      <c r="A21" s="427"/>
      <c r="B21" s="428"/>
      <c r="C21" s="428"/>
      <c r="D21" s="429"/>
      <c r="E21" s="413"/>
      <c r="F21" s="435"/>
      <c r="G21" s="436"/>
      <c r="H21" s="436"/>
      <c r="I21" s="436"/>
      <c r="J21" s="436"/>
      <c r="K21" s="436"/>
      <c r="L21" s="413"/>
      <c r="M21" s="436" t="s">
        <v>1234</v>
      </c>
      <c r="N21" s="437">
        <f>+'[1]Payroll 12 Mo History'!F20</f>
        <v>870760.21999999974</v>
      </c>
      <c r="O21" s="438">
        <f>+'[1]Payroll 12 Mo History'!G20</f>
        <v>821648.40999999992</v>
      </c>
      <c r="P21" s="438">
        <f>+'[1]Payroll 12 Mo History'!H20</f>
        <v>881013.19000000006</v>
      </c>
      <c r="Q21" s="438">
        <f>+'[1]Payroll 12 Mo History'!I20</f>
        <v>905142.53</v>
      </c>
      <c r="R21" s="438">
        <f>+'[1]Payroll 12 Mo History'!J20</f>
        <v>935264.79</v>
      </c>
      <c r="S21" s="413">
        <f>SUM(N21:R21)</f>
        <v>4413829.1399999997</v>
      </c>
      <c r="T21" s="413"/>
      <c r="U21" s="413"/>
      <c r="V21" s="413"/>
      <c r="W21" s="421"/>
      <c r="X21" s="421"/>
      <c r="Y21" s="421"/>
      <c r="Z21" s="421"/>
      <c r="AA21" s="421"/>
      <c r="AB21" s="412"/>
      <c r="AC21" s="412"/>
      <c r="AD21" s="412"/>
      <c r="AE21" s="412"/>
      <c r="AF21" s="412"/>
      <c r="AG21" s="412"/>
      <c r="AH21" s="412"/>
      <c r="AI21" s="412"/>
      <c r="AJ21" s="412"/>
      <c r="AK21" s="412"/>
      <c r="AL21" s="412"/>
      <c r="AM21" s="412"/>
      <c r="AN21" s="412"/>
      <c r="AO21" s="412"/>
      <c r="AP21" s="412"/>
      <c r="AQ21" s="412"/>
      <c r="AR21" s="412"/>
    </row>
    <row r="22" spans="1:44" x14ac:dyDescent="0.25">
      <c r="A22" s="427"/>
      <c r="B22" s="428"/>
      <c r="C22" s="428"/>
      <c r="D22" s="429"/>
      <c r="E22" s="413"/>
      <c r="F22" s="439"/>
      <c r="G22" s="440"/>
      <c r="H22" s="440"/>
      <c r="I22" s="440"/>
      <c r="J22" s="440"/>
      <c r="K22" s="440"/>
      <c r="L22" s="413"/>
      <c r="M22" s="440" t="s">
        <v>841</v>
      </c>
      <c r="N22" s="441">
        <f>+N20/N21-1</f>
        <v>6.2994127131807076E-2</v>
      </c>
      <c r="O22" s="442">
        <f t="shared" ref="O22:S22" si="14">+O20/O21-1</f>
        <v>8.0362341357175016E-2</v>
      </c>
      <c r="P22" s="442">
        <f t="shared" si="14"/>
        <v>4.2879959606507034E-2</v>
      </c>
      <c r="Q22" s="442">
        <f t="shared" si="14"/>
        <v>1.9821706974701536E-2</v>
      </c>
      <c r="R22" s="442">
        <f t="shared" si="14"/>
        <v>1.465050341518781E-3</v>
      </c>
      <c r="S22" s="442">
        <f t="shared" si="14"/>
        <v>4.032142032575381E-2</v>
      </c>
      <c r="T22" s="413"/>
      <c r="U22" s="413"/>
      <c r="V22" s="413"/>
      <c r="W22" s="421"/>
      <c r="X22" s="421"/>
      <c r="Y22" s="421"/>
      <c r="Z22" s="421"/>
      <c r="AA22" s="421"/>
      <c r="AB22" s="412"/>
      <c r="AC22" s="412"/>
      <c r="AD22" s="412"/>
      <c r="AE22" s="412"/>
      <c r="AF22" s="412"/>
      <c r="AG22" s="412"/>
      <c r="AH22" s="412"/>
      <c r="AI22" s="412"/>
      <c r="AJ22" s="412"/>
      <c r="AK22" s="412"/>
      <c r="AL22" s="412"/>
      <c r="AM22" s="412"/>
      <c r="AN22" s="412"/>
      <c r="AO22" s="412"/>
      <c r="AP22" s="412"/>
      <c r="AQ22" s="412"/>
      <c r="AR22" s="412"/>
    </row>
    <row r="23" spans="1:44" x14ac:dyDescent="0.25">
      <c r="A23" s="427"/>
      <c r="B23" s="428"/>
      <c r="C23" s="428"/>
      <c r="D23" s="429"/>
      <c r="E23" s="413"/>
      <c r="F23" s="439"/>
      <c r="G23" s="440"/>
      <c r="H23" s="440"/>
      <c r="I23" s="440"/>
      <c r="J23" s="440"/>
      <c r="K23" s="440"/>
      <c r="L23" s="413"/>
      <c r="M23" s="440"/>
      <c r="N23" s="443"/>
      <c r="O23" s="442"/>
      <c r="P23" s="442"/>
      <c r="Q23" s="442"/>
      <c r="R23" s="442"/>
      <c r="S23" s="443"/>
      <c r="T23" s="413"/>
      <c r="U23" s="413"/>
      <c r="V23" s="413"/>
      <c r="W23" s="421"/>
      <c r="X23" s="421"/>
      <c r="Y23" s="421"/>
      <c r="Z23" s="421"/>
      <c r="AA23" s="421"/>
      <c r="AB23" s="412"/>
      <c r="AC23" s="412"/>
      <c r="AD23" s="412"/>
      <c r="AE23" s="412"/>
      <c r="AF23" s="412"/>
      <c r="AG23" s="412"/>
      <c r="AH23" s="412"/>
      <c r="AI23" s="444"/>
      <c r="AJ23" s="444" t="s">
        <v>1235</v>
      </c>
      <c r="AK23" s="444" t="s">
        <v>1236</v>
      </c>
      <c r="AL23" s="444" t="s">
        <v>1237</v>
      </c>
      <c r="AM23" s="412"/>
      <c r="AN23" s="412"/>
      <c r="AO23" s="412"/>
      <c r="AP23" s="412"/>
      <c r="AQ23" s="412"/>
      <c r="AR23" s="412"/>
    </row>
    <row r="24" spans="1:44" ht="25.5" x14ac:dyDescent="0.25">
      <c r="A24" s="427" t="s">
        <v>1209</v>
      </c>
      <c r="B24" s="428" t="s">
        <v>1238</v>
      </c>
      <c r="C24" s="445" t="s">
        <v>1239</v>
      </c>
      <c r="D24" s="429">
        <v>-1160694.99</v>
      </c>
      <c r="E24" s="413"/>
      <c r="F24" s="446">
        <v>-241386.2</v>
      </c>
      <c r="G24" s="447">
        <v>-206200.09</v>
      </c>
      <c r="H24" s="447">
        <v>-166398.28</v>
      </c>
      <c r="I24" s="447">
        <v>-158205.29999999999</v>
      </c>
      <c r="J24" s="447">
        <v>-154844.17000000001</v>
      </c>
      <c r="K24" s="447">
        <v>-103006.38</v>
      </c>
      <c r="L24" s="447">
        <v>-130654.57</v>
      </c>
      <c r="M24" s="448">
        <f t="shared" si="0"/>
        <v>-1160694.9900000002</v>
      </c>
      <c r="N24" s="438"/>
      <c r="O24" s="426"/>
      <c r="P24" s="426"/>
      <c r="Q24" s="426"/>
      <c r="R24" s="426"/>
      <c r="S24" s="413">
        <f t="shared" si="1"/>
        <v>0</v>
      </c>
      <c r="T24" s="413">
        <f t="shared" si="2"/>
        <v>-1160694.9900000002</v>
      </c>
      <c r="U24" s="413"/>
      <c r="V24" s="413"/>
      <c r="W24" s="421"/>
      <c r="X24" s="421"/>
      <c r="Y24" s="421"/>
      <c r="Z24" s="421"/>
      <c r="AA24" s="412"/>
      <c r="AB24" s="412"/>
      <c r="AC24" s="412"/>
      <c r="AD24" s="412"/>
      <c r="AE24" s="412"/>
      <c r="AF24" s="412"/>
      <c r="AG24" s="412"/>
      <c r="AH24" s="412"/>
      <c r="AI24" s="444" t="s">
        <v>1200</v>
      </c>
      <c r="AJ24" s="449">
        <f>+AF20+AI20</f>
        <v>4798637.1800000006</v>
      </c>
      <c r="AK24" s="449">
        <f>+AL20</f>
        <v>4068522</v>
      </c>
      <c r="AL24" s="449">
        <f>+AK24+AJ24</f>
        <v>8867159.1799999997</v>
      </c>
      <c r="AM24" s="412"/>
      <c r="AN24" s="412" t="s">
        <v>1255</v>
      </c>
      <c r="AO24" s="412"/>
      <c r="AP24" s="412"/>
      <c r="AQ24" s="412"/>
      <c r="AR24" s="412"/>
    </row>
    <row r="25" spans="1:44" ht="17.25" x14ac:dyDescent="0.4">
      <c r="A25" s="427"/>
      <c r="B25" s="428"/>
      <c r="C25" s="428" t="s">
        <v>1240</v>
      </c>
      <c r="D25" s="429">
        <f>+D20+D24</f>
        <v>4466667.2800000012</v>
      </c>
      <c r="E25" s="413"/>
      <c r="F25" s="450">
        <f>+F20+F24</f>
        <v>625108.28</v>
      </c>
      <c r="G25" s="450">
        <f t="shared" ref="G25:L25" si="15">+G20+G24</f>
        <v>693252.72000000009</v>
      </c>
      <c r="H25" s="450">
        <f t="shared" si="15"/>
        <v>667381.68999999994</v>
      </c>
      <c r="I25" s="450">
        <f t="shared" si="15"/>
        <v>769860.45999999973</v>
      </c>
      <c r="J25" s="450">
        <f t="shared" si="15"/>
        <v>678613.72999999986</v>
      </c>
      <c r="K25" s="450">
        <f t="shared" si="15"/>
        <v>705705.52</v>
      </c>
      <c r="L25" s="450">
        <f t="shared" si="15"/>
        <v>326744.88000000006</v>
      </c>
      <c r="M25" s="451">
        <f t="shared" si="0"/>
        <v>4466667.2799999993</v>
      </c>
      <c r="N25" s="433">
        <f>+N20+N24</f>
        <v>925613</v>
      </c>
      <c r="O25" s="452">
        <f>+O20+O24</f>
        <v>887678</v>
      </c>
      <c r="P25" s="452">
        <f>+P20+P24</f>
        <v>918791</v>
      </c>
      <c r="Q25" s="452">
        <f>+Q20+Q24</f>
        <v>923084</v>
      </c>
      <c r="R25" s="452">
        <f>+R20+R24</f>
        <v>936635</v>
      </c>
      <c r="S25" s="413">
        <f t="shared" si="1"/>
        <v>4591801</v>
      </c>
      <c r="T25" s="413">
        <f t="shared" si="2"/>
        <v>9058468.2799999993</v>
      </c>
      <c r="U25" s="413"/>
      <c r="V25" s="413"/>
      <c r="W25" s="421"/>
      <c r="X25" s="421"/>
      <c r="Y25" s="421"/>
      <c r="Z25" s="421"/>
      <c r="AA25" s="412"/>
      <c r="AB25" s="412"/>
      <c r="AC25" s="412"/>
      <c r="AD25" s="412"/>
      <c r="AE25" s="412"/>
      <c r="AF25" s="412"/>
      <c r="AG25" s="412"/>
      <c r="AH25" s="412"/>
      <c r="AI25" s="444" t="s">
        <v>5</v>
      </c>
      <c r="AJ25" s="453">
        <f>+AG20</f>
        <v>194976.86000000002</v>
      </c>
      <c r="AK25" s="453">
        <f>+AM20</f>
        <v>115246</v>
      </c>
      <c r="AL25" s="453">
        <f>+AK25+AJ25</f>
        <v>310222.86</v>
      </c>
      <c r="AM25" s="412"/>
      <c r="AN25" s="412" t="s">
        <v>1254</v>
      </c>
      <c r="AO25" s="412"/>
      <c r="AP25" s="412"/>
      <c r="AQ25" s="412"/>
      <c r="AR25" s="412"/>
    </row>
    <row r="26" spans="1:44" ht="17.25" x14ac:dyDescent="0.4">
      <c r="A26" s="427"/>
      <c r="B26" s="428"/>
      <c r="C26" s="428" t="s">
        <v>1241</v>
      </c>
      <c r="D26" s="429"/>
      <c r="E26" s="413"/>
      <c r="F26" s="454">
        <f t="shared" ref="F26:L26" si="16">+F24/F20</f>
        <v>-0.27857788545865864</v>
      </c>
      <c r="G26" s="454">
        <f t="shared" si="16"/>
        <v>-0.2292505929243803</v>
      </c>
      <c r="H26" s="454">
        <f t="shared" si="16"/>
        <v>-0.19957097314295041</v>
      </c>
      <c r="I26" s="454">
        <f t="shared" si="16"/>
        <v>-0.17046776943909667</v>
      </c>
      <c r="J26" s="454">
        <f t="shared" si="16"/>
        <v>-0.18578523282339759</v>
      </c>
      <c r="K26" s="454">
        <f t="shared" si="16"/>
        <v>-0.12737092158530128</v>
      </c>
      <c r="L26" s="454">
        <f t="shared" si="16"/>
        <v>-0.28564653936509976</v>
      </c>
      <c r="M26" s="455"/>
      <c r="N26" s="437"/>
      <c r="O26" s="437"/>
      <c r="P26" s="437"/>
      <c r="Q26" s="437"/>
      <c r="R26" s="437"/>
      <c r="S26" s="413"/>
      <c r="T26" s="413"/>
      <c r="U26" s="413"/>
      <c r="V26" s="413"/>
      <c r="W26" s="421"/>
      <c r="X26" s="421"/>
      <c r="Y26" s="421"/>
      <c r="Z26" s="421"/>
      <c r="AA26" s="412"/>
      <c r="AB26" s="412"/>
      <c r="AC26" s="412"/>
      <c r="AD26" s="412"/>
      <c r="AE26" s="412"/>
      <c r="AF26" s="412"/>
      <c r="AG26" s="412"/>
      <c r="AH26" s="412"/>
      <c r="AI26" s="444"/>
      <c r="AJ26" s="456">
        <f>+AJ24+AJ25</f>
        <v>4993614.040000001</v>
      </c>
      <c r="AK26" s="456">
        <f>+AK24+AK25</f>
        <v>4183768</v>
      </c>
      <c r="AL26" s="457">
        <f>+AK26+AJ26</f>
        <v>9177382.040000001</v>
      </c>
      <c r="AM26" s="412"/>
      <c r="AN26" s="412"/>
      <c r="AO26" s="412"/>
      <c r="AP26" s="412"/>
      <c r="AQ26" s="412"/>
      <c r="AR26" s="412"/>
    </row>
    <row r="27" spans="1:44" x14ac:dyDescent="0.25">
      <c r="AI27" s="340"/>
      <c r="AJ27" s="340"/>
      <c r="AK27" s="340"/>
      <c r="AL27" s="340"/>
    </row>
    <row r="29" spans="1:44" x14ac:dyDescent="0.25">
      <c r="AJ29" s="47" t="s">
        <v>1242</v>
      </c>
      <c r="AK29" s="47" t="s">
        <v>1243</v>
      </c>
      <c r="AL29" s="47" t="s">
        <v>671</v>
      </c>
    </row>
    <row r="30" spans="1:44" x14ac:dyDescent="0.25">
      <c r="AJ30" s="172">
        <f>AL24</f>
        <v>8867159.1799999997</v>
      </c>
      <c r="AK30" s="35">
        <v>310223</v>
      </c>
      <c r="AL30" s="172">
        <f>AJ30+AK30</f>
        <v>9177382.1799999997</v>
      </c>
      <c r="AN30" s="467"/>
    </row>
    <row r="31" spans="1:44" x14ac:dyDescent="0.25">
      <c r="AI31" s="35" t="s">
        <v>1244</v>
      </c>
      <c r="AJ31" s="464">
        <f>AJ24</f>
        <v>4798637.1800000006</v>
      </c>
      <c r="AK31" s="464">
        <f>AJ25</f>
        <v>194976.86000000002</v>
      </c>
      <c r="AL31" s="464">
        <f>AJ31+AK31</f>
        <v>4993614.040000001</v>
      </c>
    </row>
    <row r="32" spans="1:44" x14ac:dyDescent="0.25">
      <c r="AI32" s="35" t="s">
        <v>1245</v>
      </c>
      <c r="AJ32" s="237">
        <f>AJ30-AJ31</f>
        <v>4068521.9999999991</v>
      </c>
      <c r="AK32" s="237">
        <f t="shared" ref="AK32:AL32" si="17">AK30-AK31</f>
        <v>115246.13999999998</v>
      </c>
      <c r="AL32" s="237">
        <f t="shared" si="17"/>
        <v>4183768.1399999987</v>
      </c>
    </row>
    <row r="33" spans="35:38" x14ac:dyDescent="0.25">
      <c r="AI33" s="103" t="s">
        <v>1246</v>
      </c>
      <c r="AJ33" s="465">
        <f>$AJ$32/11*2</f>
        <v>739731.27272727259</v>
      </c>
      <c r="AK33" s="103">
        <f>$AK$32/11*2</f>
        <v>20953.843636363632</v>
      </c>
      <c r="AL33" s="103">
        <f>AJ33+AK33</f>
        <v>760685.11636363622</v>
      </c>
    </row>
    <row r="34" spans="35:38" x14ac:dyDescent="0.25">
      <c r="AI34" s="103" t="s">
        <v>19</v>
      </c>
      <c r="AJ34" s="466">
        <f t="shared" ref="AJ34:AJ37" si="18">$AJ$32/11*2</f>
        <v>739731.27272727259</v>
      </c>
      <c r="AK34" s="466">
        <f t="shared" ref="AK34:AK37" si="19">$AK$32/11*2</f>
        <v>20953.843636363632</v>
      </c>
      <c r="AL34" s="466">
        <f t="shared" ref="AL34:AL37" si="20">AJ34+AK34</f>
        <v>760685.11636363622</v>
      </c>
    </row>
    <row r="35" spans="35:38" x14ac:dyDescent="0.25">
      <c r="AI35" s="103" t="s">
        <v>1247</v>
      </c>
      <c r="AJ35" s="466">
        <f t="shared" si="18"/>
        <v>739731.27272727259</v>
      </c>
      <c r="AK35" s="466">
        <f t="shared" si="19"/>
        <v>20953.843636363632</v>
      </c>
      <c r="AL35" s="466">
        <f t="shared" si="20"/>
        <v>760685.11636363622</v>
      </c>
    </row>
    <row r="36" spans="35:38" x14ac:dyDescent="0.25">
      <c r="AI36" s="103" t="s">
        <v>1248</v>
      </c>
      <c r="AJ36" s="466">
        <f>$AJ$32/11*3</f>
        <v>1109596.9090909089</v>
      </c>
      <c r="AK36" s="466">
        <f>$AK$32/11*3</f>
        <v>31430.76545454545</v>
      </c>
      <c r="AL36" s="466">
        <f t="shared" si="20"/>
        <v>1141027.6745454543</v>
      </c>
    </row>
    <row r="37" spans="35:38" x14ac:dyDescent="0.25">
      <c r="AI37" s="103" t="s">
        <v>1249</v>
      </c>
      <c r="AJ37" s="466">
        <f t="shared" si="18"/>
        <v>739731.27272727259</v>
      </c>
      <c r="AK37" s="466">
        <f t="shared" si="19"/>
        <v>20953.843636363632</v>
      </c>
      <c r="AL37" s="466">
        <f t="shared" si="20"/>
        <v>760685.11636363622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71"/>
  <sheetViews>
    <sheetView topLeftCell="T13" workbookViewId="0">
      <selection activeCell="AE19" sqref="AE19"/>
    </sheetView>
  </sheetViews>
  <sheetFormatPr defaultColWidth="8" defaultRowHeight="15" x14ac:dyDescent="0.25"/>
  <cols>
    <col min="1" max="1" width="2.7109375" style="330" customWidth="1"/>
    <col min="2" max="2" width="1.140625" style="330" customWidth="1"/>
    <col min="3" max="3" width="16.28515625" style="330" customWidth="1"/>
    <col min="4" max="4" width="13.140625" style="330" customWidth="1"/>
    <col min="5" max="5" width="7.5703125" style="330" hidden="1" customWidth="1"/>
    <col min="6" max="6" width="7.5703125" style="330" customWidth="1"/>
    <col min="7" max="7" width="30.140625" style="330" bestFit="1" customWidth="1"/>
    <col min="8" max="8" width="11.140625" style="330" bestFit="1" customWidth="1"/>
    <col min="9" max="9" width="20.28515625" style="330" bestFit="1" customWidth="1"/>
    <col min="10" max="21" width="10.5703125" style="330" bestFit="1" customWidth="1"/>
    <col min="22" max="22" width="12" style="330" bestFit="1" customWidth="1"/>
    <col min="23" max="23" width="8" style="330"/>
    <col min="24" max="24" width="8.42578125" style="330" bestFit="1" customWidth="1"/>
    <col min="25" max="26" width="10.7109375" style="330" bestFit="1" customWidth="1"/>
    <col min="27" max="27" width="29.28515625" style="330" bestFit="1" customWidth="1"/>
    <col min="28" max="29" width="10.7109375" style="330" bestFit="1" customWidth="1"/>
    <col min="30" max="30" width="27.5703125" style="330" bestFit="1" customWidth="1"/>
    <col min="31" max="31" width="10.7109375" style="330" bestFit="1" customWidth="1"/>
    <col min="32" max="32" width="8" style="330"/>
    <col min="33" max="33" width="13.28515625" style="330" bestFit="1" customWidth="1"/>
    <col min="34" max="16384" width="8" style="330"/>
  </cols>
  <sheetData>
    <row r="1" spans="1:31" ht="24" customHeight="1" x14ac:dyDescent="0.25">
      <c r="E1" s="392"/>
      <c r="F1" s="393" t="s">
        <v>883</v>
      </c>
    </row>
    <row r="2" spans="1:31" s="394" customFormat="1" ht="33.75" customHeight="1" x14ac:dyDescent="0.25">
      <c r="D2" s="395"/>
      <c r="E2" s="395"/>
      <c r="F2" s="395"/>
      <c r="G2" s="395"/>
      <c r="H2" s="396" t="s">
        <v>884</v>
      </c>
      <c r="I2" s="397" t="s">
        <v>885</v>
      </c>
      <c r="J2" s="395"/>
      <c r="K2" s="396" t="s">
        <v>886</v>
      </c>
      <c r="L2" s="397" t="s">
        <v>928</v>
      </c>
      <c r="M2" s="395"/>
      <c r="N2" s="395"/>
      <c r="O2" s="395"/>
      <c r="P2" s="395"/>
      <c r="Q2" s="395"/>
      <c r="R2" s="395"/>
      <c r="S2" s="395"/>
    </row>
    <row r="3" spans="1:31" s="394" customFormat="1" ht="18" customHeight="1" x14ac:dyDescent="0.25">
      <c r="A3" s="398"/>
    </row>
    <row r="5" spans="1:31" x14ac:dyDescent="0.25">
      <c r="G5" s="351" t="s">
        <v>888</v>
      </c>
      <c r="H5" s="352"/>
      <c r="I5" s="352"/>
      <c r="J5" s="352"/>
      <c r="K5" s="353"/>
    </row>
    <row r="6" spans="1:31" x14ac:dyDescent="0.25">
      <c r="C6" s="67"/>
      <c r="D6" s="67"/>
      <c r="E6" s="377"/>
      <c r="F6" s="377"/>
      <c r="G6" s="378" t="s">
        <v>884</v>
      </c>
      <c r="H6" s="379" t="s">
        <v>885</v>
      </c>
      <c r="I6" s="380"/>
      <c r="J6" s="380" t="s">
        <v>889</v>
      </c>
      <c r="K6" s="381" t="s">
        <v>944</v>
      </c>
    </row>
    <row r="7" spans="1:31" x14ac:dyDescent="0.25">
      <c r="C7" s="67"/>
      <c r="D7" s="67"/>
      <c r="E7" s="377"/>
      <c r="F7" s="377"/>
      <c r="G7" s="382" t="s">
        <v>891</v>
      </c>
      <c r="H7" s="383" t="s">
        <v>892</v>
      </c>
      <c r="I7" s="384"/>
      <c r="J7" s="384" t="s">
        <v>893</v>
      </c>
      <c r="K7" s="385" t="s">
        <v>927</v>
      </c>
    </row>
    <row r="8" spans="1:31" x14ac:dyDescent="0.25">
      <c r="C8" s="67"/>
      <c r="D8" s="67"/>
      <c r="E8" s="377"/>
      <c r="F8" s="377"/>
      <c r="G8" s="382" t="s">
        <v>895</v>
      </c>
      <c r="H8" s="383" t="s">
        <v>896</v>
      </c>
      <c r="I8" s="384"/>
      <c r="J8" s="384" t="s">
        <v>897</v>
      </c>
      <c r="K8" s="385" t="s">
        <v>898</v>
      </c>
    </row>
    <row r="9" spans="1:31" x14ac:dyDescent="0.25">
      <c r="C9" s="67"/>
      <c r="D9" s="67"/>
      <c r="E9" s="377"/>
      <c r="F9" s="377"/>
      <c r="G9" s="382" t="s">
        <v>899</v>
      </c>
      <c r="H9" s="383" t="s">
        <v>900</v>
      </c>
      <c r="I9" s="384"/>
      <c r="J9" s="384" t="s">
        <v>886</v>
      </c>
      <c r="K9" s="385" t="s">
        <v>928</v>
      </c>
    </row>
    <row r="10" spans="1:31" x14ac:dyDescent="0.25">
      <c r="C10" s="67"/>
      <c r="E10" s="377"/>
      <c r="F10" s="377"/>
      <c r="G10" s="382" t="s">
        <v>901</v>
      </c>
      <c r="H10" s="383" t="s">
        <v>902</v>
      </c>
      <c r="I10" s="384"/>
      <c r="J10" s="384" t="s">
        <v>903</v>
      </c>
      <c r="K10" s="385" t="s">
        <v>927</v>
      </c>
    </row>
    <row r="11" spans="1:31" ht="21" x14ac:dyDescent="0.25">
      <c r="D11" s="67"/>
      <c r="E11" s="377"/>
      <c r="F11" s="377"/>
      <c r="G11" s="386" t="s">
        <v>904</v>
      </c>
      <c r="H11" s="387" t="s">
        <v>883</v>
      </c>
      <c r="I11" s="388"/>
      <c r="J11" s="388" t="s">
        <v>905</v>
      </c>
      <c r="K11" s="389" t="s">
        <v>929</v>
      </c>
      <c r="X11" s="332"/>
      <c r="Y11" s="333"/>
      <c r="Z11" s="334"/>
      <c r="AA11" s="334" t="s">
        <v>1167</v>
      </c>
      <c r="AB11" s="334"/>
      <c r="AC11" s="334"/>
      <c r="AD11" s="334"/>
      <c r="AE11" s="335"/>
    </row>
    <row r="12" spans="1:31" x14ac:dyDescent="0.25">
      <c r="X12" s="506" t="s">
        <v>874</v>
      </c>
      <c r="Y12" s="507"/>
      <c r="Z12" s="507"/>
      <c r="AA12" s="507"/>
      <c r="AB12" s="507"/>
      <c r="AC12" s="507"/>
      <c r="AD12" s="507"/>
      <c r="AE12" s="508"/>
    </row>
    <row r="13" spans="1:31" ht="105" x14ac:dyDescent="0.25">
      <c r="X13" s="331" t="s">
        <v>727</v>
      </c>
      <c r="Y13" s="331" t="s">
        <v>728</v>
      </c>
      <c r="Z13" s="331" t="s">
        <v>729</v>
      </c>
      <c r="AA13" s="331" t="s">
        <v>875</v>
      </c>
      <c r="AB13" s="331" t="s">
        <v>730</v>
      </c>
      <c r="AC13" s="331" t="s">
        <v>877</v>
      </c>
      <c r="AD13" s="331" t="s">
        <v>878</v>
      </c>
      <c r="AE13" s="331" t="s">
        <v>368</v>
      </c>
    </row>
    <row r="14" spans="1:31" x14ac:dyDescent="0.25">
      <c r="C14" s="232" t="s">
        <v>746</v>
      </c>
      <c r="D14" s="232"/>
      <c r="G14" s="232" t="s">
        <v>747</v>
      </c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X14" s="336">
        <v>1</v>
      </c>
      <c r="Y14" s="337">
        <v>44192</v>
      </c>
      <c r="Z14" s="337">
        <v>44205</v>
      </c>
      <c r="AA14" s="337">
        <v>44203</v>
      </c>
      <c r="AB14" s="337">
        <v>44207</v>
      </c>
      <c r="AC14" s="339">
        <v>44208</v>
      </c>
      <c r="AD14" s="339">
        <v>44209</v>
      </c>
      <c r="AE14" s="337">
        <v>44211</v>
      </c>
    </row>
    <row r="15" spans="1:31" ht="22.5" x14ac:dyDescent="0.25">
      <c r="C15" s="233" t="s">
        <v>748</v>
      </c>
      <c r="D15" s="233" t="s">
        <v>54</v>
      </c>
      <c r="G15" s="42" t="s">
        <v>54</v>
      </c>
      <c r="H15" s="42" t="s">
        <v>749</v>
      </c>
      <c r="I15" s="42" t="s">
        <v>54</v>
      </c>
      <c r="J15" s="89" t="s">
        <v>664</v>
      </c>
      <c r="K15" s="89" t="s">
        <v>663</v>
      </c>
      <c r="L15" s="89" t="s">
        <v>662</v>
      </c>
      <c r="M15" s="89" t="s">
        <v>661</v>
      </c>
      <c r="N15" s="89" t="s">
        <v>660</v>
      </c>
      <c r="O15" s="89" t="s">
        <v>659</v>
      </c>
      <c r="P15" s="89" t="s">
        <v>658</v>
      </c>
      <c r="Q15" s="89" t="s">
        <v>657</v>
      </c>
      <c r="R15" s="89" t="s">
        <v>656</v>
      </c>
      <c r="S15" s="89" t="s">
        <v>655</v>
      </c>
      <c r="T15" s="89" t="s">
        <v>654</v>
      </c>
      <c r="U15" s="89" t="s">
        <v>653</v>
      </c>
      <c r="V15" s="88" t="s">
        <v>652</v>
      </c>
      <c r="X15" s="336">
        <v>2</v>
      </c>
      <c r="Y15" s="337">
        <v>44206</v>
      </c>
      <c r="Z15" s="337">
        <v>44219</v>
      </c>
      <c r="AA15" s="337">
        <v>44217</v>
      </c>
      <c r="AB15" s="337">
        <v>44221</v>
      </c>
      <c r="AC15" s="339">
        <v>44222</v>
      </c>
      <c r="AD15" s="337">
        <v>44223</v>
      </c>
      <c r="AE15" s="337">
        <v>44225</v>
      </c>
    </row>
    <row r="16" spans="1:31" x14ac:dyDescent="0.25">
      <c r="C16" s="234" t="s">
        <v>763</v>
      </c>
      <c r="D16" s="234" t="s">
        <v>54</v>
      </c>
      <c r="G16" s="39" t="s">
        <v>35</v>
      </c>
      <c r="H16" s="39" t="s">
        <v>764</v>
      </c>
      <c r="I16" s="39" t="s">
        <v>765</v>
      </c>
      <c r="J16" s="399">
        <v>722339</v>
      </c>
      <c r="K16" s="399">
        <v>687943</v>
      </c>
      <c r="L16" s="399">
        <v>814841</v>
      </c>
      <c r="M16" s="399">
        <v>779413</v>
      </c>
      <c r="N16" s="399">
        <v>743984</v>
      </c>
      <c r="O16" s="399">
        <v>779413</v>
      </c>
      <c r="P16" s="399">
        <v>779413</v>
      </c>
      <c r="Q16" s="399">
        <v>779413</v>
      </c>
      <c r="R16" s="14">
        <v>779413</v>
      </c>
      <c r="S16" s="14">
        <v>743984</v>
      </c>
      <c r="T16" s="14">
        <v>779413</v>
      </c>
      <c r="U16" s="14">
        <v>814841</v>
      </c>
      <c r="V16" s="14">
        <v>9204410</v>
      </c>
      <c r="X16" s="336">
        <v>3</v>
      </c>
      <c r="Y16" s="337">
        <v>44220</v>
      </c>
      <c r="Z16" s="337">
        <v>44233</v>
      </c>
      <c r="AA16" s="337">
        <v>44231</v>
      </c>
      <c r="AB16" s="337">
        <v>44235</v>
      </c>
      <c r="AC16" s="337">
        <v>44236</v>
      </c>
      <c r="AD16" s="337">
        <v>44237</v>
      </c>
      <c r="AE16" s="337">
        <v>44239</v>
      </c>
    </row>
    <row r="17" spans="3:31" x14ac:dyDescent="0.25">
      <c r="C17" s="234" t="s">
        <v>766</v>
      </c>
      <c r="D17" s="234" t="s">
        <v>54</v>
      </c>
      <c r="G17" s="39" t="s">
        <v>54</v>
      </c>
      <c r="H17" s="39" t="s">
        <v>767</v>
      </c>
      <c r="I17" s="39" t="s">
        <v>768</v>
      </c>
      <c r="J17" s="14">
        <v>36894</v>
      </c>
      <c r="K17" s="14">
        <v>35143</v>
      </c>
      <c r="L17" s="14">
        <v>41615</v>
      </c>
      <c r="M17" s="14">
        <v>39805</v>
      </c>
      <c r="N17" s="14">
        <v>38029</v>
      </c>
      <c r="O17" s="14">
        <v>39945</v>
      </c>
      <c r="P17" s="14">
        <v>39959</v>
      </c>
      <c r="Q17" s="14">
        <v>39884</v>
      </c>
      <c r="R17" s="14">
        <v>39820</v>
      </c>
      <c r="S17" s="14">
        <v>38011</v>
      </c>
      <c r="T17" s="14">
        <v>39820</v>
      </c>
      <c r="U17" s="14">
        <v>41631</v>
      </c>
      <c r="V17" s="14">
        <v>470556</v>
      </c>
      <c r="X17" s="336">
        <v>4</v>
      </c>
      <c r="Y17" s="337">
        <v>44234</v>
      </c>
      <c r="Z17" s="337">
        <v>44247</v>
      </c>
      <c r="AA17" s="337">
        <v>44245</v>
      </c>
      <c r="AB17" s="337">
        <v>44249</v>
      </c>
      <c r="AC17" s="339">
        <v>44250</v>
      </c>
      <c r="AD17" s="337">
        <v>44251</v>
      </c>
      <c r="AE17" s="337">
        <v>44253</v>
      </c>
    </row>
    <row r="18" spans="3:31" x14ac:dyDescent="0.25">
      <c r="C18" s="234" t="s">
        <v>769</v>
      </c>
      <c r="D18" s="234" t="s">
        <v>930</v>
      </c>
      <c r="G18" s="39" t="s">
        <v>54</v>
      </c>
      <c r="H18" s="39" t="s">
        <v>780</v>
      </c>
      <c r="I18" s="39" t="s">
        <v>781</v>
      </c>
      <c r="J18" s="79"/>
      <c r="K18" s="79"/>
      <c r="L18" s="14">
        <v>-4296</v>
      </c>
      <c r="M18" s="79"/>
      <c r="N18" s="79"/>
      <c r="O18" s="79"/>
      <c r="P18" s="79"/>
      <c r="Q18" s="79"/>
      <c r="R18" s="79"/>
      <c r="S18" s="79"/>
      <c r="T18" s="79"/>
      <c r="U18" s="79"/>
      <c r="V18" s="14">
        <v>-4296</v>
      </c>
      <c r="X18" s="336">
        <v>5</v>
      </c>
      <c r="Y18" s="337">
        <v>44248</v>
      </c>
      <c r="Z18" s="337">
        <v>44261</v>
      </c>
      <c r="AA18" s="337">
        <v>44259</v>
      </c>
      <c r="AB18" s="337">
        <v>44263</v>
      </c>
      <c r="AC18" s="337">
        <v>44264</v>
      </c>
      <c r="AD18" s="337">
        <v>44265</v>
      </c>
      <c r="AE18" s="337">
        <v>44267</v>
      </c>
    </row>
    <row r="19" spans="3:31" x14ac:dyDescent="0.25">
      <c r="C19" s="234" t="s">
        <v>773</v>
      </c>
      <c r="D19" s="234" t="s">
        <v>54</v>
      </c>
      <c r="G19" s="39" t="s">
        <v>34</v>
      </c>
      <c r="H19" s="39" t="s">
        <v>771</v>
      </c>
      <c r="I19" s="39" t="s">
        <v>772</v>
      </c>
      <c r="J19" s="399">
        <v>22536</v>
      </c>
      <c r="K19" s="399">
        <v>28396</v>
      </c>
      <c r="L19" s="399">
        <v>37940</v>
      </c>
      <c r="M19" s="399">
        <v>22752</v>
      </c>
      <c r="N19" s="399">
        <v>22129</v>
      </c>
      <c r="O19" s="399">
        <v>15834</v>
      </c>
      <c r="P19" s="399">
        <v>20089</v>
      </c>
      <c r="Q19" s="399">
        <v>33733</v>
      </c>
      <c r="R19" s="14">
        <v>30685</v>
      </c>
      <c r="S19" s="14">
        <v>37195</v>
      </c>
      <c r="T19" s="14">
        <v>41500</v>
      </c>
      <c r="U19" s="14">
        <v>39588</v>
      </c>
      <c r="V19" s="14">
        <v>352377</v>
      </c>
      <c r="X19" s="336">
        <v>6</v>
      </c>
      <c r="Y19" s="337">
        <v>44262</v>
      </c>
      <c r="Z19" s="337">
        <v>44275</v>
      </c>
      <c r="AA19" s="337">
        <v>44273</v>
      </c>
      <c r="AB19" s="337">
        <v>44277</v>
      </c>
      <c r="AC19" s="339">
        <v>44278</v>
      </c>
      <c r="AD19" s="337">
        <v>44279</v>
      </c>
      <c r="AE19" s="337">
        <v>44281</v>
      </c>
    </row>
    <row r="20" spans="3:31" x14ac:dyDescent="0.25">
      <c r="C20" s="234" t="s">
        <v>749</v>
      </c>
      <c r="D20" s="234" t="s">
        <v>54</v>
      </c>
      <c r="G20" s="39" t="s">
        <v>54</v>
      </c>
      <c r="H20" s="39" t="s">
        <v>774</v>
      </c>
      <c r="I20" s="39" t="s">
        <v>775</v>
      </c>
      <c r="J20" s="14">
        <v>52</v>
      </c>
      <c r="K20" s="14">
        <v>22</v>
      </c>
      <c r="L20" s="14">
        <v>30</v>
      </c>
      <c r="M20" s="14">
        <v>53</v>
      </c>
      <c r="N20" s="14">
        <v>47</v>
      </c>
      <c r="O20" s="14">
        <v>30</v>
      </c>
      <c r="P20" s="14">
        <v>89</v>
      </c>
      <c r="Q20" s="14">
        <v>55</v>
      </c>
      <c r="R20" s="14">
        <v>71</v>
      </c>
      <c r="S20" s="14">
        <v>48</v>
      </c>
      <c r="T20" s="14">
        <v>100</v>
      </c>
      <c r="U20" s="14">
        <v>19</v>
      </c>
      <c r="V20" s="14">
        <v>616</v>
      </c>
      <c r="X20" s="336">
        <v>7</v>
      </c>
      <c r="Y20" s="337">
        <v>44276</v>
      </c>
      <c r="Z20" s="337">
        <v>44289</v>
      </c>
      <c r="AA20" s="337">
        <v>44287</v>
      </c>
      <c r="AB20" s="337">
        <v>44291</v>
      </c>
      <c r="AC20" s="337">
        <v>44292</v>
      </c>
      <c r="AD20" s="337">
        <v>44293</v>
      </c>
      <c r="AE20" s="337">
        <v>44295</v>
      </c>
    </row>
    <row r="21" spans="3:31" x14ac:dyDescent="0.25">
      <c r="C21" s="234" t="s">
        <v>779</v>
      </c>
      <c r="D21" s="234" t="s">
        <v>54</v>
      </c>
      <c r="G21" s="39" t="s">
        <v>33</v>
      </c>
      <c r="H21" s="39" t="s">
        <v>796</v>
      </c>
      <c r="I21" s="39" t="s">
        <v>797</v>
      </c>
      <c r="J21" s="14">
        <v>1709</v>
      </c>
      <c r="K21" s="14">
        <v>1630</v>
      </c>
      <c r="L21" s="14">
        <v>1951</v>
      </c>
      <c r="M21" s="14">
        <v>1869</v>
      </c>
      <c r="N21" s="14">
        <v>1787</v>
      </c>
      <c r="O21" s="14">
        <v>1869</v>
      </c>
      <c r="P21" s="14">
        <v>1869</v>
      </c>
      <c r="Q21" s="14">
        <v>1870</v>
      </c>
      <c r="R21" s="14">
        <v>1870</v>
      </c>
      <c r="S21" s="14">
        <v>1788</v>
      </c>
      <c r="T21" s="14">
        <v>1871</v>
      </c>
      <c r="U21" s="14">
        <v>1953</v>
      </c>
      <c r="V21" s="14">
        <v>22036</v>
      </c>
      <c r="X21" s="336">
        <v>8</v>
      </c>
      <c r="Y21" s="337">
        <v>44290</v>
      </c>
      <c r="Z21" s="337">
        <v>44303</v>
      </c>
      <c r="AA21" s="337">
        <v>44301</v>
      </c>
      <c r="AB21" s="337">
        <v>44305</v>
      </c>
      <c r="AC21" s="339">
        <v>44306</v>
      </c>
      <c r="AD21" s="339">
        <v>44307</v>
      </c>
      <c r="AE21" s="339">
        <v>44309</v>
      </c>
    </row>
    <row r="22" spans="3:31" x14ac:dyDescent="0.25">
      <c r="C22" s="234" t="s">
        <v>782</v>
      </c>
      <c r="D22" s="234" t="s">
        <v>54</v>
      </c>
      <c r="G22" s="39" t="s">
        <v>32</v>
      </c>
      <c r="H22" s="39" t="s">
        <v>799</v>
      </c>
      <c r="I22" s="39" t="s">
        <v>800</v>
      </c>
      <c r="J22" s="14">
        <v>45</v>
      </c>
      <c r="K22" s="14">
        <v>18</v>
      </c>
      <c r="L22" s="14">
        <v>42</v>
      </c>
      <c r="M22" s="14">
        <v>114</v>
      </c>
      <c r="N22" s="14">
        <v>96</v>
      </c>
      <c r="O22" s="14">
        <v>93</v>
      </c>
      <c r="P22" s="14">
        <v>59</v>
      </c>
      <c r="Q22" s="14">
        <v>73</v>
      </c>
      <c r="R22" s="14">
        <v>58</v>
      </c>
      <c r="S22" s="14">
        <v>66</v>
      </c>
      <c r="T22" s="14">
        <v>68</v>
      </c>
      <c r="U22" s="14">
        <v>50</v>
      </c>
      <c r="V22" s="14">
        <v>782</v>
      </c>
      <c r="X22" s="336">
        <v>9</v>
      </c>
      <c r="Y22" s="337">
        <v>44304</v>
      </c>
      <c r="Z22" s="337">
        <v>44317</v>
      </c>
      <c r="AA22" s="337">
        <v>44315</v>
      </c>
      <c r="AB22" s="337">
        <v>44319</v>
      </c>
      <c r="AC22" s="337">
        <v>44320</v>
      </c>
      <c r="AD22" s="337">
        <v>44321</v>
      </c>
      <c r="AE22" s="337">
        <v>44323</v>
      </c>
    </row>
    <row r="23" spans="3:31" x14ac:dyDescent="0.25">
      <c r="C23" s="234" t="s">
        <v>785</v>
      </c>
      <c r="D23" s="234" t="s">
        <v>54</v>
      </c>
      <c r="G23" s="39" t="s">
        <v>40</v>
      </c>
      <c r="H23" s="39" t="s">
        <v>786</v>
      </c>
      <c r="I23" s="39" t="s">
        <v>787</v>
      </c>
      <c r="J23" s="14">
        <v>924</v>
      </c>
      <c r="K23" s="14">
        <v>924</v>
      </c>
      <c r="L23" s="14">
        <v>924</v>
      </c>
      <c r="M23" s="14">
        <v>924</v>
      </c>
      <c r="N23" s="14">
        <v>924</v>
      </c>
      <c r="O23" s="14">
        <v>924</v>
      </c>
      <c r="P23" s="14">
        <v>924</v>
      </c>
      <c r="Q23" s="14">
        <v>924</v>
      </c>
      <c r="R23" s="14">
        <v>924</v>
      </c>
      <c r="S23" s="14">
        <v>924</v>
      </c>
      <c r="T23" s="14">
        <v>924</v>
      </c>
      <c r="U23" s="14">
        <v>924</v>
      </c>
      <c r="V23" s="14">
        <v>11088</v>
      </c>
      <c r="X23" s="336">
        <v>10</v>
      </c>
      <c r="Y23" s="337">
        <v>44318</v>
      </c>
      <c r="Z23" s="337">
        <v>44331</v>
      </c>
      <c r="AA23" s="337">
        <v>44329</v>
      </c>
      <c r="AB23" s="337">
        <v>44333</v>
      </c>
      <c r="AC23" s="339">
        <v>44334</v>
      </c>
      <c r="AD23" s="337">
        <v>44335</v>
      </c>
      <c r="AE23" s="337">
        <v>44337</v>
      </c>
    </row>
    <row r="24" spans="3:31" x14ac:dyDescent="0.25">
      <c r="C24" s="234" t="s">
        <v>788</v>
      </c>
      <c r="D24" s="234" t="s">
        <v>54</v>
      </c>
      <c r="G24" s="39" t="s">
        <v>54</v>
      </c>
      <c r="H24" s="39" t="s">
        <v>789</v>
      </c>
      <c r="I24" s="39" t="s">
        <v>790</v>
      </c>
      <c r="J24" s="14">
        <v>74360</v>
      </c>
      <c r="K24" s="14">
        <v>74361</v>
      </c>
      <c r="L24" s="14">
        <v>74360</v>
      </c>
      <c r="M24" s="14">
        <v>74361</v>
      </c>
      <c r="N24" s="14">
        <v>74360</v>
      </c>
      <c r="O24" s="14">
        <v>74361</v>
      </c>
      <c r="P24" s="14">
        <v>74360</v>
      </c>
      <c r="Q24" s="14">
        <v>74361</v>
      </c>
      <c r="R24" s="14">
        <v>74360</v>
      </c>
      <c r="S24" s="14">
        <v>74361</v>
      </c>
      <c r="T24" s="14">
        <v>74360</v>
      </c>
      <c r="U24" s="14">
        <v>74361</v>
      </c>
      <c r="V24" s="14">
        <v>892326</v>
      </c>
      <c r="X24" s="336">
        <v>11</v>
      </c>
      <c r="Y24" s="337">
        <v>44332</v>
      </c>
      <c r="Z24" s="337">
        <v>44345</v>
      </c>
      <c r="AA24" s="337">
        <v>44343</v>
      </c>
      <c r="AB24" s="338">
        <v>44344</v>
      </c>
      <c r="AC24" s="337">
        <v>44348</v>
      </c>
      <c r="AD24" s="337">
        <v>44349</v>
      </c>
      <c r="AE24" s="337">
        <v>44351</v>
      </c>
    </row>
    <row r="25" spans="3:31" x14ac:dyDescent="0.25">
      <c r="C25" s="234" t="s">
        <v>791</v>
      </c>
      <c r="D25" s="234" t="s">
        <v>931</v>
      </c>
      <c r="G25" s="39" t="s">
        <v>54</v>
      </c>
      <c r="H25" s="39" t="s">
        <v>793</v>
      </c>
      <c r="I25" s="39" t="s">
        <v>794</v>
      </c>
      <c r="J25" s="14">
        <v>6160</v>
      </c>
      <c r="K25" s="14">
        <v>6160</v>
      </c>
      <c r="L25" s="14">
        <v>6160</v>
      </c>
      <c r="M25" s="14">
        <v>6160</v>
      </c>
      <c r="N25" s="14">
        <v>6160</v>
      </c>
      <c r="O25" s="14">
        <v>6160</v>
      </c>
      <c r="P25" s="14">
        <v>6160</v>
      </c>
      <c r="Q25" s="14">
        <v>6160</v>
      </c>
      <c r="R25" s="14">
        <v>6160</v>
      </c>
      <c r="S25" s="14">
        <v>6160</v>
      </c>
      <c r="T25" s="14">
        <v>6160</v>
      </c>
      <c r="U25" s="14">
        <v>6160</v>
      </c>
      <c r="V25" s="14">
        <v>73920</v>
      </c>
      <c r="X25" s="336">
        <v>12</v>
      </c>
      <c r="Y25" s="337">
        <v>44346</v>
      </c>
      <c r="Z25" s="337">
        <v>44359</v>
      </c>
      <c r="AA25" s="337">
        <v>44357</v>
      </c>
      <c r="AB25" s="337">
        <v>44361</v>
      </c>
      <c r="AC25" s="339">
        <v>44362</v>
      </c>
      <c r="AD25" s="337">
        <v>44363</v>
      </c>
      <c r="AE25" s="337">
        <v>44365</v>
      </c>
    </row>
    <row r="26" spans="3:31" x14ac:dyDescent="0.25">
      <c r="C26" s="234" t="s">
        <v>795</v>
      </c>
      <c r="D26" s="234" t="s">
        <v>54</v>
      </c>
      <c r="G26" s="39" t="s">
        <v>54</v>
      </c>
      <c r="H26" s="39" t="s">
        <v>814</v>
      </c>
      <c r="I26" s="39" t="s">
        <v>815</v>
      </c>
      <c r="J26" s="14">
        <v>162</v>
      </c>
      <c r="K26" s="14">
        <v>162</v>
      </c>
      <c r="L26" s="14">
        <v>162</v>
      </c>
      <c r="M26" s="14">
        <v>162</v>
      </c>
      <c r="N26" s="14">
        <v>162</v>
      </c>
      <c r="O26" s="14">
        <v>162</v>
      </c>
      <c r="P26" s="14">
        <v>162</v>
      </c>
      <c r="Q26" s="14">
        <v>162</v>
      </c>
      <c r="R26" s="14">
        <v>162</v>
      </c>
      <c r="S26" s="14">
        <v>162</v>
      </c>
      <c r="T26" s="14">
        <v>162</v>
      </c>
      <c r="U26" s="14">
        <v>162</v>
      </c>
      <c r="V26" s="14">
        <v>1944</v>
      </c>
      <c r="X26" s="336">
        <v>13</v>
      </c>
      <c r="Y26" s="337">
        <v>44360</v>
      </c>
      <c r="Z26" s="337">
        <v>44373</v>
      </c>
      <c r="AA26" s="337">
        <v>44371</v>
      </c>
      <c r="AB26" s="337">
        <v>44375</v>
      </c>
      <c r="AC26" s="337">
        <v>44376</v>
      </c>
      <c r="AD26" s="337">
        <v>44377</v>
      </c>
      <c r="AE26" s="337">
        <v>44379</v>
      </c>
    </row>
    <row r="27" spans="3:31" x14ac:dyDescent="0.25">
      <c r="C27" s="234" t="s">
        <v>798</v>
      </c>
      <c r="D27" s="234" t="s">
        <v>54</v>
      </c>
      <c r="G27" s="39" t="s">
        <v>39</v>
      </c>
      <c r="H27" s="39" t="s">
        <v>932</v>
      </c>
      <c r="I27" s="39" t="s">
        <v>933</v>
      </c>
      <c r="J27" s="14">
        <v>117521</v>
      </c>
      <c r="K27" s="14">
        <v>112410</v>
      </c>
      <c r="L27" s="14">
        <v>131269</v>
      </c>
      <c r="M27" s="14">
        <v>126005</v>
      </c>
      <c r="N27" s="14">
        <v>120741</v>
      </c>
      <c r="O27" s="14">
        <v>126005</v>
      </c>
      <c r="P27" s="14">
        <v>126005</v>
      </c>
      <c r="Q27" s="14">
        <v>126005</v>
      </c>
      <c r="R27" s="14">
        <v>126005</v>
      </c>
      <c r="S27" s="14">
        <v>120741</v>
      </c>
      <c r="T27" s="14">
        <v>126005</v>
      </c>
      <c r="U27" s="14">
        <v>131269</v>
      </c>
      <c r="V27" s="14">
        <v>1489981</v>
      </c>
      <c r="X27" s="336">
        <v>14</v>
      </c>
      <c r="Y27" s="337">
        <v>44374</v>
      </c>
      <c r="Z27" s="337">
        <v>44387</v>
      </c>
      <c r="AA27" s="337">
        <v>44385</v>
      </c>
      <c r="AB27" s="337">
        <v>44389</v>
      </c>
      <c r="AC27" s="339">
        <v>44390</v>
      </c>
      <c r="AD27" s="339">
        <v>44391</v>
      </c>
      <c r="AE27" s="339">
        <v>44393</v>
      </c>
    </row>
    <row r="28" spans="3:31" x14ac:dyDescent="0.25">
      <c r="C28" s="234" t="s">
        <v>801</v>
      </c>
      <c r="D28" s="234" t="s">
        <v>54</v>
      </c>
      <c r="G28" s="39" t="s">
        <v>54</v>
      </c>
      <c r="H28" s="39" t="s">
        <v>934</v>
      </c>
      <c r="I28" s="39" t="s">
        <v>935</v>
      </c>
      <c r="J28" s="14">
        <v>1229</v>
      </c>
      <c r="K28" s="14">
        <v>1229</v>
      </c>
      <c r="L28" s="14">
        <v>1229</v>
      </c>
      <c r="M28" s="14">
        <v>1229</v>
      </c>
      <c r="N28" s="14">
        <v>1229</v>
      </c>
      <c r="O28" s="14">
        <v>1229</v>
      </c>
      <c r="P28" s="14">
        <v>1229</v>
      </c>
      <c r="Q28" s="14">
        <v>1229</v>
      </c>
      <c r="R28" s="14">
        <v>1229</v>
      </c>
      <c r="S28" s="14">
        <v>1229</v>
      </c>
      <c r="T28" s="14">
        <v>1229</v>
      </c>
      <c r="U28" s="14">
        <v>1229</v>
      </c>
      <c r="V28" s="14">
        <v>14748</v>
      </c>
      <c r="X28" s="336" t="s">
        <v>1168</v>
      </c>
      <c r="Y28" s="337">
        <v>44388</v>
      </c>
      <c r="Z28" s="337">
        <v>44401</v>
      </c>
      <c r="AA28" s="337">
        <v>44399</v>
      </c>
      <c r="AB28" s="337">
        <v>44403</v>
      </c>
      <c r="AC28" s="337">
        <v>44404</v>
      </c>
      <c r="AD28" s="337">
        <v>44405</v>
      </c>
      <c r="AE28" s="337">
        <v>44407</v>
      </c>
    </row>
    <row r="29" spans="3:31" x14ac:dyDescent="0.25">
      <c r="C29" s="234" t="s">
        <v>804</v>
      </c>
      <c r="D29" s="234" t="s">
        <v>54</v>
      </c>
      <c r="G29" s="39" t="s">
        <v>54</v>
      </c>
      <c r="H29" s="39" t="s">
        <v>936</v>
      </c>
      <c r="I29" s="39" t="s">
        <v>937</v>
      </c>
      <c r="J29" s="14">
        <v>3928</v>
      </c>
      <c r="K29" s="14">
        <v>3765</v>
      </c>
      <c r="L29" s="14">
        <v>4368</v>
      </c>
      <c r="M29" s="14">
        <v>4200</v>
      </c>
      <c r="N29" s="14">
        <v>4031</v>
      </c>
      <c r="O29" s="14">
        <v>4200</v>
      </c>
      <c r="P29" s="14">
        <v>4200</v>
      </c>
      <c r="Q29" s="14">
        <v>4200</v>
      </c>
      <c r="R29" s="14">
        <v>4200</v>
      </c>
      <c r="S29" s="14">
        <v>4031</v>
      </c>
      <c r="T29" s="14">
        <v>4200</v>
      </c>
      <c r="U29" s="14">
        <v>4368</v>
      </c>
      <c r="V29" s="14">
        <v>49691</v>
      </c>
      <c r="X29" s="336">
        <v>16</v>
      </c>
      <c r="Y29" s="337">
        <v>44402</v>
      </c>
      <c r="Z29" s="337">
        <v>44415</v>
      </c>
      <c r="AA29" s="337">
        <v>44413</v>
      </c>
      <c r="AB29" s="337">
        <v>44417</v>
      </c>
      <c r="AC29" s="339">
        <v>44418</v>
      </c>
      <c r="AD29" s="337">
        <v>44419</v>
      </c>
      <c r="AE29" s="337">
        <v>44421</v>
      </c>
    </row>
    <row r="30" spans="3:31" x14ac:dyDescent="0.25">
      <c r="C30" s="234" t="s">
        <v>807</v>
      </c>
      <c r="D30" s="234" t="s">
        <v>54</v>
      </c>
      <c r="G30" s="39" t="s">
        <v>54</v>
      </c>
      <c r="H30" s="39" t="s">
        <v>938</v>
      </c>
      <c r="I30" s="39" t="s">
        <v>939</v>
      </c>
      <c r="J30" s="14">
        <v>1126</v>
      </c>
      <c r="K30" s="14">
        <v>1072</v>
      </c>
      <c r="L30" s="14">
        <v>1271</v>
      </c>
      <c r="M30" s="14">
        <v>1215</v>
      </c>
      <c r="N30" s="14">
        <v>1160</v>
      </c>
      <c r="O30" s="14">
        <v>1215</v>
      </c>
      <c r="P30" s="14">
        <v>1215</v>
      </c>
      <c r="Q30" s="14">
        <v>1215</v>
      </c>
      <c r="R30" s="14">
        <v>1215</v>
      </c>
      <c r="S30" s="14">
        <v>1160</v>
      </c>
      <c r="T30" s="14">
        <v>1215</v>
      </c>
      <c r="U30" s="14">
        <v>1271</v>
      </c>
      <c r="V30" s="14">
        <v>14350</v>
      </c>
      <c r="X30" s="336">
        <v>17</v>
      </c>
      <c r="Y30" s="337">
        <v>44416</v>
      </c>
      <c r="Z30" s="337">
        <v>44429</v>
      </c>
      <c r="AA30" s="337">
        <v>44427</v>
      </c>
      <c r="AB30" s="337">
        <v>44431</v>
      </c>
      <c r="AC30" s="337">
        <v>44432</v>
      </c>
      <c r="AD30" s="337">
        <v>44433</v>
      </c>
      <c r="AE30" s="337">
        <v>44435</v>
      </c>
    </row>
    <row r="31" spans="3:31" x14ac:dyDescent="0.25">
      <c r="C31" s="234" t="s">
        <v>810</v>
      </c>
      <c r="D31" s="234" t="s">
        <v>54</v>
      </c>
      <c r="G31" s="39" t="s">
        <v>54</v>
      </c>
      <c r="H31" s="39" t="s">
        <v>940</v>
      </c>
      <c r="I31" s="39" t="s">
        <v>941</v>
      </c>
      <c r="J31" s="14">
        <v>4876</v>
      </c>
      <c r="K31" s="14">
        <v>4644</v>
      </c>
      <c r="L31" s="14">
        <v>5501</v>
      </c>
      <c r="M31" s="14">
        <v>5262</v>
      </c>
      <c r="N31" s="14">
        <v>5022</v>
      </c>
      <c r="O31" s="14">
        <v>5262</v>
      </c>
      <c r="P31" s="14">
        <v>5262</v>
      </c>
      <c r="Q31" s="14">
        <v>5262</v>
      </c>
      <c r="R31" s="14">
        <v>5262</v>
      </c>
      <c r="S31" s="14">
        <v>5022</v>
      </c>
      <c r="T31" s="14">
        <v>5262</v>
      </c>
      <c r="U31" s="14">
        <v>5501</v>
      </c>
      <c r="V31" s="14">
        <v>62138</v>
      </c>
      <c r="X31" s="336">
        <v>18</v>
      </c>
      <c r="Y31" s="337">
        <v>44430</v>
      </c>
      <c r="Z31" s="337">
        <v>44443</v>
      </c>
      <c r="AA31" s="337">
        <v>44441</v>
      </c>
      <c r="AB31" s="338">
        <v>44442</v>
      </c>
      <c r="AC31" s="339">
        <v>44446</v>
      </c>
      <c r="AD31" s="337">
        <v>44447</v>
      </c>
      <c r="AE31" s="337">
        <v>44449</v>
      </c>
    </row>
    <row r="32" spans="3:31" x14ac:dyDescent="0.25">
      <c r="C32" s="234" t="s">
        <v>813</v>
      </c>
      <c r="D32" s="234" t="s">
        <v>54</v>
      </c>
      <c r="G32" s="39" t="s">
        <v>54</v>
      </c>
      <c r="H32" s="39" t="s">
        <v>942</v>
      </c>
      <c r="I32" s="39" t="s">
        <v>943</v>
      </c>
      <c r="J32" s="14">
        <v>1466</v>
      </c>
      <c r="K32" s="14">
        <v>1466</v>
      </c>
      <c r="L32" s="14">
        <v>1465</v>
      </c>
      <c r="M32" s="14">
        <v>1466</v>
      </c>
      <c r="N32" s="14">
        <v>1466</v>
      </c>
      <c r="O32" s="14">
        <v>1465</v>
      </c>
      <c r="P32" s="14">
        <v>1466</v>
      </c>
      <c r="Q32" s="14">
        <v>1466</v>
      </c>
      <c r="R32" s="14">
        <v>1465</v>
      </c>
      <c r="S32" s="14">
        <v>1466</v>
      </c>
      <c r="T32" s="14">
        <v>1466</v>
      </c>
      <c r="U32" s="14">
        <v>1465</v>
      </c>
      <c r="V32" s="14">
        <v>17588</v>
      </c>
      <c r="X32" s="336">
        <v>19</v>
      </c>
      <c r="Y32" s="337">
        <v>44444</v>
      </c>
      <c r="Z32" s="337">
        <v>44457</v>
      </c>
      <c r="AA32" s="337">
        <v>44455</v>
      </c>
      <c r="AB32" s="339">
        <v>44459</v>
      </c>
      <c r="AC32" s="337">
        <v>44460</v>
      </c>
      <c r="AD32" s="337">
        <v>44461</v>
      </c>
      <c r="AE32" s="337">
        <v>44463</v>
      </c>
    </row>
    <row r="33" spans="3:31" x14ac:dyDescent="0.25">
      <c r="C33" s="234" t="s">
        <v>816</v>
      </c>
      <c r="D33" s="234" t="s">
        <v>54</v>
      </c>
      <c r="G33" s="39" t="s">
        <v>54</v>
      </c>
      <c r="H33" s="39" t="s">
        <v>945</v>
      </c>
      <c r="I33" s="39" t="s">
        <v>946</v>
      </c>
      <c r="J33" s="14">
        <v>33</v>
      </c>
      <c r="K33" s="14">
        <v>33</v>
      </c>
      <c r="L33" s="14">
        <v>33</v>
      </c>
      <c r="M33" s="14">
        <v>32</v>
      </c>
      <c r="N33" s="14">
        <v>33</v>
      </c>
      <c r="O33" s="14">
        <v>33</v>
      </c>
      <c r="P33" s="14">
        <v>33</v>
      </c>
      <c r="Q33" s="14">
        <v>33</v>
      </c>
      <c r="R33" s="14">
        <v>32</v>
      </c>
      <c r="S33" s="14">
        <v>33</v>
      </c>
      <c r="T33" s="14">
        <v>33</v>
      </c>
      <c r="U33" s="14">
        <v>33</v>
      </c>
      <c r="V33" s="14">
        <v>394</v>
      </c>
      <c r="X33" s="336">
        <v>20</v>
      </c>
      <c r="Y33" s="337">
        <v>44458</v>
      </c>
      <c r="Z33" s="337">
        <v>44471</v>
      </c>
      <c r="AA33" s="337">
        <v>44469</v>
      </c>
      <c r="AB33" s="337">
        <v>44473</v>
      </c>
      <c r="AC33" s="339">
        <v>44474</v>
      </c>
      <c r="AD33" s="337">
        <v>44475</v>
      </c>
      <c r="AE33" s="337">
        <v>44477</v>
      </c>
    </row>
    <row r="34" spans="3:31" x14ac:dyDescent="0.25">
      <c r="C34" s="234" t="s">
        <v>817</v>
      </c>
      <c r="D34" s="234" t="s">
        <v>54</v>
      </c>
      <c r="G34" s="39" t="s">
        <v>54</v>
      </c>
      <c r="H34" s="39" t="s">
        <v>947</v>
      </c>
      <c r="I34" s="39" t="s">
        <v>948</v>
      </c>
      <c r="J34" s="14">
        <v>42243</v>
      </c>
      <c r="K34" s="14">
        <v>42244</v>
      </c>
      <c r="L34" s="14">
        <v>42243</v>
      </c>
      <c r="M34" s="14">
        <v>42245</v>
      </c>
      <c r="N34" s="14">
        <v>42243</v>
      </c>
      <c r="O34" s="14">
        <v>42244</v>
      </c>
      <c r="P34" s="14">
        <v>42243</v>
      </c>
      <c r="Q34" s="14">
        <v>42245</v>
      </c>
      <c r="R34" s="14">
        <v>42243</v>
      </c>
      <c r="S34" s="14">
        <v>42244</v>
      </c>
      <c r="T34" s="14">
        <v>42243</v>
      </c>
      <c r="U34" s="14">
        <v>42245</v>
      </c>
      <c r="V34" s="14">
        <v>506925</v>
      </c>
      <c r="X34" s="336">
        <v>21</v>
      </c>
      <c r="Y34" s="337">
        <v>44472</v>
      </c>
      <c r="Z34" s="337">
        <v>44485</v>
      </c>
      <c r="AA34" s="337">
        <v>44483</v>
      </c>
      <c r="AB34" s="337">
        <v>44487</v>
      </c>
      <c r="AC34" s="337">
        <v>44488</v>
      </c>
      <c r="AD34" s="337">
        <v>44489</v>
      </c>
      <c r="AE34" s="337">
        <v>44491</v>
      </c>
    </row>
    <row r="35" spans="3:31" x14ac:dyDescent="0.25">
      <c r="C35" s="236" t="s">
        <v>818</v>
      </c>
      <c r="D35" s="236" t="s">
        <v>54</v>
      </c>
      <c r="G35" s="39" t="s">
        <v>54</v>
      </c>
      <c r="H35" s="39" t="s">
        <v>949</v>
      </c>
      <c r="I35" s="39" t="s">
        <v>950</v>
      </c>
      <c r="J35" s="14">
        <v>250</v>
      </c>
      <c r="K35" s="14">
        <v>250</v>
      </c>
      <c r="L35" s="14">
        <v>250</v>
      </c>
      <c r="M35" s="14">
        <v>250</v>
      </c>
      <c r="N35" s="14">
        <v>250</v>
      </c>
      <c r="O35" s="14">
        <v>250</v>
      </c>
      <c r="P35" s="14">
        <v>250</v>
      </c>
      <c r="Q35" s="14">
        <v>250</v>
      </c>
      <c r="R35" s="14">
        <v>250</v>
      </c>
      <c r="S35" s="14">
        <v>1250</v>
      </c>
      <c r="T35" s="14">
        <v>250</v>
      </c>
      <c r="U35" s="14">
        <v>250</v>
      </c>
      <c r="V35" s="14">
        <v>4000</v>
      </c>
      <c r="X35" s="336">
        <v>22</v>
      </c>
      <c r="Y35" s="337">
        <v>44486</v>
      </c>
      <c r="Z35" s="337">
        <v>44499</v>
      </c>
      <c r="AA35" s="337">
        <v>44497</v>
      </c>
      <c r="AB35" s="337">
        <v>44501</v>
      </c>
      <c r="AC35" s="339">
        <v>44502</v>
      </c>
      <c r="AD35" s="337">
        <v>44503</v>
      </c>
      <c r="AE35" s="337">
        <v>44505</v>
      </c>
    </row>
    <row r="36" spans="3:31" x14ac:dyDescent="0.25">
      <c r="G36" s="39" t="s">
        <v>54</v>
      </c>
      <c r="H36" s="39" t="s">
        <v>951</v>
      </c>
      <c r="I36" s="39" t="s">
        <v>952</v>
      </c>
      <c r="J36" s="14">
        <v>34363</v>
      </c>
      <c r="K36" s="14">
        <v>34362</v>
      </c>
      <c r="L36" s="14">
        <v>34363</v>
      </c>
      <c r="M36" s="14">
        <v>34362</v>
      </c>
      <c r="N36" s="14">
        <v>34363</v>
      </c>
      <c r="O36" s="14">
        <v>34362</v>
      </c>
      <c r="P36" s="14">
        <v>34363</v>
      </c>
      <c r="Q36" s="14">
        <v>34362</v>
      </c>
      <c r="R36" s="14">
        <v>34363</v>
      </c>
      <c r="S36" s="14">
        <v>34362</v>
      </c>
      <c r="T36" s="14">
        <v>34363</v>
      </c>
      <c r="U36" s="14">
        <v>34362</v>
      </c>
      <c r="V36" s="14">
        <v>412350</v>
      </c>
      <c r="X36" s="336">
        <v>23</v>
      </c>
      <c r="Y36" s="337">
        <v>44500</v>
      </c>
      <c r="Z36" s="337">
        <v>44513</v>
      </c>
      <c r="AA36" s="337">
        <v>44511</v>
      </c>
      <c r="AB36" s="337">
        <v>44515</v>
      </c>
      <c r="AC36" s="337">
        <v>44516</v>
      </c>
      <c r="AD36" s="337">
        <v>44517</v>
      </c>
      <c r="AE36" s="337">
        <v>44519</v>
      </c>
    </row>
    <row r="37" spans="3:31" x14ac:dyDescent="0.25">
      <c r="G37" s="39" t="s">
        <v>54</v>
      </c>
      <c r="H37" s="39" t="s">
        <v>953</v>
      </c>
      <c r="I37" s="39" t="s">
        <v>954</v>
      </c>
      <c r="J37" s="14">
        <v>38127</v>
      </c>
      <c r="K37" s="14">
        <v>36311</v>
      </c>
      <c r="L37" s="14">
        <v>43008</v>
      </c>
      <c r="M37" s="14">
        <v>41138</v>
      </c>
      <c r="N37" s="14">
        <v>39269</v>
      </c>
      <c r="O37" s="14">
        <v>41138</v>
      </c>
      <c r="P37" s="14">
        <v>41138</v>
      </c>
      <c r="Q37" s="14">
        <v>41138</v>
      </c>
      <c r="R37" s="14">
        <v>41138</v>
      </c>
      <c r="S37" s="14">
        <v>39269</v>
      </c>
      <c r="T37" s="14">
        <v>41138</v>
      </c>
      <c r="U37" s="14">
        <v>43008</v>
      </c>
      <c r="V37" s="14">
        <v>485820</v>
      </c>
      <c r="X37" s="336">
        <v>24</v>
      </c>
      <c r="Y37" s="337">
        <v>44514</v>
      </c>
      <c r="Z37" s="337">
        <v>44527</v>
      </c>
      <c r="AA37" s="338">
        <v>44524</v>
      </c>
      <c r="AB37" s="337">
        <v>44529</v>
      </c>
      <c r="AC37" s="339">
        <v>44530</v>
      </c>
      <c r="AD37" s="337">
        <v>44531</v>
      </c>
      <c r="AE37" s="337">
        <v>44533</v>
      </c>
    </row>
    <row r="38" spans="3:31" x14ac:dyDescent="0.25">
      <c r="G38" s="39" t="s">
        <v>54</v>
      </c>
      <c r="H38" s="39" t="s">
        <v>955</v>
      </c>
      <c r="I38" s="39" t="s">
        <v>956</v>
      </c>
      <c r="J38" s="14">
        <v>6004</v>
      </c>
      <c r="K38" s="14">
        <v>5986</v>
      </c>
      <c r="L38" s="14">
        <v>6042</v>
      </c>
      <c r="M38" s="14">
        <v>6023</v>
      </c>
      <c r="N38" s="14">
        <v>5995</v>
      </c>
      <c r="O38" s="14">
        <v>5974</v>
      </c>
      <c r="P38" s="14">
        <v>5968</v>
      </c>
      <c r="Q38" s="14">
        <v>5998</v>
      </c>
      <c r="R38" s="14">
        <v>6014</v>
      </c>
      <c r="S38" s="14">
        <v>5998</v>
      </c>
      <c r="T38" s="14">
        <v>6013</v>
      </c>
      <c r="U38" s="14">
        <v>6035</v>
      </c>
      <c r="V38" s="14">
        <v>72050</v>
      </c>
      <c r="X38" s="336">
        <v>25</v>
      </c>
      <c r="Y38" s="337">
        <v>44528</v>
      </c>
      <c r="Z38" s="337">
        <v>44541</v>
      </c>
      <c r="AA38" s="337">
        <v>44539</v>
      </c>
      <c r="AB38" s="337">
        <v>44543</v>
      </c>
      <c r="AC38" s="337">
        <v>44544</v>
      </c>
      <c r="AD38" s="337">
        <v>44545</v>
      </c>
      <c r="AE38" s="337">
        <v>44547</v>
      </c>
    </row>
    <row r="39" spans="3:31" x14ac:dyDescent="0.25">
      <c r="G39" s="39" t="s">
        <v>54</v>
      </c>
      <c r="H39" s="39" t="s">
        <v>957</v>
      </c>
      <c r="I39" s="39" t="s">
        <v>958</v>
      </c>
      <c r="J39" s="14">
        <v>30622</v>
      </c>
      <c r="K39" s="14">
        <v>25476</v>
      </c>
      <c r="L39" s="14">
        <v>44474</v>
      </c>
      <c r="M39" s="14">
        <v>39169</v>
      </c>
      <c r="N39" s="14">
        <v>33868</v>
      </c>
      <c r="O39" s="14">
        <v>39169</v>
      </c>
      <c r="P39" s="14">
        <v>39169</v>
      </c>
      <c r="Q39" s="14">
        <v>39169</v>
      </c>
      <c r="R39" s="14">
        <v>39169</v>
      </c>
      <c r="S39" s="14">
        <v>33868</v>
      </c>
      <c r="T39" s="14">
        <v>39169</v>
      </c>
      <c r="U39" s="14">
        <v>44473</v>
      </c>
      <c r="V39" s="14">
        <v>447795</v>
      </c>
      <c r="X39" s="336" t="s">
        <v>1169</v>
      </c>
      <c r="Y39" s="337">
        <v>44542</v>
      </c>
      <c r="Z39" s="337">
        <v>44555</v>
      </c>
      <c r="AA39" s="338">
        <v>44552</v>
      </c>
      <c r="AB39" s="338">
        <v>44557</v>
      </c>
      <c r="AC39" s="338">
        <v>44557</v>
      </c>
      <c r="AD39" s="338">
        <v>44558</v>
      </c>
      <c r="AE39" s="338">
        <v>44560</v>
      </c>
    </row>
    <row r="40" spans="3:31" x14ac:dyDescent="0.25">
      <c r="G40" s="39" t="s">
        <v>54</v>
      </c>
      <c r="H40" s="39" t="s">
        <v>959</v>
      </c>
      <c r="I40" s="39" t="s">
        <v>960</v>
      </c>
      <c r="J40" s="14">
        <v>3670</v>
      </c>
      <c r="K40" s="14">
        <v>3494</v>
      </c>
      <c r="L40" s="14">
        <v>4144</v>
      </c>
      <c r="M40" s="14">
        <v>3963</v>
      </c>
      <c r="N40" s="14">
        <v>3783</v>
      </c>
      <c r="O40" s="14">
        <v>3963</v>
      </c>
      <c r="P40" s="14">
        <v>3964</v>
      </c>
      <c r="Q40" s="14">
        <v>3965</v>
      </c>
      <c r="R40" s="14">
        <v>3965</v>
      </c>
      <c r="S40" s="14">
        <v>3783</v>
      </c>
      <c r="T40" s="14">
        <v>3965</v>
      </c>
      <c r="U40" s="14">
        <v>4146</v>
      </c>
      <c r="V40" s="14">
        <v>46805</v>
      </c>
      <c r="X40" s="330" t="s">
        <v>1170</v>
      </c>
      <c r="AD40" s="340" t="s">
        <v>881</v>
      </c>
      <c r="AE40" s="340"/>
    </row>
    <row r="41" spans="3:31" x14ac:dyDescent="0.25">
      <c r="G41" s="39" t="s">
        <v>38</v>
      </c>
      <c r="H41" s="39" t="s">
        <v>961</v>
      </c>
      <c r="I41" s="39" t="s">
        <v>962</v>
      </c>
      <c r="J41" s="14">
        <v>68140</v>
      </c>
      <c r="K41" s="14">
        <v>65661</v>
      </c>
      <c r="L41" s="14">
        <v>75961</v>
      </c>
      <c r="M41" s="14">
        <v>71813</v>
      </c>
      <c r="N41" s="14">
        <v>68859</v>
      </c>
      <c r="O41" s="14">
        <v>71246</v>
      </c>
      <c r="P41" s="14">
        <v>71596</v>
      </c>
      <c r="Q41" s="14">
        <v>72714</v>
      </c>
      <c r="R41" s="14">
        <v>72071</v>
      </c>
      <c r="S41" s="14">
        <v>69710</v>
      </c>
      <c r="T41" s="14">
        <v>72931</v>
      </c>
      <c r="U41" s="14">
        <v>75658</v>
      </c>
      <c r="V41" s="14">
        <v>856360</v>
      </c>
    </row>
    <row r="42" spans="3:31" x14ac:dyDescent="0.25">
      <c r="G42" s="39" t="s">
        <v>54</v>
      </c>
      <c r="H42" s="39" t="s">
        <v>963</v>
      </c>
      <c r="I42" s="39" t="s">
        <v>964</v>
      </c>
      <c r="J42" s="14">
        <v>4930</v>
      </c>
      <c r="K42" s="14">
        <v>4346</v>
      </c>
      <c r="L42" s="14">
        <v>4760</v>
      </c>
      <c r="M42" s="14">
        <v>3775</v>
      </c>
      <c r="N42" s="14">
        <v>3578</v>
      </c>
      <c r="O42" s="14">
        <v>3731</v>
      </c>
      <c r="P42" s="14">
        <v>3734</v>
      </c>
      <c r="Q42" s="14">
        <v>3727</v>
      </c>
      <c r="R42" s="14">
        <v>3718</v>
      </c>
      <c r="S42" s="14">
        <v>3569</v>
      </c>
      <c r="T42" s="14">
        <v>3718</v>
      </c>
      <c r="U42" s="14">
        <v>3855</v>
      </c>
      <c r="V42" s="14">
        <v>47441</v>
      </c>
    </row>
    <row r="43" spans="3:31" x14ac:dyDescent="0.25">
      <c r="G43" s="39" t="s">
        <v>37</v>
      </c>
      <c r="H43" s="39" t="s">
        <v>965</v>
      </c>
      <c r="I43" s="39" t="s">
        <v>966</v>
      </c>
      <c r="J43" s="14">
        <v>-131836</v>
      </c>
      <c r="K43" s="14">
        <v>-124729</v>
      </c>
      <c r="L43" s="14">
        <v>-149219</v>
      </c>
      <c r="M43" s="14">
        <v>-142044</v>
      </c>
      <c r="N43" s="14">
        <v>-135733</v>
      </c>
      <c r="O43" s="14">
        <v>-140603</v>
      </c>
      <c r="P43" s="14">
        <v>-140801</v>
      </c>
      <c r="Q43" s="14">
        <v>-145301</v>
      </c>
      <c r="R43" s="14">
        <v>-146753</v>
      </c>
      <c r="S43" s="14">
        <v>-143254</v>
      </c>
      <c r="T43" s="14">
        <v>-148198</v>
      </c>
      <c r="U43" s="14">
        <v>-153829</v>
      </c>
      <c r="V43" s="14">
        <v>-1702300</v>
      </c>
    </row>
    <row r="44" spans="3:31" x14ac:dyDescent="0.25">
      <c r="G44" s="39" t="s">
        <v>36</v>
      </c>
      <c r="H44" s="39" t="s">
        <v>764</v>
      </c>
      <c r="I44" s="39" t="s">
        <v>765</v>
      </c>
      <c r="J44" s="37">
        <v>722339</v>
      </c>
      <c r="K44" s="37">
        <v>687943</v>
      </c>
      <c r="L44" s="37">
        <v>814841</v>
      </c>
      <c r="M44" s="37">
        <v>779413</v>
      </c>
      <c r="N44" s="37">
        <v>743984</v>
      </c>
      <c r="O44" s="37">
        <v>779413</v>
      </c>
      <c r="P44" s="37">
        <v>779413</v>
      </c>
      <c r="Q44" s="37">
        <v>779413</v>
      </c>
      <c r="R44" s="37">
        <v>779413</v>
      </c>
      <c r="S44" s="37">
        <v>743984</v>
      </c>
      <c r="T44" s="37">
        <v>779413</v>
      </c>
      <c r="U44" s="37">
        <v>814841</v>
      </c>
      <c r="V44" s="37">
        <v>9204410</v>
      </c>
    </row>
    <row r="45" spans="3:31" x14ac:dyDescent="0.25">
      <c r="G45" s="39" t="s">
        <v>54</v>
      </c>
      <c r="H45" s="39" t="s">
        <v>767</v>
      </c>
      <c r="I45" s="39" t="s">
        <v>768</v>
      </c>
      <c r="J45" s="37">
        <v>36894</v>
      </c>
      <c r="K45" s="37">
        <v>35143</v>
      </c>
      <c r="L45" s="37">
        <v>41615</v>
      </c>
      <c r="M45" s="37">
        <v>39805</v>
      </c>
      <c r="N45" s="37">
        <v>38029</v>
      </c>
      <c r="O45" s="37">
        <v>39945</v>
      </c>
      <c r="P45" s="37">
        <v>39959</v>
      </c>
      <c r="Q45" s="37">
        <v>39884</v>
      </c>
      <c r="R45" s="37">
        <v>39820</v>
      </c>
      <c r="S45" s="37">
        <v>38011</v>
      </c>
      <c r="T45" s="37">
        <v>39820</v>
      </c>
      <c r="U45" s="37">
        <v>41631</v>
      </c>
      <c r="V45" s="37">
        <v>470556</v>
      </c>
    </row>
    <row r="46" spans="3:31" x14ac:dyDescent="0.25">
      <c r="G46" s="39" t="s">
        <v>54</v>
      </c>
      <c r="H46" s="39" t="s">
        <v>771</v>
      </c>
      <c r="I46" s="39" t="s">
        <v>772</v>
      </c>
      <c r="J46" s="37">
        <v>22536</v>
      </c>
      <c r="K46" s="37">
        <v>28396</v>
      </c>
      <c r="L46" s="37">
        <v>37940</v>
      </c>
      <c r="M46" s="37">
        <v>22752</v>
      </c>
      <c r="N46" s="37">
        <v>22129</v>
      </c>
      <c r="O46" s="37">
        <v>15834</v>
      </c>
      <c r="P46" s="37">
        <v>20089</v>
      </c>
      <c r="Q46" s="37">
        <v>33733</v>
      </c>
      <c r="R46" s="37">
        <v>30685</v>
      </c>
      <c r="S46" s="37">
        <v>37195</v>
      </c>
      <c r="T46" s="37">
        <v>41500</v>
      </c>
      <c r="U46" s="37">
        <v>39588</v>
      </c>
      <c r="V46" s="37">
        <v>352377</v>
      </c>
    </row>
    <row r="47" spans="3:31" x14ac:dyDescent="0.25">
      <c r="G47" s="39" t="s">
        <v>54</v>
      </c>
      <c r="H47" s="39" t="s">
        <v>774</v>
      </c>
      <c r="I47" s="39" t="s">
        <v>775</v>
      </c>
      <c r="J47" s="37">
        <v>52</v>
      </c>
      <c r="K47" s="37">
        <v>22</v>
      </c>
      <c r="L47" s="37">
        <v>30</v>
      </c>
      <c r="M47" s="37">
        <v>53</v>
      </c>
      <c r="N47" s="37">
        <v>47</v>
      </c>
      <c r="O47" s="37">
        <v>30</v>
      </c>
      <c r="P47" s="37">
        <v>89</v>
      </c>
      <c r="Q47" s="37">
        <v>55</v>
      </c>
      <c r="R47" s="37">
        <v>71</v>
      </c>
      <c r="S47" s="37">
        <v>48</v>
      </c>
      <c r="T47" s="37">
        <v>100</v>
      </c>
      <c r="U47" s="37">
        <v>19</v>
      </c>
      <c r="V47" s="37">
        <v>616</v>
      </c>
    </row>
    <row r="48" spans="3:31" x14ac:dyDescent="0.25">
      <c r="G48" s="39" t="s">
        <v>54</v>
      </c>
      <c r="H48" s="39" t="s">
        <v>780</v>
      </c>
      <c r="I48" s="39" t="s">
        <v>781</v>
      </c>
      <c r="J48" s="373"/>
      <c r="K48" s="373"/>
      <c r="L48" s="37">
        <v>-4296</v>
      </c>
      <c r="M48" s="373"/>
      <c r="N48" s="373"/>
      <c r="O48" s="373"/>
      <c r="P48" s="373"/>
      <c r="Q48" s="373"/>
      <c r="R48" s="373"/>
      <c r="S48" s="373"/>
      <c r="T48" s="373"/>
      <c r="U48" s="373"/>
      <c r="V48" s="37">
        <v>-4296</v>
      </c>
    </row>
    <row r="49" spans="7:22" x14ac:dyDescent="0.25">
      <c r="G49" s="39" t="s">
        <v>54</v>
      </c>
      <c r="H49" s="39" t="s">
        <v>786</v>
      </c>
      <c r="I49" s="39" t="s">
        <v>787</v>
      </c>
      <c r="J49" s="37">
        <v>924</v>
      </c>
      <c r="K49" s="37">
        <v>924</v>
      </c>
      <c r="L49" s="37">
        <v>924</v>
      </c>
      <c r="M49" s="37">
        <v>924</v>
      </c>
      <c r="N49" s="37">
        <v>924</v>
      </c>
      <c r="O49" s="37">
        <v>924</v>
      </c>
      <c r="P49" s="37">
        <v>924</v>
      </c>
      <c r="Q49" s="37">
        <v>924</v>
      </c>
      <c r="R49" s="37">
        <v>924</v>
      </c>
      <c r="S49" s="37">
        <v>924</v>
      </c>
      <c r="T49" s="37">
        <v>924</v>
      </c>
      <c r="U49" s="37">
        <v>924</v>
      </c>
      <c r="V49" s="37">
        <v>11088</v>
      </c>
    </row>
    <row r="50" spans="7:22" x14ac:dyDescent="0.25">
      <c r="G50" s="39" t="s">
        <v>54</v>
      </c>
      <c r="H50" s="39" t="s">
        <v>789</v>
      </c>
      <c r="I50" s="39" t="s">
        <v>790</v>
      </c>
      <c r="J50" s="37">
        <v>74360</v>
      </c>
      <c r="K50" s="37">
        <v>74361</v>
      </c>
      <c r="L50" s="37">
        <v>74360</v>
      </c>
      <c r="M50" s="37">
        <v>74361</v>
      </c>
      <c r="N50" s="37">
        <v>74360</v>
      </c>
      <c r="O50" s="37">
        <v>74361</v>
      </c>
      <c r="P50" s="37">
        <v>74360</v>
      </c>
      <c r="Q50" s="37">
        <v>74361</v>
      </c>
      <c r="R50" s="37">
        <v>74360</v>
      </c>
      <c r="S50" s="37">
        <v>74361</v>
      </c>
      <c r="T50" s="37">
        <v>74360</v>
      </c>
      <c r="U50" s="37">
        <v>74361</v>
      </c>
      <c r="V50" s="37">
        <v>892326</v>
      </c>
    </row>
    <row r="51" spans="7:22" x14ac:dyDescent="0.25">
      <c r="G51" s="39" t="s">
        <v>54</v>
      </c>
      <c r="H51" s="39" t="s">
        <v>793</v>
      </c>
      <c r="I51" s="39" t="s">
        <v>794</v>
      </c>
      <c r="J51" s="37">
        <v>6160</v>
      </c>
      <c r="K51" s="37">
        <v>6160</v>
      </c>
      <c r="L51" s="37">
        <v>6160</v>
      </c>
      <c r="M51" s="37">
        <v>6160</v>
      </c>
      <c r="N51" s="37">
        <v>6160</v>
      </c>
      <c r="O51" s="37">
        <v>6160</v>
      </c>
      <c r="P51" s="37">
        <v>6160</v>
      </c>
      <c r="Q51" s="37">
        <v>6160</v>
      </c>
      <c r="R51" s="37">
        <v>6160</v>
      </c>
      <c r="S51" s="37">
        <v>6160</v>
      </c>
      <c r="T51" s="37">
        <v>6160</v>
      </c>
      <c r="U51" s="37">
        <v>6160</v>
      </c>
      <c r="V51" s="37">
        <v>73920</v>
      </c>
    </row>
    <row r="52" spans="7:22" x14ac:dyDescent="0.25">
      <c r="G52" s="39" t="s">
        <v>54</v>
      </c>
      <c r="H52" s="39" t="s">
        <v>796</v>
      </c>
      <c r="I52" s="39" t="s">
        <v>797</v>
      </c>
      <c r="J52" s="37">
        <v>1709</v>
      </c>
      <c r="K52" s="37">
        <v>1630</v>
      </c>
      <c r="L52" s="37">
        <v>1951</v>
      </c>
      <c r="M52" s="37">
        <v>1869</v>
      </c>
      <c r="N52" s="37">
        <v>1787</v>
      </c>
      <c r="O52" s="37">
        <v>1869</v>
      </c>
      <c r="P52" s="37">
        <v>1869</v>
      </c>
      <c r="Q52" s="37">
        <v>1870</v>
      </c>
      <c r="R52" s="37">
        <v>1870</v>
      </c>
      <c r="S52" s="37">
        <v>1788</v>
      </c>
      <c r="T52" s="37">
        <v>1871</v>
      </c>
      <c r="U52" s="37">
        <v>1953</v>
      </c>
      <c r="V52" s="37">
        <v>22036</v>
      </c>
    </row>
    <row r="53" spans="7:22" x14ac:dyDescent="0.25">
      <c r="G53" s="39" t="s">
        <v>54</v>
      </c>
      <c r="H53" s="39" t="s">
        <v>799</v>
      </c>
      <c r="I53" s="39" t="s">
        <v>800</v>
      </c>
      <c r="J53" s="37">
        <v>45</v>
      </c>
      <c r="K53" s="37">
        <v>18</v>
      </c>
      <c r="L53" s="37">
        <v>42</v>
      </c>
      <c r="M53" s="37">
        <v>114</v>
      </c>
      <c r="N53" s="37">
        <v>96</v>
      </c>
      <c r="O53" s="37">
        <v>93</v>
      </c>
      <c r="P53" s="37">
        <v>59</v>
      </c>
      <c r="Q53" s="37">
        <v>73</v>
      </c>
      <c r="R53" s="37">
        <v>58</v>
      </c>
      <c r="S53" s="37">
        <v>66</v>
      </c>
      <c r="T53" s="37">
        <v>68</v>
      </c>
      <c r="U53" s="37">
        <v>50</v>
      </c>
      <c r="V53" s="37">
        <v>782</v>
      </c>
    </row>
    <row r="54" spans="7:22" x14ac:dyDescent="0.25">
      <c r="G54" s="39" t="s">
        <v>54</v>
      </c>
      <c r="H54" s="39" t="s">
        <v>814</v>
      </c>
      <c r="I54" s="39" t="s">
        <v>815</v>
      </c>
      <c r="J54" s="37">
        <v>162</v>
      </c>
      <c r="K54" s="37">
        <v>162</v>
      </c>
      <c r="L54" s="37">
        <v>162</v>
      </c>
      <c r="M54" s="37">
        <v>162</v>
      </c>
      <c r="N54" s="37">
        <v>162</v>
      </c>
      <c r="O54" s="37">
        <v>162</v>
      </c>
      <c r="P54" s="37">
        <v>162</v>
      </c>
      <c r="Q54" s="37">
        <v>162</v>
      </c>
      <c r="R54" s="37">
        <v>162</v>
      </c>
      <c r="S54" s="37">
        <v>162</v>
      </c>
      <c r="T54" s="37">
        <v>162</v>
      </c>
      <c r="U54" s="37">
        <v>162</v>
      </c>
      <c r="V54" s="37">
        <v>1944</v>
      </c>
    </row>
    <row r="55" spans="7:22" x14ac:dyDescent="0.25">
      <c r="G55" s="39" t="s">
        <v>54</v>
      </c>
      <c r="H55" s="39" t="s">
        <v>932</v>
      </c>
      <c r="I55" s="39" t="s">
        <v>933</v>
      </c>
      <c r="J55" s="37">
        <v>117521</v>
      </c>
      <c r="K55" s="37">
        <v>112410</v>
      </c>
      <c r="L55" s="37">
        <v>131269</v>
      </c>
      <c r="M55" s="37">
        <v>126005</v>
      </c>
      <c r="N55" s="37">
        <v>120741</v>
      </c>
      <c r="O55" s="37">
        <v>126005</v>
      </c>
      <c r="P55" s="37">
        <v>126005</v>
      </c>
      <c r="Q55" s="37">
        <v>126005</v>
      </c>
      <c r="R55" s="37">
        <v>126005</v>
      </c>
      <c r="S55" s="37">
        <v>120741</v>
      </c>
      <c r="T55" s="37">
        <v>126005</v>
      </c>
      <c r="U55" s="37">
        <v>131269</v>
      </c>
      <c r="V55" s="37">
        <v>1489981</v>
      </c>
    </row>
    <row r="56" spans="7:22" x14ac:dyDescent="0.25">
      <c r="G56" s="39" t="s">
        <v>54</v>
      </c>
      <c r="H56" s="39" t="s">
        <v>934</v>
      </c>
      <c r="I56" s="39" t="s">
        <v>935</v>
      </c>
      <c r="J56" s="37">
        <v>1229</v>
      </c>
      <c r="K56" s="37">
        <v>1229</v>
      </c>
      <c r="L56" s="37">
        <v>1229</v>
      </c>
      <c r="M56" s="37">
        <v>1229</v>
      </c>
      <c r="N56" s="37">
        <v>1229</v>
      </c>
      <c r="O56" s="37">
        <v>1229</v>
      </c>
      <c r="P56" s="37">
        <v>1229</v>
      </c>
      <c r="Q56" s="37">
        <v>1229</v>
      </c>
      <c r="R56" s="37">
        <v>1229</v>
      </c>
      <c r="S56" s="37">
        <v>1229</v>
      </c>
      <c r="T56" s="37">
        <v>1229</v>
      </c>
      <c r="U56" s="37">
        <v>1229</v>
      </c>
      <c r="V56" s="37">
        <v>14748</v>
      </c>
    </row>
    <row r="57" spans="7:22" x14ac:dyDescent="0.25">
      <c r="G57" s="39" t="s">
        <v>54</v>
      </c>
      <c r="H57" s="39" t="s">
        <v>936</v>
      </c>
      <c r="I57" s="39" t="s">
        <v>937</v>
      </c>
      <c r="J57" s="37">
        <v>3928</v>
      </c>
      <c r="K57" s="37">
        <v>3765</v>
      </c>
      <c r="L57" s="37">
        <v>4368</v>
      </c>
      <c r="M57" s="37">
        <v>4200</v>
      </c>
      <c r="N57" s="37">
        <v>4031</v>
      </c>
      <c r="O57" s="37">
        <v>4200</v>
      </c>
      <c r="P57" s="37">
        <v>4200</v>
      </c>
      <c r="Q57" s="37">
        <v>4200</v>
      </c>
      <c r="R57" s="37">
        <v>4200</v>
      </c>
      <c r="S57" s="37">
        <v>4031</v>
      </c>
      <c r="T57" s="37">
        <v>4200</v>
      </c>
      <c r="U57" s="37">
        <v>4368</v>
      </c>
      <c r="V57" s="37">
        <v>49691</v>
      </c>
    </row>
    <row r="58" spans="7:22" x14ac:dyDescent="0.25">
      <c r="G58" s="39" t="s">
        <v>54</v>
      </c>
      <c r="H58" s="39" t="s">
        <v>938</v>
      </c>
      <c r="I58" s="39" t="s">
        <v>939</v>
      </c>
      <c r="J58" s="37">
        <v>1126</v>
      </c>
      <c r="K58" s="37">
        <v>1072</v>
      </c>
      <c r="L58" s="37">
        <v>1271</v>
      </c>
      <c r="M58" s="37">
        <v>1215</v>
      </c>
      <c r="N58" s="37">
        <v>1160</v>
      </c>
      <c r="O58" s="37">
        <v>1215</v>
      </c>
      <c r="P58" s="37">
        <v>1215</v>
      </c>
      <c r="Q58" s="37">
        <v>1215</v>
      </c>
      <c r="R58" s="37">
        <v>1215</v>
      </c>
      <c r="S58" s="37">
        <v>1160</v>
      </c>
      <c r="T58" s="37">
        <v>1215</v>
      </c>
      <c r="U58" s="37">
        <v>1271</v>
      </c>
      <c r="V58" s="37">
        <v>14350</v>
      </c>
    </row>
    <row r="59" spans="7:22" x14ac:dyDescent="0.25">
      <c r="G59" s="39" t="s">
        <v>54</v>
      </c>
      <c r="H59" s="39" t="s">
        <v>940</v>
      </c>
      <c r="I59" s="39" t="s">
        <v>941</v>
      </c>
      <c r="J59" s="37">
        <v>4876</v>
      </c>
      <c r="K59" s="37">
        <v>4644</v>
      </c>
      <c r="L59" s="37">
        <v>5501</v>
      </c>
      <c r="M59" s="37">
        <v>5262</v>
      </c>
      <c r="N59" s="37">
        <v>5022</v>
      </c>
      <c r="O59" s="37">
        <v>5262</v>
      </c>
      <c r="P59" s="37">
        <v>5262</v>
      </c>
      <c r="Q59" s="37">
        <v>5262</v>
      </c>
      <c r="R59" s="37">
        <v>5262</v>
      </c>
      <c r="S59" s="37">
        <v>5022</v>
      </c>
      <c r="T59" s="37">
        <v>5262</v>
      </c>
      <c r="U59" s="37">
        <v>5501</v>
      </c>
      <c r="V59" s="37">
        <v>62138</v>
      </c>
    </row>
    <row r="60" spans="7:22" x14ac:dyDescent="0.25">
      <c r="G60" s="39" t="s">
        <v>54</v>
      </c>
      <c r="H60" s="39" t="s">
        <v>942</v>
      </c>
      <c r="I60" s="39" t="s">
        <v>943</v>
      </c>
      <c r="J60" s="37">
        <v>1466</v>
      </c>
      <c r="K60" s="37">
        <v>1466</v>
      </c>
      <c r="L60" s="37">
        <v>1465</v>
      </c>
      <c r="M60" s="37">
        <v>1466</v>
      </c>
      <c r="N60" s="37">
        <v>1466</v>
      </c>
      <c r="O60" s="37">
        <v>1465</v>
      </c>
      <c r="P60" s="37">
        <v>1466</v>
      </c>
      <c r="Q60" s="37">
        <v>1466</v>
      </c>
      <c r="R60" s="37">
        <v>1465</v>
      </c>
      <c r="S60" s="37">
        <v>1466</v>
      </c>
      <c r="T60" s="37">
        <v>1466</v>
      </c>
      <c r="U60" s="37">
        <v>1465</v>
      </c>
      <c r="V60" s="37">
        <v>17588</v>
      </c>
    </row>
    <row r="61" spans="7:22" x14ac:dyDescent="0.25">
      <c r="G61" s="39" t="s">
        <v>54</v>
      </c>
      <c r="H61" s="39" t="s">
        <v>945</v>
      </c>
      <c r="I61" s="39" t="s">
        <v>946</v>
      </c>
      <c r="J61" s="37">
        <v>33</v>
      </c>
      <c r="K61" s="37">
        <v>33</v>
      </c>
      <c r="L61" s="37">
        <v>33</v>
      </c>
      <c r="M61" s="37">
        <v>32</v>
      </c>
      <c r="N61" s="37">
        <v>33</v>
      </c>
      <c r="O61" s="37">
        <v>33</v>
      </c>
      <c r="P61" s="37">
        <v>33</v>
      </c>
      <c r="Q61" s="37">
        <v>33</v>
      </c>
      <c r="R61" s="37">
        <v>32</v>
      </c>
      <c r="S61" s="37">
        <v>33</v>
      </c>
      <c r="T61" s="37">
        <v>33</v>
      </c>
      <c r="U61" s="37">
        <v>33</v>
      </c>
      <c r="V61" s="37">
        <v>394</v>
      </c>
    </row>
    <row r="62" spans="7:22" x14ac:dyDescent="0.25">
      <c r="G62" s="39" t="s">
        <v>54</v>
      </c>
      <c r="H62" s="39" t="s">
        <v>947</v>
      </c>
      <c r="I62" s="39" t="s">
        <v>948</v>
      </c>
      <c r="J62" s="37">
        <v>42243</v>
      </c>
      <c r="K62" s="37">
        <v>42244</v>
      </c>
      <c r="L62" s="37">
        <v>42243</v>
      </c>
      <c r="M62" s="37">
        <v>42245</v>
      </c>
      <c r="N62" s="37">
        <v>42243</v>
      </c>
      <c r="O62" s="37">
        <v>42244</v>
      </c>
      <c r="P62" s="37">
        <v>42243</v>
      </c>
      <c r="Q62" s="37">
        <v>42245</v>
      </c>
      <c r="R62" s="37">
        <v>42243</v>
      </c>
      <c r="S62" s="37">
        <v>42244</v>
      </c>
      <c r="T62" s="37">
        <v>42243</v>
      </c>
      <c r="U62" s="37">
        <v>42245</v>
      </c>
      <c r="V62" s="37">
        <v>506925</v>
      </c>
    </row>
    <row r="63" spans="7:22" x14ac:dyDescent="0.25">
      <c r="G63" s="39" t="s">
        <v>54</v>
      </c>
      <c r="H63" s="39" t="s">
        <v>949</v>
      </c>
      <c r="I63" s="39" t="s">
        <v>950</v>
      </c>
      <c r="J63" s="37">
        <v>250</v>
      </c>
      <c r="K63" s="37">
        <v>250</v>
      </c>
      <c r="L63" s="37">
        <v>250</v>
      </c>
      <c r="M63" s="37">
        <v>250</v>
      </c>
      <c r="N63" s="37">
        <v>250</v>
      </c>
      <c r="O63" s="37">
        <v>250</v>
      </c>
      <c r="P63" s="37">
        <v>250</v>
      </c>
      <c r="Q63" s="37">
        <v>250</v>
      </c>
      <c r="R63" s="37">
        <v>250</v>
      </c>
      <c r="S63" s="37">
        <v>1250</v>
      </c>
      <c r="T63" s="37">
        <v>250</v>
      </c>
      <c r="U63" s="37">
        <v>250</v>
      </c>
      <c r="V63" s="37">
        <v>4000</v>
      </c>
    </row>
    <row r="64" spans="7:22" x14ac:dyDescent="0.25">
      <c r="G64" s="39" t="s">
        <v>54</v>
      </c>
      <c r="H64" s="39" t="s">
        <v>951</v>
      </c>
      <c r="I64" s="39" t="s">
        <v>952</v>
      </c>
      <c r="J64" s="37">
        <v>34363</v>
      </c>
      <c r="K64" s="37">
        <v>34362</v>
      </c>
      <c r="L64" s="37">
        <v>34363</v>
      </c>
      <c r="M64" s="37">
        <v>34362</v>
      </c>
      <c r="N64" s="37">
        <v>34363</v>
      </c>
      <c r="O64" s="37">
        <v>34362</v>
      </c>
      <c r="P64" s="37">
        <v>34363</v>
      </c>
      <c r="Q64" s="37">
        <v>34362</v>
      </c>
      <c r="R64" s="37">
        <v>34363</v>
      </c>
      <c r="S64" s="37">
        <v>34362</v>
      </c>
      <c r="T64" s="37">
        <v>34363</v>
      </c>
      <c r="U64" s="37">
        <v>34362</v>
      </c>
      <c r="V64" s="37">
        <v>412350</v>
      </c>
    </row>
    <row r="65" spans="7:22" x14ac:dyDescent="0.25">
      <c r="G65" s="39" t="s">
        <v>54</v>
      </c>
      <c r="H65" s="39" t="s">
        <v>953</v>
      </c>
      <c r="I65" s="39" t="s">
        <v>954</v>
      </c>
      <c r="J65" s="37">
        <v>38127</v>
      </c>
      <c r="K65" s="37">
        <v>36311</v>
      </c>
      <c r="L65" s="37">
        <v>43008</v>
      </c>
      <c r="M65" s="37">
        <v>41138</v>
      </c>
      <c r="N65" s="37">
        <v>39269</v>
      </c>
      <c r="O65" s="37">
        <v>41138</v>
      </c>
      <c r="P65" s="37">
        <v>41138</v>
      </c>
      <c r="Q65" s="37">
        <v>41138</v>
      </c>
      <c r="R65" s="37">
        <v>41138</v>
      </c>
      <c r="S65" s="37">
        <v>39269</v>
      </c>
      <c r="T65" s="37">
        <v>41138</v>
      </c>
      <c r="U65" s="37">
        <v>43008</v>
      </c>
      <c r="V65" s="37">
        <v>485820</v>
      </c>
    </row>
    <row r="66" spans="7:22" x14ac:dyDescent="0.25">
      <c r="G66" s="39" t="s">
        <v>54</v>
      </c>
      <c r="H66" s="39" t="s">
        <v>955</v>
      </c>
      <c r="I66" s="39" t="s">
        <v>956</v>
      </c>
      <c r="J66" s="37">
        <v>6004</v>
      </c>
      <c r="K66" s="37">
        <v>5986</v>
      </c>
      <c r="L66" s="37">
        <v>6042</v>
      </c>
      <c r="M66" s="37">
        <v>6023</v>
      </c>
      <c r="N66" s="37">
        <v>5995</v>
      </c>
      <c r="O66" s="37">
        <v>5974</v>
      </c>
      <c r="P66" s="37">
        <v>5968</v>
      </c>
      <c r="Q66" s="37">
        <v>5998</v>
      </c>
      <c r="R66" s="37">
        <v>6014</v>
      </c>
      <c r="S66" s="37">
        <v>5998</v>
      </c>
      <c r="T66" s="37">
        <v>6013</v>
      </c>
      <c r="U66" s="37">
        <v>6035</v>
      </c>
      <c r="V66" s="37">
        <v>72050</v>
      </c>
    </row>
    <row r="67" spans="7:22" x14ac:dyDescent="0.25">
      <c r="G67" s="39" t="s">
        <v>54</v>
      </c>
      <c r="H67" s="39" t="s">
        <v>957</v>
      </c>
      <c r="I67" s="39" t="s">
        <v>958</v>
      </c>
      <c r="J67" s="37">
        <v>30622</v>
      </c>
      <c r="K67" s="37">
        <v>25476</v>
      </c>
      <c r="L67" s="37">
        <v>44474</v>
      </c>
      <c r="M67" s="37">
        <v>39169</v>
      </c>
      <c r="N67" s="37">
        <v>33868</v>
      </c>
      <c r="O67" s="37">
        <v>39169</v>
      </c>
      <c r="P67" s="37">
        <v>39169</v>
      </c>
      <c r="Q67" s="37">
        <v>39169</v>
      </c>
      <c r="R67" s="37">
        <v>39169</v>
      </c>
      <c r="S67" s="37">
        <v>33868</v>
      </c>
      <c r="T67" s="37">
        <v>39169</v>
      </c>
      <c r="U67" s="37">
        <v>44473</v>
      </c>
      <c r="V67" s="37">
        <v>447795</v>
      </c>
    </row>
    <row r="68" spans="7:22" x14ac:dyDescent="0.25">
      <c r="G68" s="39" t="s">
        <v>54</v>
      </c>
      <c r="H68" s="39" t="s">
        <v>959</v>
      </c>
      <c r="I68" s="39" t="s">
        <v>960</v>
      </c>
      <c r="J68" s="37">
        <v>3670</v>
      </c>
      <c r="K68" s="37">
        <v>3494</v>
      </c>
      <c r="L68" s="37">
        <v>4144</v>
      </c>
      <c r="M68" s="37">
        <v>3963</v>
      </c>
      <c r="N68" s="37">
        <v>3783</v>
      </c>
      <c r="O68" s="37">
        <v>3963</v>
      </c>
      <c r="P68" s="37">
        <v>3964</v>
      </c>
      <c r="Q68" s="37">
        <v>3965</v>
      </c>
      <c r="R68" s="37">
        <v>3965</v>
      </c>
      <c r="S68" s="37">
        <v>3783</v>
      </c>
      <c r="T68" s="37">
        <v>3965</v>
      </c>
      <c r="U68" s="37">
        <v>4146</v>
      </c>
      <c r="V68" s="37">
        <v>46805</v>
      </c>
    </row>
    <row r="69" spans="7:22" x14ac:dyDescent="0.25">
      <c r="G69" s="39" t="s">
        <v>54</v>
      </c>
      <c r="H69" s="39" t="s">
        <v>961</v>
      </c>
      <c r="I69" s="39" t="s">
        <v>962</v>
      </c>
      <c r="J69" s="37">
        <v>68140</v>
      </c>
      <c r="K69" s="37">
        <v>65661</v>
      </c>
      <c r="L69" s="37">
        <v>75961</v>
      </c>
      <c r="M69" s="37">
        <v>71813</v>
      </c>
      <c r="N69" s="37">
        <v>68859</v>
      </c>
      <c r="O69" s="37">
        <v>71246</v>
      </c>
      <c r="P69" s="37">
        <v>71596</v>
      </c>
      <c r="Q69" s="37">
        <v>72714</v>
      </c>
      <c r="R69" s="37">
        <v>72071</v>
      </c>
      <c r="S69" s="37">
        <v>69710</v>
      </c>
      <c r="T69" s="37">
        <v>72931</v>
      </c>
      <c r="U69" s="37">
        <v>75658</v>
      </c>
      <c r="V69" s="37">
        <v>856360</v>
      </c>
    </row>
    <row r="70" spans="7:22" x14ac:dyDescent="0.25">
      <c r="G70" s="39" t="s">
        <v>54</v>
      </c>
      <c r="H70" s="39" t="s">
        <v>963</v>
      </c>
      <c r="I70" s="39" t="s">
        <v>964</v>
      </c>
      <c r="J70" s="37">
        <v>4930</v>
      </c>
      <c r="K70" s="37">
        <v>4346</v>
      </c>
      <c r="L70" s="37">
        <v>4760</v>
      </c>
      <c r="M70" s="37">
        <v>3775</v>
      </c>
      <c r="N70" s="37">
        <v>3578</v>
      </c>
      <c r="O70" s="37">
        <v>3731</v>
      </c>
      <c r="P70" s="37">
        <v>3734</v>
      </c>
      <c r="Q70" s="37">
        <v>3727</v>
      </c>
      <c r="R70" s="37">
        <v>3718</v>
      </c>
      <c r="S70" s="37">
        <v>3569</v>
      </c>
      <c r="T70" s="37">
        <v>3718</v>
      </c>
      <c r="U70" s="37">
        <v>3855</v>
      </c>
      <c r="V70" s="37">
        <v>47441</v>
      </c>
    </row>
    <row r="71" spans="7:22" x14ac:dyDescent="0.25">
      <c r="G71" s="39" t="s">
        <v>54</v>
      </c>
      <c r="H71" s="39" t="s">
        <v>965</v>
      </c>
      <c r="I71" s="39" t="s">
        <v>966</v>
      </c>
      <c r="J71" s="37">
        <v>-131836</v>
      </c>
      <c r="K71" s="37">
        <v>-124729</v>
      </c>
      <c r="L71" s="37">
        <v>-149219</v>
      </c>
      <c r="M71" s="37">
        <v>-142044</v>
      </c>
      <c r="N71" s="37">
        <v>-135733</v>
      </c>
      <c r="O71" s="37">
        <v>-140603</v>
      </c>
      <c r="P71" s="37">
        <v>-140801</v>
      </c>
      <c r="Q71" s="37">
        <v>-145301</v>
      </c>
      <c r="R71" s="37">
        <v>-146753</v>
      </c>
      <c r="S71" s="37">
        <v>-143254</v>
      </c>
      <c r="T71" s="37">
        <v>-148198</v>
      </c>
      <c r="U71" s="37">
        <v>-153829</v>
      </c>
      <c r="V71" s="37">
        <v>-1702300</v>
      </c>
    </row>
    <row r="72" spans="7:22" x14ac:dyDescent="0.25">
      <c r="G72" s="39" t="s">
        <v>651</v>
      </c>
      <c r="H72" s="39" t="s">
        <v>967</v>
      </c>
      <c r="I72" s="39" t="s">
        <v>968</v>
      </c>
      <c r="J72" s="14">
        <v>83</v>
      </c>
      <c r="K72" s="14">
        <v>83</v>
      </c>
      <c r="L72" s="14">
        <v>83</v>
      </c>
      <c r="M72" s="14">
        <v>83</v>
      </c>
      <c r="N72" s="14">
        <v>83</v>
      </c>
      <c r="O72" s="14">
        <v>83</v>
      </c>
      <c r="P72" s="14">
        <v>83</v>
      </c>
      <c r="Q72" s="14">
        <v>83</v>
      </c>
      <c r="R72" s="14">
        <v>83</v>
      </c>
      <c r="S72" s="14">
        <v>83</v>
      </c>
      <c r="T72" s="14">
        <v>83</v>
      </c>
      <c r="U72" s="14">
        <v>83</v>
      </c>
      <c r="V72" s="14">
        <v>996</v>
      </c>
    </row>
    <row r="73" spans="7:22" x14ac:dyDescent="0.25">
      <c r="G73" s="39" t="s">
        <v>54</v>
      </c>
      <c r="H73" s="39" t="s">
        <v>969</v>
      </c>
      <c r="I73" s="39" t="s">
        <v>970</v>
      </c>
      <c r="J73" s="14">
        <v>44</v>
      </c>
      <c r="K73" s="14">
        <v>44</v>
      </c>
      <c r="L73" s="14">
        <v>44</v>
      </c>
      <c r="M73" s="14">
        <v>44</v>
      </c>
      <c r="N73" s="14">
        <v>44</v>
      </c>
      <c r="O73" s="14">
        <v>44</v>
      </c>
      <c r="P73" s="14">
        <v>44</v>
      </c>
      <c r="Q73" s="14">
        <v>44</v>
      </c>
      <c r="R73" s="14">
        <v>44</v>
      </c>
      <c r="S73" s="14">
        <v>44</v>
      </c>
      <c r="T73" s="14">
        <v>44</v>
      </c>
      <c r="U73" s="14">
        <v>44</v>
      </c>
      <c r="V73" s="14">
        <v>528</v>
      </c>
    </row>
    <row r="74" spans="7:22" x14ac:dyDescent="0.25">
      <c r="G74" s="39" t="s">
        <v>54</v>
      </c>
      <c r="H74" s="39" t="s">
        <v>971</v>
      </c>
      <c r="I74" s="39" t="s">
        <v>972</v>
      </c>
      <c r="J74" s="14">
        <v>1085</v>
      </c>
      <c r="K74" s="14">
        <v>990</v>
      </c>
      <c r="L74" s="14">
        <v>894</v>
      </c>
      <c r="M74" s="14">
        <v>890</v>
      </c>
      <c r="N74" s="14">
        <v>1385</v>
      </c>
      <c r="O74" s="14">
        <v>899</v>
      </c>
      <c r="P74" s="14">
        <v>885</v>
      </c>
      <c r="Q74" s="14">
        <v>890</v>
      </c>
      <c r="R74" s="14">
        <v>894</v>
      </c>
      <c r="S74" s="14">
        <v>890</v>
      </c>
      <c r="T74" s="14">
        <v>1385</v>
      </c>
      <c r="U74" s="14">
        <v>899</v>
      </c>
      <c r="V74" s="14">
        <v>11986</v>
      </c>
    </row>
    <row r="75" spans="7:22" x14ac:dyDescent="0.25">
      <c r="G75" s="39" t="s">
        <v>54</v>
      </c>
      <c r="H75" s="39" t="s">
        <v>973</v>
      </c>
      <c r="I75" s="39" t="s">
        <v>974</v>
      </c>
      <c r="J75" s="14">
        <v>790</v>
      </c>
      <c r="K75" s="14">
        <v>800</v>
      </c>
      <c r="L75" s="14">
        <v>1000</v>
      </c>
      <c r="M75" s="14">
        <v>700</v>
      </c>
      <c r="N75" s="14">
        <v>900</v>
      </c>
      <c r="O75" s="14">
        <v>1210</v>
      </c>
      <c r="P75" s="14">
        <v>1400</v>
      </c>
      <c r="Q75" s="14">
        <v>710</v>
      </c>
      <c r="R75" s="14">
        <v>780</v>
      </c>
      <c r="S75" s="14">
        <v>600</v>
      </c>
      <c r="T75" s="14">
        <v>1740</v>
      </c>
      <c r="U75" s="14">
        <v>980</v>
      </c>
      <c r="V75" s="14">
        <v>11610</v>
      </c>
    </row>
    <row r="76" spans="7:22" x14ac:dyDescent="0.25">
      <c r="G76" s="39" t="s">
        <v>54</v>
      </c>
      <c r="H76" s="39" t="s">
        <v>975</v>
      </c>
      <c r="I76" s="39" t="s">
        <v>976</v>
      </c>
      <c r="J76" s="14">
        <v>482</v>
      </c>
      <c r="K76" s="14">
        <v>483</v>
      </c>
      <c r="L76" s="14">
        <v>532</v>
      </c>
      <c r="M76" s="14">
        <v>483</v>
      </c>
      <c r="N76" s="14">
        <v>483</v>
      </c>
      <c r="O76" s="14">
        <v>485</v>
      </c>
      <c r="P76" s="14">
        <v>732</v>
      </c>
      <c r="Q76" s="14">
        <v>485</v>
      </c>
      <c r="R76" s="14">
        <v>485</v>
      </c>
      <c r="S76" s="14">
        <v>650</v>
      </c>
      <c r="T76" s="14">
        <v>494</v>
      </c>
      <c r="U76" s="14">
        <v>526</v>
      </c>
      <c r="V76" s="14">
        <v>6320</v>
      </c>
    </row>
    <row r="77" spans="7:22" x14ac:dyDescent="0.25">
      <c r="G77" s="39" t="s">
        <v>54</v>
      </c>
      <c r="H77" s="39" t="s">
        <v>977</v>
      </c>
      <c r="I77" s="39" t="s">
        <v>978</v>
      </c>
      <c r="J77" s="14">
        <v>90</v>
      </c>
      <c r="K77" s="14">
        <v>90</v>
      </c>
      <c r="L77" s="14">
        <v>90</v>
      </c>
      <c r="M77" s="14">
        <v>90</v>
      </c>
      <c r="N77" s="14">
        <v>90</v>
      </c>
      <c r="O77" s="14">
        <v>90</v>
      </c>
      <c r="P77" s="14">
        <v>90</v>
      </c>
      <c r="Q77" s="14">
        <v>90</v>
      </c>
      <c r="R77" s="14">
        <v>90</v>
      </c>
      <c r="S77" s="14">
        <v>90</v>
      </c>
      <c r="T77" s="14">
        <v>90</v>
      </c>
      <c r="U77" s="14">
        <v>90</v>
      </c>
      <c r="V77" s="14">
        <v>1080</v>
      </c>
    </row>
    <row r="78" spans="7:22" x14ac:dyDescent="0.25">
      <c r="G78" s="39" t="s">
        <v>650</v>
      </c>
      <c r="H78" s="39" t="s">
        <v>979</v>
      </c>
      <c r="I78" s="39" t="s">
        <v>980</v>
      </c>
      <c r="J78" s="14">
        <v>6044</v>
      </c>
      <c r="K78" s="14">
        <v>6090</v>
      </c>
      <c r="L78" s="14">
        <v>6093</v>
      </c>
      <c r="M78" s="14">
        <v>6098</v>
      </c>
      <c r="N78" s="14">
        <v>6094</v>
      </c>
      <c r="O78" s="14">
        <v>6108</v>
      </c>
      <c r="P78" s="14">
        <v>6096</v>
      </c>
      <c r="Q78" s="14">
        <v>6113</v>
      </c>
      <c r="R78" s="14">
        <v>6106</v>
      </c>
      <c r="S78" s="14">
        <v>6093</v>
      </c>
      <c r="T78" s="14">
        <v>6095</v>
      </c>
      <c r="U78" s="14">
        <v>6031</v>
      </c>
      <c r="V78" s="14">
        <v>73061</v>
      </c>
    </row>
    <row r="79" spans="7:22" x14ac:dyDescent="0.25">
      <c r="G79" s="39" t="s">
        <v>54</v>
      </c>
      <c r="H79" s="39" t="s">
        <v>981</v>
      </c>
      <c r="I79" s="39" t="s">
        <v>982</v>
      </c>
      <c r="J79" s="14">
        <v>26</v>
      </c>
      <c r="K79" s="14">
        <v>26</v>
      </c>
      <c r="L79" s="14">
        <v>26</v>
      </c>
      <c r="M79" s="14">
        <v>26</v>
      </c>
      <c r="N79" s="14">
        <v>26</v>
      </c>
      <c r="O79" s="14">
        <v>29</v>
      </c>
      <c r="P79" s="14">
        <v>29</v>
      </c>
      <c r="Q79" s="14">
        <v>29</v>
      </c>
      <c r="R79" s="14">
        <v>29</v>
      </c>
      <c r="S79" s="14">
        <v>26</v>
      </c>
      <c r="T79" s="14">
        <v>26</v>
      </c>
      <c r="U79" s="14">
        <v>26</v>
      </c>
      <c r="V79" s="14">
        <v>324</v>
      </c>
    </row>
    <row r="80" spans="7:22" x14ac:dyDescent="0.25">
      <c r="G80" s="39" t="s">
        <v>54</v>
      </c>
      <c r="H80" s="39" t="s">
        <v>983</v>
      </c>
      <c r="I80" s="39" t="s">
        <v>984</v>
      </c>
      <c r="J80" s="14">
        <v>961</v>
      </c>
      <c r="K80" s="14">
        <v>961</v>
      </c>
      <c r="L80" s="14">
        <v>964</v>
      </c>
      <c r="M80" s="14">
        <v>1061</v>
      </c>
      <c r="N80" s="14">
        <v>963</v>
      </c>
      <c r="O80" s="14">
        <v>974</v>
      </c>
      <c r="P80" s="14">
        <v>963</v>
      </c>
      <c r="Q80" s="14">
        <v>1164</v>
      </c>
      <c r="R80" s="14">
        <v>969</v>
      </c>
      <c r="S80" s="14">
        <v>964</v>
      </c>
      <c r="T80" s="14">
        <v>966</v>
      </c>
      <c r="U80" s="14">
        <v>973</v>
      </c>
      <c r="V80" s="14">
        <v>11883</v>
      </c>
    </row>
    <row r="81" spans="7:22" x14ac:dyDescent="0.25">
      <c r="G81" s="39" t="s">
        <v>54</v>
      </c>
      <c r="H81" s="39" t="s">
        <v>985</v>
      </c>
      <c r="I81" s="39" t="s">
        <v>986</v>
      </c>
      <c r="J81" s="14">
        <v>1010</v>
      </c>
      <c r="K81" s="14">
        <v>1012</v>
      </c>
      <c r="L81" s="14">
        <v>1012</v>
      </c>
      <c r="M81" s="14">
        <v>1012</v>
      </c>
      <c r="N81" s="14">
        <v>1012</v>
      </c>
      <c r="O81" s="14">
        <v>1021</v>
      </c>
      <c r="P81" s="14">
        <v>1021</v>
      </c>
      <c r="Q81" s="14">
        <v>1012</v>
      </c>
      <c r="R81" s="14">
        <v>1012</v>
      </c>
      <c r="S81" s="14">
        <v>1012</v>
      </c>
      <c r="T81" s="14">
        <v>1012</v>
      </c>
      <c r="U81" s="14">
        <v>1040</v>
      </c>
      <c r="V81" s="14">
        <v>12188</v>
      </c>
    </row>
    <row r="82" spans="7:22" x14ac:dyDescent="0.25">
      <c r="G82" s="39" t="s">
        <v>54</v>
      </c>
      <c r="H82" s="39" t="s">
        <v>987</v>
      </c>
      <c r="I82" s="39" t="s">
        <v>988</v>
      </c>
      <c r="J82" s="14">
        <v>33</v>
      </c>
      <c r="K82" s="14">
        <v>33</v>
      </c>
      <c r="L82" s="14">
        <v>33</v>
      </c>
      <c r="M82" s="14">
        <v>51</v>
      </c>
      <c r="N82" s="14">
        <v>33</v>
      </c>
      <c r="O82" s="14">
        <v>50</v>
      </c>
      <c r="P82" s="14">
        <v>36</v>
      </c>
      <c r="Q82" s="14">
        <v>33</v>
      </c>
      <c r="R82" s="14">
        <v>68</v>
      </c>
      <c r="S82" s="14">
        <v>33</v>
      </c>
      <c r="T82" s="14">
        <v>33</v>
      </c>
      <c r="U82" s="14">
        <v>33</v>
      </c>
      <c r="V82" s="14">
        <v>469</v>
      </c>
    </row>
    <row r="83" spans="7:22" x14ac:dyDescent="0.25">
      <c r="G83" s="39" t="s">
        <v>649</v>
      </c>
      <c r="H83" s="39" t="s">
        <v>989</v>
      </c>
      <c r="I83" s="39" t="s">
        <v>990</v>
      </c>
      <c r="J83" s="14">
        <v>1800</v>
      </c>
      <c r="K83" s="14">
        <v>1800</v>
      </c>
      <c r="L83" s="14">
        <v>1800</v>
      </c>
      <c r="M83" s="14">
        <v>1800</v>
      </c>
      <c r="N83" s="14">
        <v>1800</v>
      </c>
      <c r="O83" s="14">
        <v>1800</v>
      </c>
      <c r="P83" s="14">
        <v>1800</v>
      </c>
      <c r="Q83" s="14">
        <v>1800</v>
      </c>
      <c r="R83" s="14">
        <v>1800</v>
      </c>
      <c r="S83" s="14">
        <v>1800</v>
      </c>
      <c r="T83" s="14">
        <v>1800</v>
      </c>
      <c r="U83" s="14">
        <v>1800</v>
      </c>
      <c r="V83" s="14">
        <v>21600</v>
      </c>
    </row>
    <row r="84" spans="7:22" x14ac:dyDescent="0.25">
      <c r="G84" s="39" t="s">
        <v>54</v>
      </c>
      <c r="H84" s="39" t="s">
        <v>991</v>
      </c>
      <c r="I84" s="39" t="s">
        <v>992</v>
      </c>
      <c r="J84" s="14">
        <v>680</v>
      </c>
      <c r="K84" s="14">
        <v>680</v>
      </c>
      <c r="L84" s="14">
        <v>680</v>
      </c>
      <c r="M84" s="14">
        <v>680</v>
      </c>
      <c r="N84" s="14">
        <v>680</v>
      </c>
      <c r="O84" s="14">
        <v>680</v>
      </c>
      <c r="P84" s="14">
        <v>680</v>
      </c>
      <c r="Q84" s="14">
        <v>680</v>
      </c>
      <c r="R84" s="14">
        <v>680</v>
      </c>
      <c r="S84" s="14">
        <v>680</v>
      </c>
      <c r="T84" s="14">
        <v>680</v>
      </c>
      <c r="U84" s="14">
        <v>680</v>
      </c>
      <c r="V84" s="14">
        <v>8160</v>
      </c>
    </row>
    <row r="85" spans="7:22" x14ac:dyDescent="0.25">
      <c r="G85" s="39" t="s">
        <v>54</v>
      </c>
      <c r="H85" s="39" t="s">
        <v>993</v>
      </c>
      <c r="I85" s="39" t="s">
        <v>994</v>
      </c>
      <c r="J85" s="14">
        <v>5415</v>
      </c>
      <c r="K85" s="14">
        <v>5560</v>
      </c>
      <c r="L85" s="14">
        <v>5850</v>
      </c>
      <c r="M85" s="14">
        <v>5464</v>
      </c>
      <c r="N85" s="14">
        <v>5560</v>
      </c>
      <c r="O85" s="14">
        <v>5800</v>
      </c>
      <c r="P85" s="14">
        <v>5459</v>
      </c>
      <c r="Q85" s="14">
        <v>5465</v>
      </c>
      <c r="R85" s="14">
        <v>5850</v>
      </c>
      <c r="S85" s="14">
        <v>5530</v>
      </c>
      <c r="T85" s="14">
        <v>5560</v>
      </c>
      <c r="U85" s="14">
        <v>5734</v>
      </c>
      <c r="V85" s="14">
        <v>67247</v>
      </c>
    </row>
    <row r="86" spans="7:22" x14ac:dyDescent="0.25">
      <c r="G86" s="39" t="s">
        <v>54</v>
      </c>
      <c r="H86" s="39" t="s">
        <v>995</v>
      </c>
      <c r="I86" s="39" t="s">
        <v>996</v>
      </c>
      <c r="J86" s="14">
        <v>430</v>
      </c>
      <c r="K86" s="14">
        <v>430</v>
      </c>
      <c r="L86" s="14">
        <v>430</v>
      </c>
      <c r="M86" s="14">
        <v>430</v>
      </c>
      <c r="N86" s="14">
        <v>430</v>
      </c>
      <c r="O86" s="14">
        <v>430</v>
      </c>
      <c r="P86" s="14">
        <v>430</v>
      </c>
      <c r="Q86" s="14">
        <v>430</v>
      </c>
      <c r="R86" s="14">
        <v>430</v>
      </c>
      <c r="S86" s="14">
        <v>430</v>
      </c>
      <c r="T86" s="14">
        <v>430</v>
      </c>
      <c r="U86" s="14">
        <v>430</v>
      </c>
      <c r="V86" s="14">
        <v>5160</v>
      </c>
    </row>
    <row r="87" spans="7:22" x14ac:dyDescent="0.25">
      <c r="G87" s="39" t="s">
        <v>54</v>
      </c>
      <c r="H87" s="39" t="s">
        <v>997</v>
      </c>
      <c r="I87" s="39" t="s">
        <v>998</v>
      </c>
      <c r="J87" s="14">
        <v>60</v>
      </c>
      <c r="K87" s="14">
        <v>60</v>
      </c>
      <c r="L87" s="14">
        <v>60</v>
      </c>
      <c r="M87" s="14">
        <v>60</v>
      </c>
      <c r="N87" s="14">
        <v>60</v>
      </c>
      <c r="O87" s="14">
        <v>60</v>
      </c>
      <c r="P87" s="14">
        <v>60</v>
      </c>
      <c r="Q87" s="14">
        <v>60</v>
      </c>
      <c r="R87" s="14">
        <v>60</v>
      </c>
      <c r="S87" s="14">
        <v>60</v>
      </c>
      <c r="T87" s="14">
        <v>60</v>
      </c>
      <c r="U87" s="14">
        <v>60</v>
      </c>
      <c r="V87" s="14">
        <v>720</v>
      </c>
    </row>
    <row r="88" spans="7:22" x14ac:dyDescent="0.25">
      <c r="G88" s="39" t="s">
        <v>54</v>
      </c>
      <c r="H88" s="39" t="s">
        <v>999</v>
      </c>
      <c r="I88" s="39" t="s">
        <v>1000</v>
      </c>
      <c r="J88" s="14">
        <v>51269</v>
      </c>
      <c r="K88" s="14">
        <v>51258</v>
      </c>
      <c r="L88" s="14">
        <v>51252</v>
      </c>
      <c r="M88" s="14">
        <v>51261</v>
      </c>
      <c r="N88" s="14">
        <v>51261</v>
      </c>
      <c r="O88" s="14">
        <v>51261</v>
      </c>
      <c r="P88" s="14">
        <v>51261</v>
      </c>
      <c r="Q88" s="14">
        <v>51261</v>
      </c>
      <c r="R88" s="14">
        <v>51261</v>
      </c>
      <c r="S88" s="14">
        <v>51261</v>
      </c>
      <c r="T88" s="14">
        <v>51252</v>
      </c>
      <c r="U88" s="14">
        <v>51252</v>
      </c>
      <c r="V88" s="14">
        <v>615110</v>
      </c>
    </row>
    <row r="89" spans="7:22" x14ac:dyDescent="0.25">
      <c r="G89" s="39" t="s">
        <v>54</v>
      </c>
      <c r="H89" s="39" t="s">
        <v>1001</v>
      </c>
      <c r="I89" s="39" t="s">
        <v>1002</v>
      </c>
      <c r="J89" s="14">
        <v>4754</v>
      </c>
      <c r="K89" s="14">
        <v>4764</v>
      </c>
      <c r="L89" s="14">
        <v>4795</v>
      </c>
      <c r="M89" s="14">
        <v>4754</v>
      </c>
      <c r="N89" s="14">
        <v>5134</v>
      </c>
      <c r="O89" s="14">
        <v>4754</v>
      </c>
      <c r="P89" s="14">
        <v>4754</v>
      </c>
      <c r="Q89" s="14">
        <v>4754</v>
      </c>
      <c r="R89" s="14">
        <v>4807</v>
      </c>
      <c r="S89" s="14">
        <v>4754</v>
      </c>
      <c r="T89" s="14">
        <v>4754</v>
      </c>
      <c r="U89" s="14">
        <v>4754</v>
      </c>
      <c r="V89" s="14">
        <v>57532</v>
      </c>
    </row>
    <row r="90" spans="7:22" x14ac:dyDescent="0.25">
      <c r="G90" s="39" t="s">
        <v>54</v>
      </c>
      <c r="H90" s="39" t="s">
        <v>1003</v>
      </c>
      <c r="I90" s="39" t="s">
        <v>1004</v>
      </c>
      <c r="J90" s="14">
        <v>9850</v>
      </c>
      <c r="K90" s="14">
        <v>9850</v>
      </c>
      <c r="L90" s="14">
        <v>10170</v>
      </c>
      <c r="M90" s="14">
        <v>9850</v>
      </c>
      <c r="N90" s="14">
        <v>9850</v>
      </c>
      <c r="O90" s="14">
        <v>10170</v>
      </c>
      <c r="P90" s="14">
        <v>9850</v>
      </c>
      <c r="Q90" s="14">
        <v>9850</v>
      </c>
      <c r="R90" s="14">
        <v>10170</v>
      </c>
      <c r="S90" s="14">
        <v>9850</v>
      </c>
      <c r="T90" s="14">
        <v>9850</v>
      </c>
      <c r="U90" s="14">
        <v>10170</v>
      </c>
      <c r="V90" s="14">
        <v>119480</v>
      </c>
    </row>
    <row r="91" spans="7:22" x14ac:dyDescent="0.25">
      <c r="G91" s="39" t="s">
        <v>54</v>
      </c>
      <c r="H91" s="39" t="s">
        <v>1005</v>
      </c>
      <c r="I91" s="39" t="s">
        <v>1006</v>
      </c>
      <c r="J91" s="14">
        <v>60</v>
      </c>
      <c r="K91" s="14">
        <v>60</v>
      </c>
      <c r="L91" s="14">
        <v>60</v>
      </c>
      <c r="M91" s="14">
        <v>60</v>
      </c>
      <c r="N91" s="14">
        <v>60</v>
      </c>
      <c r="O91" s="14">
        <v>60</v>
      </c>
      <c r="P91" s="14">
        <v>60</v>
      </c>
      <c r="Q91" s="14">
        <v>60</v>
      </c>
      <c r="R91" s="14">
        <v>60</v>
      </c>
      <c r="S91" s="14">
        <v>60</v>
      </c>
      <c r="T91" s="14">
        <v>60</v>
      </c>
      <c r="U91" s="14">
        <v>60</v>
      </c>
      <c r="V91" s="14">
        <v>720</v>
      </c>
    </row>
    <row r="92" spans="7:22" x14ac:dyDescent="0.25">
      <c r="G92" s="39" t="s">
        <v>54</v>
      </c>
      <c r="H92" s="39" t="s">
        <v>1007</v>
      </c>
      <c r="I92" s="39" t="s">
        <v>1008</v>
      </c>
      <c r="J92" s="14">
        <v>290</v>
      </c>
      <c r="K92" s="14">
        <v>290</v>
      </c>
      <c r="L92" s="14">
        <v>290</v>
      </c>
      <c r="M92" s="14">
        <v>290</v>
      </c>
      <c r="N92" s="14">
        <v>290</v>
      </c>
      <c r="O92" s="14">
        <v>290</v>
      </c>
      <c r="P92" s="14">
        <v>290</v>
      </c>
      <c r="Q92" s="14">
        <v>290</v>
      </c>
      <c r="R92" s="14">
        <v>290</v>
      </c>
      <c r="S92" s="14">
        <v>290</v>
      </c>
      <c r="T92" s="14">
        <v>290</v>
      </c>
      <c r="U92" s="14">
        <v>290</v>
      </c>
      <c r="V92" s="14">
        <v>3480</v>
      </c>
    </row>
    <row r="93" spans="7:22" x14ac:dyDescent="0.25">
      <c r="G93" s="39" t="s">
        <v>54</v>
      </c>
      <c r="H93" s="39" t="s">
        <v>1009</v>
      </c>
      <c r="I93" s="39" t="s">
        <v>1010</v>
      </c>
      <c r="J93" s="14">
        <v>6130</v>
      </c>
      <c r="K93" s="14">
        <v>6130</v>
      </c>
      <c r="L93" s="14">
        <v>6130</v>
      </c>
      <c r="M93" s="14">
        <v>6130</v>
      </c>
      <c r="N93" s="14">
        <v>6130</v>
      </c>
      <c r="O93" s="14">
        <v>6130</v>
      </c>
      <c r="P93" s="14">
        <v>6130</v>
      </c>
      <c r="Q93" s="14">
        <v>6130</v>
      </c>
      <c r="R93" s="14">
        <v>6130</v>
      </c>
      <c r="S93" s="14">
        <v>6130</v>
      </c>
      <c r="T93" s="14">
        <v>6130</v>
      </c>
      <c r="U93" s="14">
        <v>6130</v>
      </c>
      <c r="V93" s="14">
        <v>73560</v>
      </c>
    </row>
    <row r="94" spans="7:22" x14ac:dyDescent="0.25">
      <c r="G94" s="39" t="s">
        <v>54</v>
      </c>
      <c r="H94" s="39" t="s">
        <v>1011</v>
      </c>
      <c r="I94" s="39" t="s">
        <v>1012</v>
      </c>
      <c r="J94" s="14">
        <v>11413</v>
      </c>
      <c r="K94" s="14">
        <v>11413</v>
      </c>
      <c r="L94" s="14">
        <v>11413</v>
      </c>
      <c r="M94" s="14">
        <v>11530</v>
      </c>
      <c r="N94" s="14">
        <v>11413</v>
      </c>
      <c r="O94" s="14">
        <v>11413</v>
      </c>
      <c r="P94" s="14">
        <v>11662</v>
      </c>
      <c r="Q94" s="14">
        <v>11413</v>
      </c>
      <c r="R94" s="14">
        <v>11413</v>
      </c>
      <c r="S94" s="14">
        <v>11545</v>
      </c>
      <c r="T94" s="14">
        <v>11626</v>
      </c>
      <c r="U94" s="14">
        <v>11413</v>
      </c>
      <c r="V94" s="14">
        <v>137667</v>
      </c>
    </row>
    <row r="95" spans="7:22" x14ac:dyDescent="0.25">
      <c r="G95" s="39" t="s">
        <v>54</v>
      </c>
      <c r="H95" s="39" t="s">
        <v>1013</v>
      </c>
      <c r="I95" s="39" t="s">
        <v>1014</v>
      </c>
      <c r="J95" s="14">
        <v>12137</v>
      </c>
      <c r="K95" s="14">
        <v>12137</v>
      </c>
      <c r="L95" s="14">
        <v>13485</v>
      </c>
      <c r="M95" s="14">
        <v>12137</v>
      </c>
      <c r="N95" s="14">
        <v>12137</v>
      </c>
      <c r="O95" s="14">
        <v>13485</v>
      </c>
      <c r="P95" s="14">
        <v>12137</v>
      </c>
      <c r="Q95" s="14">
        <v>12137</v>
      </c>
      <c r="R95" s="14">
        <v>13485</v>
      </c>
      <c r="S95" s="14">
        <v>12137</v>
      </c>
      <c r="T95" s="14">
        <v>12137</v>
      </c>
      <c r="U95" s="14">
        <v>13483</v>
      </c>
      <c r="V95" s="14">
        <v>151034</v>
      </c>
    </row>
    <row r="96" spans="7:22" x14ac:dyDescent="0.25">
      <c r="G96" s="39" t="s">
        <v>54</v>
      </c>
      <c r="H96" s="39" t="s">
        <v>1015</v>
      </c>
      <c r="I96" s="39" t="s">
        <v>1016</v>
      </c>
      <c r="J96" s="14">
        <v>11259</v>
      </c>
      <c r="K96" s="14">
        <v>11160</v>
      </c>
      <c r="L96" s="14">
        <v>11266</v>
      </c>
      <c r="M96" s="14">
        <v>11122</v>
      </c>
      <c r="N96" s="14">
        <v>11122</v>
      </c>
      <c r="O96" s="14">
        <v>11228</v>
      </c>
      <c r="P96" s="14">
        <v>11122</v>
      </c>
      <c r="Q96" s="14">
        <v>11122</v>
      </c>
      <c r="R96" s="14">
        <v>11228</v>
      </c>
      <c r="S96" s="14">
        <v>11122</v>
      </c>
      <c r="T96" s="14">
        <v>11160</v>
      </c>
      <c r="U96" s="14">
        <v>11266</v>
      </c>
      <c r="V96" s="14">
        <v>134177</v>
      </c>
    </row>
    <row r="97" spans="7:22" x14ac:dyDescent="0.25">
      <c r="G97" s="39" t="s">
        <v>54</v>
      </c>
      <c r="H97" s="39" t="s">
        <v>1017</v>
      </c>
      <c r="I97" s="39" t="s">
        <v>1018</v>
      </c>
      <c r="J97" s="14">
        <v>4542</v>
      </c>
      <c r="K97" s="14">
        <v>4514</v>
      </c>
      <c r="L97" s="14">
        <v>4514</v>
      </c>
      <c r="M97" s="14">
        <v>4571</v>
      </c>
      <c r="N97" s="14">
        <v>4571</v>
      </c>
      <c r="O97" s="14">
        <v>4742</v>
      </c>
      <c r="P97" s="14">
        <v>4742</v>
      </c>
      <c r="Q97" s="14">
        <v>4742</v>
      </c>
      <c r="R97" s="14">
        <v>4799</v>
      </c>
      <c r="S97" s="14">
        <v>4799</v>
      </c>
      <c r="T97" s="14">
        <v>4799</v>
      </c>
      <c r="U97" s="14">
        <v>4856</v>
      </c>
      <c r="V97" s="14">
        <v>56191</v>
      </c>
    </row>
    <row r="98" spans="7:22" x14ac:dyDescent="0.25">
      <c r="G98" s="39" t="s">
        <v>54</v>
      </c>
      <c r="H98" s="39" t="s">
        <v>1019</v>
      </c>
      <c r="I98" s="39" t="s">
        <v>1020</v>
      </c>
      <c r="J98" s="14">
        <v>3645</v>
      </c>
      <c r="K98" s="14">
        <v>3644</v>
      </c>
      <c r="L98" s="14">
        <v>3644</v>
      </c>
      <c r="M98" s="14">
        <v>3649</v>
      </c>
      <c r="N98" s="14">
        <v>3644</v>
      </c>
      <c r="O98" s="14">
        <v>3658</v>
      </c>
      <c r="P98" s="14">
        <v>3644</v>
      </c>
      <c r="Q98" s="14">
        <v>3644</v>
      </c>
      <c r="R98" s="14">
        <v>3666</v>
      </c>
      <c r="S98" s="14">
        <v>3644</v>
      </c>
      <c r="T98" s="14">
        <v>3645</v>
      </c>
      <c r="U98" s="14">
        <v>3666</v>
      </c>
      <c r="V98" s="14">
        <v>43793</v>
      </c>
    </row>
    <row r="99" spans="7:22" x14ac:dyDescent="0.25">
      <c r="G99" s="39" t="s">
        <v>54</v>
      </c>
      <c r="H99" s="39" t="s">
        <v>1021</v>
      </c>
      <c r="I99" s="39" t="s">
        <v>1022</v>
      </c>
      <c r="J99" s="14">
        <v>3835</v>
      </c>
      <c r="K99" s="14">
        <v>3845</v>
      </c>
      <c r="L99" s="14">
        <v>3849</v>
      </c>
      <c r="M99" s="14">
        <v>3849</v>
      </c>
      <c r="N99" s="14">
        <v>3838</v>
      </c>
      <c r="O99" s="14">
        <v>3835</v>
      </c>
      <c r="P99" s="14">
        <v>3835</v>
      </c>
      <c r="Q99" s="14">
        <v>3835</v>
      </c>
      <c r="R99" s="14">
        <v>3906</v>
      </c>
      <c r="S99" s="14">
        <v>3906</v>
      </c>
      <c r="T99" s="14">
        <v>3906</v>
      </c>
      <c r="U99" s="14">
        <v>3835</v>
      </c>
      <c r="V99" s="14">
        <v>46274</v>
      </c>
    </row>
    <row r="100" spans="7:22" x14ac:dyDescent="0.25">
      <c r="G100" s="39" t="s">
        <v>54</v>
      </c>
      <c r="H100" s="39" t="s">
        <v>1023</v>
      </c>
      <c r="I100" s="39" t="s">
        <v>1024</v>
      </c>
      <c r="J100" s="14">
        <v>700</v>
      </c>
      <c r="K100" s="14">
        <v>700</v>
      </c>
      <c r="L100" s="14">
        <v>1000</v>
      </c>
      <c r="M100" s="14">
        <v>800</v>
      </c>
      <c r="N100" s="14">
        <v>700</v>
      </c>
      <c r="O100" s="14">
        <v>900</v>
      </c>
      <c r="P100" s="14">
        <v>900</v>
      </c>
      <c r="Q100" s="14">
        <v>900</v>
      </c>
      <c r="R100" s="14">
        <v>700</v>
      </c>
      <c r="S100" s="14">
        <v>600</v>
      </c>
      <c r="T100" s="14">
        <v>600</v>
      </c>
      <c r="U100" s="14">
        <v>700</v>
      </c>
      <c r="V100" s="14">
        <v>9200</v>
      </c>
    </row>
    <row r="101" spans="7:22" x14ac:dyDescent="0.25">
      <c r="G101" s="39" t="s">
        <v>54</v>
      </c>
      <c r="H101" s="39" t="s">
        <v>1025</v>
      </c>
      <c r="I101" s="39" t="s">
        <v>1026</v>
      </c>
      <c r="J101" s="14">
        <v>2546</v>
      </c>
      <c r="K101" s="14">
        <v>2346</v>
      </c>
      <c r="L101" s="14">
        <v>2178</v>
      </c>
      <c r="M101" s="14">
        <v>2505</v>
      </c>
      <c r="N101" s="14">
        <v>2220</v>
      </c>
      <c r="O101" s="14">
        <v>2871</v>
      </c>
      <c r="P101" s="14">
        <v>2304</v>
      </c>
      <c r="Q101" s="14">
        <v>2914</v>
      </c>
      <c r="R101" s="14">
        <v>2327</v>
      </c>
      <c r="S101" s="14">
        <v>2588</v>
      </c>
      <c r="T101" s="14">
        <v>2326</v>
      </c>
      <c r="U101" s="14">
        <v>2226</v>
      </c>
      <c r="V101" s="14">
        <v>29351</v>
      </c>
    </row>
    <row r="102" spans="7:22" x14ac:dyDescent="0.25">
      <c r="G102" s="39" t="s">
        <v>54</v>
      </c>
      <c r="H102" s="39" t="s">
        <v>1027</v>
      </c>
      <c r="I102" s="39" t="s">
        <v>1028</v>
      </c>
      <c r="J102" s="14">
        <v>374</v>
      </c>
      <c r="K102" s="14">
        <v>374</v>
      </c>
      <c r="L102" s="14">
        <v>374</v>
      </c>
      <c r="M102" s="14">
        <v>374</v>
      </c>
      <c r="N102" s="14">
        <v>374</v>
      </c>
      <c r="O102" s="14">
        <v>374</v>
      </c>
      <c r="P102" s="14">
        <v>374</v>
      </c>
      <c r="Q102" s="14">
        <v>374</v>
      </c>
      <c r="R102" s="14">
        <v>374</v>
      </c>
      <c r="S102" s="14">
        <v>374</v>
      </c>
      <c r="T102" s="14">
        <v>374</v>
      </c>
      <c r="U102" s="14">
        <v>374</v>
      </c>
      <c r="V102" s="14">
        <v>4488</v>
      </c>
    </row>
    <row r="103" spans="7:22" x14ac:dyDescent="0.25">
      <c r="G103" s="39" t="s">
        <v>54</v>
      </c>
      <c r="H103" s="39" t="s">
        <v>1029</v>
      </c>
      <c r="I103" s="39" t="s">
        <v>1030</v>
      </c>
      <c r="J103" s="14">
        <v>274</v>
      </c>
      <c r="K103" s="14">
        <v>274</v>
      </c>
      <c r="L103" s="14">
        <v>274</v>
      </c>
      <c r="M103" s="14">
        <v>274</v>
      </c>
      <c r="N103" s="14">
        <v>274</v>
      </c>
      <c r="O103" s="14">
        <v>274</v>
      </c>
      <c r="P103" s="14">
        <v>274</v>
      </c>
      <c r="Q103" s="14">
        <v>274</v>
      </c>
      <c r="R103" s="14">
        <v>274</v>
      </c>
      <c r="S103" s="14">
        <v>274</v>
      </c>
      <c r="T103" s="14">
        <v>274</v>
      </c>
      <c r="U103" s="14">
        <v>274</v>
      </c>
      <c r="V103" s="14">
        <v>3288</v>
      </c>
    </row>
    <row r="104" spans="7:22" x14ac:dyDescent="0.25">
      <c r="G104" s="39" t="s">
        <v>54</v>
      </c>
      <c r="H104" s="39" t="s">
        <v>1031</v>
      </c>
      <c r="I104" s="39" t="s">
        <v>1032</v>
      </c>
      <c r="J104" s="14">
        <v>33378</v>
      </c>
      <c r="K104" s="14">
        <v>33442</v>
      </c>
      <c r="L104" s="14">
        <v>33419</v>
      </c>
      <c r="M104" s="14">
        <v>33454</v>
      </c>
      <c r="N104" s="14">
        <v>33423</v>
      </c>
      <c r="O104" s="14">
        <v>33400</v>
      </c>
      <c r="P104" s="14">
        <v>33411</v>
      </c>
      <c r="Q104" s="14">
        <v>33421</v>
      </c>
      <c r="R104" s="14">
        <v>33397</v>
      </c>
      <c r="S104" s="14">
        <v>33454</v>
      </c>
      <c r="T104" s="14">
        <v>33396</v>
      </c>
      <c r="U104" s="14">
        <v>33362</v>
      </c>
      <c r="V104" s="14">
        <v>400957</v>
      </c>
    </row>
    <row r="105" spans="7:22" x14ac:dyDescent="0.25">
      <c r="G105" s="39" t="s">
        <v>54</v>
      </c>
      <c r="H105" s="39" t="s">
        <v>1033</v>
      </c>
      <c r="I105" s="39" t="s">
        <v>1034</v>
      </c>
      <c r="J105" s="14">
        <v>560</v>
      </c>
      <c r="K105" s="14">
        <v>606</v>
      </c>
      <c r="L105" s="14">
        <v>560</v>
      </c>
      <c r="M105" s="14">
        <v>606</v>
      </c>
      <c r="N105" s="14">
        <v>560</v>
      </c>
      <c r="O105" s="14">
        <v>560</v>
      </c>
      <c r="P105" s="14">
        <v>560</v>
      </c>
      <c r="Q105" s="14">
        <v>560</v>
      </c>
      <c r="R105" s="14">
        <v>560</v>
      </c>
      <c r="S105" s="14">
        <v>560</v>
      </c>
      <c r="T105" s="14">
        <v>560</v>
      </c>
      <c r="U105" s="14">
        <v>560</v>
      </c>
      <c r="V105" s="14">
        <v>6812</v>
      </c>
    </row>
    <row r="106" spans="7:22" x14ac:dyDescent="0.25">
      <c r="G106" s="39" t="s">
        <v>648</v>
      </c>
      <c r="H106" s="39" t="s">
        <v>1035</v>
      </c>
      <c r="I106" s="39" t="s">
        <v>1036</v>
      </c>
      <c r="J106" s="14">
        <v>35030</v>
      </c>
      <c r="K106" s="14">
        <v>35030</v>
      </c>
      <c r="L106" s="14">
        <v>34730</v>
      </c>
      <c r="M106" s="14">
        <v>35030</v>
      </c>
      <c r="N106" s="14">
        <v>33230</v>
      </c>
      <c r="O106" s="14">
        <v>35100</v>
      </c>
      <c r="P106" s="14">
        <v>35030</v>
      </c>
      <c r="Q106" s="14">
        <v>36030</v>
      </c>
      <c r="R106" s="14">
        <v>35130</v>
      </c>
      <c r="S106" s="14">
        <v>34630</v>
      </c>
      <c r="T106" s="14">
        <v>34360</v>
      </c>
      <c r="U106" s="14">
        <v>35030</v>
      </c>
      <c r="V106" s="14">
        <v>418360</v>
      </c>
    </row>
    <row r="107" spans="7:22" x14ac:dyDescent="0.25">
      <c r="G107" s="39" t="s">
        <v>54</v>
      </c>
      <c r="H107" s="39" t="s">
        <v>1037</v>
      </c>
      <c r="I107" s="39" t="s">
        <v>1038</v>
      </c>
      <c r="J107" s="14">
        <v>25810</v>
      </c>
      <c r="K107" s="14">
        <v>25980</v>
      </c>
      <c r="L107" s="14">
        <v>25875</v>
      </c>
      <c r="M107" s="14">
        <v>25950</v>
      </c>
      <c r="N107" s="14">
        <v>26000</v>
      </c>
      <c r="O107" s="14">
        <v>26950</v>
      </c>
      <c r="P107" s="14">
        <v>25890</v>
      </c>
      <c r="Q107" s="14">
        <v>25880</v>
      </c>
      <c r="R107" s="14">
        <v>25930</v>
      </c>
      <c r="S107" s="14">
        <v>25880</v>
      </c>
      <c r="T107" s="14">
        <v>25980</v>
      </c>
      <c r="U107" s="14">
        <v>26050</v>
      </c>
      <c r="V107" s="14">
        <v>312175</v>
      </c>
    </row>
    <row r="108" spans="7:22" x14ac:dyDescent="0.25">
      <c r="G108" s="39" t="s">
        <v>54</v>
      </c>
      <c r="H108" s="39" t="s">
        <v>1039</v>
      </c>
      <c r="I108" s="39" t="s">
        <v>1040</v>
      </c>
      <c r="J108" s="14">
        <v>5990</v>
      </c>
      <c r="K108" s="14">
        <v>5889</v>
      </c>
      <c r="L108" s="14">
        <v>6091</v>
      </c>
      <c r="M108" s="14">
        <v>5889</v>
      </c>
      <c r="N108" s="14">
        <v>5889</v>
      </c>
      <c r="O108" s="14">
        <v>5891</v>
      </c>
      <c r="P108" s="14">
        <v>5990</v>
      </c>
      <c r="Q108" s="14">
        <v>5891</v>
      </c>
      <c r="R108" s="14">
        <v>5889</v>
      </c>
      <c r="S108" s="14">
        <v>5890</v>
      </c>
      <c r="T108" s="14">
        <v>5991</v>
      </c>
      <c r="U108" s="14">
        <v>5891</v>
      </c>
      <c r="V108" s="14">
        <v>71181</v>
      </c>
    </row>
    <row r="109" spans="7:22" x14ac:dyDescent="0.25">
      <c r="G109" s="39" t="s">
        <v>54</v>
      </c>
      <c r="H109" s="39" t="s">
        <v>1041</v>
      </c>
      <c r="I109" s="39" t="s">
        <v>1042</v>
      </c>
      <c r="J109" s="14">
        <v>33042</v>
      </c>
      <c r="K109" s="14">
        <v>32942</v>
      </c>
      <c r="L109" s="14">
        <v>33072</v>
      </c>
      <c r="M109" s="14">
        <v>32942</v>
      </c>
      <c r="N109" s="14">
        <v>32942</v>
      </c>
      <c r="O109" s="14">
        <v>32942</v>
      </c>
      <c r="P109" s="14">
        <v>32942</v>
      </c>
      <c r="Q109" s="14">
        <v>32962</v>
      </c>
      <c r="R109" s="14">
        <v>32942</v>
      </c>
      <c r="S109" s="14">
        <v>32952</v>
      </c>
      <c r="T109" s="14">
        <v>32962</v>
      </c>
      <c r="U109" s="14">
        <v>32962</v>
      </c>
      <c r="V109" s="14">
        <v>395604</v>
      </c>
    </row>
    <row r="110" spans="7:22" x14ac:dyDescent="0.25">
      <c r="G110" s="39" t="s">
        <v>54</v>
      </c>
      <c r="H110" s="39" t="s">
        <v>1043</v>
      </c>
      <c r="I110" s="39" t="s">
        <v>1044</v>
      </c>
      <c r="J110" s="14">
        <v>2462</v>
      </c>
      <c r="K110" s="14">
        <v>2126</v>
      </c>
      <c r="L110" s="14">
        <v>2246</v>
      </c>
      <c r="M110" s="14">
        <v>2212</v>
      </c>
      <c r="N110" s="14">
        <v>2212</v>
      </c>
      <c r="O110" s="14">
        <v>2214</v>
      </c>
      <c r="P110" s="14">
        <v>2262</v>
      </c>
      <c r="Q110" s="14">
        <v>2264</v>
      </c>
      <c r="R110" s="14">
        <v>2262</v>
      </c>
      <c r="S110" s="14">
        <v>2319</v>
      </c>
      <c r="T110" s="14">
        <v>2347</v>
      </c>
      <c r="U110" s="14">
        <v>2347</v>
      </c>
      <c r="V110" s="14">
        <v>27273</v>
      </c>
    </row>
    <row r="111" spans="7:22" x14ac:dyDescent="0.25">
      <c r="G111" s="39" t="s">
        <v>54</v>
      </c>
      <c r="H111" s="39" t="s">
        <v>1045</v>
      </c>
      <c r="I111" s="39" t="s">
        <v>1046</v>
      </c>
      <c r="J111" s="14">
        <v>1400</v>
      </c>
      <c r="K111" s="14">
        <v>1400</v>
      </c>
      <c r="L111" s="14">
        <v>1400</v>
      </c>
      <c r="M111" s="14">
        <v>1400</v>
      </c>
      <c r="N111" s="14">
        <v>1400</v>
      </c>
      <c r="O111" s="14">
        <v>1400</v>
      </c>
      <c r="P111" s="14">
        <v>1400</v>
      </c>
      <c r="Q111" s="14">
        <v>1400</v>
      </c>
      <c r="R111" s="14">
        <v>1400</v>
      </c>
      <c r="S111" s="14">
        <v>1400</v>
      </c>
      <c r="T111" s="14">
        <v>1400</v>
      </c>
      <c r="U111" s="14">
        <v>1400</v>
      </c>
      <c r="V111" s="14">
        <v>16800</v>
      </c>
    </row>
    <row r="112" spans="7:22" x14ac:dyDescent="0.25">
      <c r="G112" s="39" t="s">
        <v>54</v>
      </c>
      <c r="H112" s="39" t="s">
        <v>1047</v>
      </c>
      <c r="I112" s="39" t="s">
        <v>1048</v>
      </c>
      <c r="J112" s="14">
        <v>90</v>
      </c>
      <c r="K112" s="14">
        <v>97</v>
      </c>
      <c r="L112" s="14">
        <v>68</v>
      </c>
      <c r="M112" s="14">
        <v>47</v>
      </c>
      <c r="N112" s="14">
        <v>47</v>
      </c>
      <c r="O112" s="14">
        <v>47</v>
      </c>
      <c r="P112" s="14">
        <v>47</v>
      </c>
      <c r="Q112" s="14">
        <v>26</v>
      </c>
      <c r="R112" s="14">
        <v>26</v>
      </c>
      <c r="S112" s="14">
        <v>43</v>
      </c>
      <c r="T112" s="14">
        <v>29</v>
      </c>
      <c r="U112" s="14">
        <v>26</v>
      </c>
      <c r="V112" s="14">
        <v>593</v>
      </c>
    </row>
    <row r="113" spans="7:22" x14ac:dyDescent="0.25">
      <c r="G113" s="39" t="s">
        <v>54</v>
      </c>
      <c r="H113" s="39" t="s">
        <v>1049</v>
      </c>
      <c r="I113" s="39" t="s">
        <v>1050</v>
      </c>
      <c r="J113" s="14">
        <v>14570</v>
      </c>
      <c r="K113" s="14">
        <v>14570</v>
      </c>
      <c r="L113" s="14">
        <v>14570</v>
      </c>
      <c r="M113" s="14">
        <v>14570</v>
      </c>
      <c r="N113" s="14">
        <v>14570</v>
      </c>
      <c r="O113" s="14">
        <v>14570</v>
      </c>
      <c r="P113" s="14">
        <v>14570</v>
      </c>
      <c r="Q113" s="14">
        <v>14570</v>
      </c>
      <c r="R113" s="14">
        <v>14570</v>
      </c>
      <c r="S113" s="14">
        <v>14570</v>
      </c>
      <c r="T113" s="14">
        <v>14570</v>
      </c>
      <c r="U113" s="14">
        <v>14570</v>
      </c>
      <c r="V113" s="14">
        <v>174840</v>
      </c>
    </row>
    <row r="114" spans="7:22" x14ac:dyDescent="0.25">
      <c r="G114" s="39" t="s">
        <v>54</v>
      </c>
      <c r="H114" s="39" t="s">
        <v>1051</v>
      </c>
      <c r="I114" s="39" t="s">
        <v>1052</v>
      </c>
      <c r="J114" s="14">
        <v>9636</v>
      </c>
      <c r="K114" s="14">
        <v>9636</v>
      </c>
      <c r="L114" s="14">
        <v>9656</v>
      </c>
      <c r="M114" s="14">
        <v>9656</v>
      </c>
      <c r="N114" s="14">
        <v>9689</v>
      </c>
      <c r="O114" s="14">
        <v>9679</v>
      </c>
      <c r="P114" s="14">
        <v>9679</v>
      </c>
      <c r="Q114" s="14">
        <v>9636</v>
      </c>
      <c r="R114" s="14">
        <v>9636</v>
      </c>
      <c r="S114" s="14">
        <v>9636</v>
      </c>
      <c r="T114" s="14">
        <v>9636</v>
      </c>
      <c r="U114" s="14">
        <v>9636</v>
      </c>
      <c r="V114" s="14">
        <v>115811</v>
      </c>
    </row>
    <row r="115" spans="7:22" x14ac:dyDescent="0.25">
      <c r="G115" s="39" t="s">
        <v>54</v>
      </c>
      <c r="H115" s="39" t="s">
        <v>1053</v>
      </c>
      <c r="I115" s="39" t="s">
        <v>1054</v>
      </c>
      <c r="J115" s="14">
        <v>5</v>
      </c>
      <c r="K115" s="14">
        <v>5</v>
      </c>
      <c r="L115" s="14">
        <v>5</v>
      </c>
      <c r="M115" s="14">
        <v>5</v>
      </c>
      <c r="N115" s="14">
        <v>5</v>
      </c>
      <c r="O115" s="14">
        <v>5</v>
      </c>
      <c r="P115" s="14">
        <v>5</v>
      </c>
      <c r="Q115" s="14">
        <v>5</v>
      </c>
      <c r="R115" s="14">
        <v>5</v>
      </c>
      <c r="S115" s="14">
        <v>5</v>
      </c>
      <c r="T115" s="14">
        <v>5</v>
      </c>
      <c r="U115" s="14">
        <v>5</v>
      </c>
      <c r="V115" s="14">
        <v>60</v>
      </c>
    </row>
    <row r="116" spans="7:22" x14ac:dyDescent="0.25">
      <c r="G116" s="39" t="s">
        <v>54</v>
      </c>
      <c r="H116" s="39" t="s">
        <v>1055</v>
      </c>
      <c r="I116" s="39" t="s">
        <v>1056</v>
      </c>
      <c r="J116" s="14">
        <v>-18330</v>
      </c>
      <c r="K116" s="14">
        <v>-18330</v>
      </c>
      <c r="L116" s="14">
        <v>-18330</v>
      </c>
      <c r="M116" s="14">
        <v>-18330</v>
      </c>
      <c r="N116" s="14">
        <v>-18330</v>
      </c>
      <c r="O116" s="14">
        <v>-18330</v>
      </c>
      <c r="P116" s="14">
        <v>-18330</v>
      </c>
      <c r="Q116" s="14">
        <v>-18330</v>
      </c>
      <c r="R116" s="14">
        <v>-18330</v>
      </c>
      <c r="S116" s="14">
        <v>-18330</v>
      </c>
      <c r="T116" s="14">
        <v>-18330</v>
      </c>
      <c r="U116" s="14">
        <v>-18330</v>
      </c>
      <c r="V116" s="14">
        <v>-219960</v>
      </c>
    </row>
    <row r="117" spans="7:22" x14ac:dyDescent="0.25">
      <c r="G117" s="39" t="s">
        <v>54</v>
      </c>
      <c r="H117" s="39" t="s">
        <v>1057</v>
      </c>
      <c r="I117" s="39" t="s">
        <v>1058</v>
      </c>
      <c r="J117" s="14">
        <v>-21670</v>
      </c>
      <c r="K117" s="14">
        <v>-21670</v>
      </c>
      <c r="L117" s="14">
        <v>-21670</v>
      </c>
      <c r="M117" s="14">
        <v>-21670</v>
      </c>
      <c r="N117" s="14">
        <v>-21670</v>
      </c>
      <c r="O117" s="14">
        <v>-21670</v>
      </c>
      <c r="P117" s="14">
        <v>-21670</v>
      </c>
      <c r="Q117" s="14">
        <v>-21670</v>
      </c>
      <c r="R117" s="14">
        <v>-21670</v>
      </c>
      <c r="S117" s="14">
        <v>-21670</v>
      </c>
      <c r="T117" s="14">
        <v>-21670</v>
      </c>
      <c r="U117" s="14">
        <v>-21670</v>
      </c>
      <c r="V117" s="14">
        <v>-260040</v>
      </c>
    </row>
    <row r="118" spans="7:22" x14ac:dyDescent="0.25">
      <c r="G118" s="39" t="s">
        <v>646</v>
      </c>
      <c r="H118" s="39" t="s">
        <v>1059</v>
      </c>
      <c r="I118" s="39" t="s">
        <v>1060</v>
      </c>
      <c r="J118" s="14">
        <v>2785</v>
      </c>
      <c r="K118" s="14">
        <v>2785</v>
      </c>
      <c r="L118" s="14">
        <v>2785</v>
      </c>
      <c r="M118" s="14">
        <v>2785</v>
      </c>
      <c r="N118" s="14">
        <v>2785</v>
      </c>
      <c r="O118" s="14">
        <v>2785</v>
      </c>
      <c r="P118" s="14">
        <v>2785</v>
      </c>
      <c r="Q118" s="14">
        <v>2785</v>
      </c>
      <c r="R118" s="14">
        <v>2785</v>
      </c>
      <c r="S118" s="14">
        <v>2785</v>
      </c>
      <c r="T118" s="14">
        <v>2785</v>
      </c>
      <c r="U118" s="14">
        <v>2785</v>
      </c>
      <c r="V118" s="14">
        <v>33420</v>
      </c>
    </row>
    <row r="119" spans="7:22" x14ac:dyDescent="0.25">
      <c r="G119" s="39" t="s">
        <v>54</v>
      </c>
      <c r="H119" s="39" t="s">
        <v>1061</v>
      </c>
      <c r="I119" s="39" t="s">
        <v>1062</v>
      </c>
      <c r="J119" s="14">
        <v>480</v>
      </c>
      <c r="K119" s="14">
        <v>480</v>
      </c>
      <c r="L119" s="14">
        <v>480</v>
      </c>
      <c r="M119" s="14">
        <v>480</v>
      </c>
      <c r="N119" s="14">
        <v>480</v>
      </c>
      <c r="O119" s="14">
        <v>480</v>
      </c>
      <c r="P119" s="14">
        <v>480</v>
      </c>
      <c r="Q119" s="14">
        <v>480</v>
      </c>
      <c r="R119" s="14">
        <v>480</v>
      </c>
      <c r="S119" s="14">
        <v>480</v>
      </c>
      <c r="T119" s="14">
        <v>480</v>
      </c>
      <c r="U119" s="14">
        <v>480</v>
      </c>
      <c r="V119" s="14">
        <v>5760</v>
      </c>
    </row>
    <row r="120" spans="7:22" x14ac:dyDescent="0.25">
      <c r="G120" s="39" t="s">
        <v>54</v>
      </c>
      <c r="H120" s="39" t="s">
        <v>1063</v>
      </c>
      <c r="I120" s="39" t="s">
        <v>1064</v>
      </c>
      <c r="J120" s="14">
        <v>18977</v>
      </c>
      <c r="K120" s="14">
        <v>18977</v>
      </c>
      <c r="L120" s="14">
        <v>18977</v>
      </c>
      <c r="M120" s="14">
        <v>18977</v>
      </c>
      <c r="N120" s="14">
        <v>18977</v>
      </c>
      <c r="O120" s="14">
        <v>18977</v>
      </c>
      <c r="P120" s="14">
        <v>18977</v>
      </c>
      <c r="Q120" s="14">
        <v>18977</v>
      </c>
      <c r="R120" s="14">
        <v>18977</v>
      </c>
      <c r="S120" s="14">
        <v>18977</v>
      </c>
      <c r="T120" s="14">
        <v>18977</v>
      </c>
      <c r="U120" s="14">
        <v>18977</v>
      </c>
      <c r="V120" s="14">
        <v>227724</v>
      </c>
    </row>
    <row r="121" spans="7:22" x14ac:dyDescent="0.25">
      <c r="G121" s="39" t="s">
        <v>54</v>
      </c>
      <c r="H121" s="39" t="s">
        <v>1065</v>
      </c>
      <c r="I121" s="39" t="s">
        <v>1066</v>
      </c>
      <c r="J121" s="14">
        <v>5497</v>
      </c>
      <c r="K121" s="14">
        <v>5497</v>
      </c>
      <c r="L121" s="14">
        <v>5497</v>
      </c>
      <c r="M121" s="14">
        <v>5497</v>
      </c>
      <c r="N121" s="14">
        <v>5497</v>
      </c>
      <c r="O121" s="14">
        <v>5497</v>
      </c>
      <c r="P121" s="14">
        <v>5497</v>
      </c>
      <c r="Q121" s="14">
        <v>5497</v>
      </c>
      <c r="R121" s="14">
        <v>5497</v>
      </c>
      <c r="S121" s="14">
        <v>5497</v>
      </c>
      <c r="T121" s="14">
        <v>5497</v>
      </c>
      <c r="U121" s="14">
        <v>5497</v>
      </c>
      <c r="V121" s="14">
        <v>65964</v>
      </c>
    </row>
    <row r="122" spans="7:22" x14ac:dyDescent="0.25">
      <c r="G122" s="39" t="s">
        <v>54</v>
      </c>
      <c r="H122" s="39" t="s">
        <v>1067</v>
      </c>
      <c r="I122" s="39" t="s">
        <v>1068</v>
      </c>
      <c r="J122" s="14">
        <v>38812</v>
      </c>
      <c r="K122" s="14">
        <v>38812</v>
      </c>
      <c r="L122" s="14">
        <v>38812</v>
      </c>
      <c r="M122" s="14">
        <v>38812</v>
      </c>
      <c r="N122" s="14">
        <v>38812</v>
      </c>
      <c r="O122" s="14">
        <v>38812</v>
      </c>
      <c r="P122" s="14">
        <v>38812</v>
      </c>
      <c r="Q122" s="14">
        <v>38812</v>
      </c>
      <c r="R122" s="14">
        <v>38812</v>
      </c>
      <c r="S122" s="14">
        <v>38812</v>
      </c>
      <c r="T122" s="14">
        <v>38812</v>
      </c>
      <c r="U122" s="14">
        <v>38812</v>
      </c>
      <c r="V122" s="14">
        <v>465744</v>
      </c>
    </row>
    <row r="123" spans="7:22" x14ac:dyDescent="0.25">
      <c r="G123" s="39" t="s">
        <v>54</v>
      </c>
      <c r="H123" s="39" t="s">
        <v>1069</v>
      </c>
      <c r="I123" s="39" t="s">
        <v>1070</v>
      </c>
      <c r="J123" s="14">
        <v>8201</v>
      </c>
      <c r="K123" s="14">
        <v>8201</v>
      </c>
      <c r="L123" s="14">
        <v>8201</v>
      </c>
      <c r="M123" s="14">
        <v>8201</v>
      </c>
      <c r="N123" s="14">
        <v>8201</v>
      </c>
      <c r="O123" s="14">
        <v>8201</v>
      </c>
      <c r="P123" s="14">
        <v>8201</v>
      </c>
      <c r="Q123" s="14">
        <v>8201</v>
      </c>
      <c r="R123" s="14">
        <v>8201</v>
      </c>
      <c r="S123" s="14">
        <v>8201</v>
      </c>
      <c r="T123" s="14">
        <v>8201</v>
      </c>
      <c r="U123" s="14">
        <v>8201</v>
      </c>
      <c r="V123" s="14">
        <v>98412</v>
      </c>
    </row>
    <row r="124" spans="7:22" x14ac:dyDescent="0.25">
      <c r="G124" s="39" t="s">
        <v>54</v>
      </c>
      <c r="H124" s="39" t="s">
        <v>1071</v>
      </c>
      <c r="I124" s="39" t="s">
        <v>1072</v>
      </c>
      <c r="J124" s="14">
        <v>4429</v>
      </c>
      <c r="K124" s="14">
        <v>4429</v>
      </c>
      <c r="L124" s="14">
        <v>4429</v>
      </c>
      <c r="M124" s="14">
        <v>4429</v>
      </c>
      <c r="N124" s="14">
        <v>4429</v>
      </c>
      <c r="O124" s="14">
        <v>4429</v>
      </c>
      <c r="P124" s="14">
        <v>4429</v>
      </c>
      <c r="Q124" s="14">
        <v>4429</v>
      </c>
      <c r="R124" s="14">
        <v>4429</v>
      </c>
      <c r="S124" s="14">
        <v>4429</v>
      </c>
      <c r="T124" s="14">
        <v>4429</v>
      </c>
      <c r="U124" s="14">
        <v>4429</v>
      </c>
      <c r="V124" s="14">
        <v>53148</v>
      </c>
    </row>
    <row r="125" spans="7:22" x14ac:dyDescent="0.25">
      <c r="G125" s="39" t="s">
        <v>54</v>
      </c>
      <c r="H125" s="39" t="s">
        <v>1073</v>
      </c>
      <c r="I125" s="39" t="s">
        <v>1074</v>
      </c>
      <c r="J125" s="14">
        <v>6072</v>
      </c>
      <c r="K125" s="14">
        <v>6072</v>
      </c>
      <c r="L125" s="14">
        <v>6072</v>
      </c>
      <c r="M125" s="14">
        <v>6072</v>
      </c>
      <c r="N125" s="14">
        <v>6072</v>
      </c>
      <c r="O125" s="14">
        <v>6072</v>
      </c>
      <c r="P125" s="14">
        <v>6072</v>
      </c>
      <c r="Q125" s="14">
        <v>6072</v>
      </c>
      <c r="R125" s="14">
        <v>6072</v>
      </c>
      <c r="S125" s="14">
        <v>6072</v>
      </c>
      <c r="T125" s="14">
        <v>6072</v>
      </c>
      <c r="U125" s="14">
        <v>6072</v>
      </c>
      <c r="V125" s="14">
        <v>72864</v>
      </c>
    </row>
    <row r="126" spans="7:22" x14ac:dyDescent="0.25">
      <c r="G126" s="39" t="s">
        <v>645</v>
      </c>
      <c r="H126" s="39" t="s">
        <v>1075</v>
      </c>
      <c r="I126" s="39" t="s">
        <v>1076</v>
      </c>
      <c r="J126" s="14">
        <v>1448</v>
      </c>
      <c r="K126" s="14">
        <v>1448</v>
      </c>
      <c r="L126" s="14">
        <v>1450</v>
      </c>
      <c r="M126" s="14">
        <v>1448</v>
      </c>
      <c r="N126" s="14">
        <v>1448</v>
      </c>
      <c r="O126" s="14">
        <v>1450</v>
      </c>
      <c r="P126" s="14">
        <v>1448</v>
      </c>
      <c r="Q126" s="14">
        <v>1448</v>
      </c>
      <c r="R126" s="14">
        <v>1450</v>
      </c>
      <c r="S126" s="14">
        <v>1448</v>
      </c>
      <c r="T126" s="14">
        <v>1448</v>
      </c>
      <c r="U126" s="14">
        <v>1448</v>
      </c>
      <c r="V126" s="14">
        <v>17382</v>
      </c>
    </row>
    <row r="127" spans="7:22" x14ac:dyDescent="0.25">
      <c r="G127" s="39" t="s">
        <v>54</v>
      </c>
      <c r="H127" s="39" t="s">
        <v>1077</v>
      </c>
      <c r="I127" s="39" t="s">
        <v>1078</v>
      </c>
      <c r="J127" s="14">
        <v>224</v>
      </c>
      <c r="K127" s="14">
        <v>224</v>
      </c>
      <c r="L127" s="14">
        <v>210</v>
      </c>
      <c r="M127" s="14">
        <v>215</v>
      </c>
      <c r="N127" s="14">
        <v>218</v>
      </c>
      <c r="O127" s="14">
        <v>226</v>
      </c>
      <c r="P127" s="14">
        <v>214</v>
      </c>
      <c r="Q127" s="14">
        <v>211</v>
      </c>
      <c r="R127" s="14">
        <v>204</v>
      </c>
      <c r="S127" s="14">
        <v>214</v>
      </c>
      <c r="T127" s="14">
        <v>207</v>
      </c>
      <c r="U127" s="14">
        <v>204</v>
      </c>
      <c r="V127" s="14">
        <v>2571</v>
      </c>
    </row>
    <row r="128" spans="7:22" x14ac:dyDescent="0.25">
      <c r="G128" s="39" t="s">
        <v>54</v>
      </c>
      <c r="H128" s="39" t="s">
        <v>1079</v>
      </c>
      <c r="I128" s="39" t="s">
        <v>1080</v>
      </c>
      <c r="J128" s="14">
        <v>2080</v>
      </c>
      <c r="K128" s="14">
        <v>2080</v>
      </c>
      <c r="L128" s="14">
        <v>2080</v>
      </c>
      <c r="M128" s="14">
        <v>2080</v>
      </c>
      <c r="N128" s="14">
        <v>2080</v>
      </c>
      <c r="O128" s="14">
        <v>2080</v>
      </c>
      <c r="P128" s="14">
        <v>2080</v>
      </c>
      <c r="Q128" s="14">
        <v>2080</v>
      </c>
      <c r="R128" s="14">
        <v>2080</v>
      </c>
      <c r="S128" s="14">
        <v>2080</v>
      </c>
      <c r="T128" s="14">
        <v>2080</v>
      </c>
      <c r="U128" s="14">
        <v>2080</v>
      </c>
      <c r="V128" s="14">
        <v>24960</v>
      </c>
    </row>
    <row r="129" spans="7:22" x14ac:dyDescent="0.25">
      <c r="G129" s="39" t="s">
        <v>54</v>
      </c>
      <c r="H129" s="39" t="s">
        <v>1081</v>
      </c>
      <c r="I129" s="39" t="s">
        <v>1082</v>
      </c>
      <c r="J129" s="14">
        <v>2742</v>
      </c>
      <c r="K129" s="14">
        <v>2784</v>
      </c>
      <c r="L129" s="14">
        <v>2742</v>
      </c>
      <c r="M129" s="14">
        <v>2742</v>
      </c>
      <c r="N129" s="14">
        <v>2770</v>
      </c>
      <c r="O129" s="14">
        <v>2739</v>
      </c>
      <c r="P129" s="14">
        <v>2736</v>
      </c>
      <c r="Q129" s="14">
        <v>2774</v>
      </c>
      <c r="R129" s="14">
        <v>2714</v>
      </c>
      <c r="S129" s="14">
        <v>2728</v>
      </c>
      <c r="T129" s="14">
        <v>2766</v>
      </c>
      <c r="U129" s="14">
        <v>2724</v>
      </c>
      <c r="V129" s="14">
        <v>32961</v>
      </c>
    </row>
    <row r="130" spans="7:22" x14ac:dyDescent="0.25">
      <c r="G130" s="39" t="s">
        <v>643</v>
      </c>
      <c r="H130" s="39" t="s">
        <v>1083</v>
      </c>
      <c r="I130" s="39" t="s">
        <v>1084</v>
      </c>
      <c r="J130" s="14">
        <v>3398</v>
      </c>
      <c r="K130" s="14">
        <v>4059</v>
      </c>
      <c r="L130" s="14">
        <v>4059</v>
      </c>
      <c r="M130" s="14">
        <v>4059</v>
      </c>
      <c r="N130" s="14">
        <v>4059</v>
      </c>
      <c r="O130" s="14">
        <v>4059</v>
      </c>
      <c r="P130" s="14">
        <v>4059</v>
      </c>
      <c r="Q130" s="14">
        <v>4059</v>
      </c>
      <c r="R130" s="14">
        <v>4059</v>
      </c>
      <c r="S130" s="14">
        <v>4059</v>
      </c>
      <c r="T130" s="14">
        <v>4059</v>
      </c>
      <c r="U130" s="14">
        <v>4059</v>
      </c>
      <c r="V130" s="14">
        <v>48047</v>
      </c>
    </row>
    <row r="131" spans="7:22" x14ac:dyDescent="0.25">
      <c r="G131" s="39" t="s">
        <v>54</v>
      </c>
      <c r="H131" s="39" t="s">
        <v>1085</v>
      </c>
      <c r="I131" s="39" t="s">
        <v>1086</v>
      </c>
      <c r="J131" s="14">
        <v>1208</v>
      </c>
      <c r="K131" s="14">
        <v>1208</v>
      </c>
      <c r="L131" s="14">
        <v>1208</v>
      </c>
      <c r="M131" s="14">
        <v>1208</v>
      </c>
      <c r="N131" s="14">
        <v>1208</v>
      </c>
      <c r="O131" s="14">
        <v>1208</v>
      </c>
      <c r="P131" s="14">
        <v>1208</v>
      </c>
      <c r="Q131" s="14">
        <v>1208</v>
      </c>
      <c r="R131" s="14">
        <v>1208</v>
      </c>
      <c r="S131" s="14">
        <v>1208</v>
      </c>
      <c r="T131" s="14">
        <v>1208</v>
      </c>
      <c r="U131" s="14">
        <v>1208</v>
      </c>
      <c r="V131" s="14">
        <v>14496</v>
      </c>
    </row>
    <row r="132" spans="7:22" x14ac:dyDescent="0.25">
      <c r="G132" s="39" t="s">
        <v>54</v>
      </c>
      <c r="H132" s="39" t="s">
        <v>1087</v>
      </c>
      <c r="I132" s="39" t="s">
        <v>1088</v>
      </c>
      <c r="J132" s="14">
        <v>3920</v>
      </c>
      <c r="K132" s="14">
        <v>3920</v>
      </c>
      <c r="L132" s="14">
        <v>3920</v>
      </c>
      <c r="M132" s="14">
        <v>3920</v>
      </c>
      <c r="N132" s="14">
        <v>3920</v>
      </c>
      <c r="O132" s="14">
        <v>3920</v>
      </c>
      <c r="P132" s="14">
        <v>3920</v>
      </c>
      <c r="Q132" s="14">
        <v>3920</v>
      </c>
      <c r="R132" s="14">
        <v>3920</v>
      </c>
      <c r="S132" s="14">
        <v>3920</v>
      </c>
      <c r="T132" s="14">
        <v>3920</v>
      </c>
      <c r="U132" s="14">
        <v>3920</v>
      </c>
      <c r="V132" s="14">
        <v>47040</v>
      </c>
    </row>
    <row r="133" spans="7:22" x14ac:dyDescent="0.25">
      <c r="G133" s="39" t="s">
        <v>54</v>
      </c>
      <c r="H133" s="39" t="s">
        <v>1089</v>
      </c>
      <c r="I133" s="39" t="s">
        <v>1090</v>
      </c>
      <c r="J133" s="14">
        <v>200</v>
      </c>
      <c r="K133" s="14">
        <v>200</v>
      </c>
      <c r="L133" s="14">
        <v>200</v>
      </c>
      <c r="M133" s="14">
        <v>200</v>
      </c>
      <c r="N133" s="14">
        <v>200</v>
      </c>
      <c r="O133" s="14">
        <v>200</v>
      </c>
      <c r="P133" s="14">
        <v>200</v>
      </c>
      <c r="Q133" s="14">
        <v>200</v>
      </c>
      <c r="R133" s="14">
        <v>200</v>
      </c>
      <c r="S133" s="14">
        <v>200</v>
      </c>
      <c r="T133" s="14">
        <v>200</v>
      </c>
      <c r="U133" s="14">
        <v>200</v>
      </c>
      <c r="V133" s="14">
        <v>2400</v>
      </c>
    </row>
    <row r="134" spans="7:22" x14ac:dyDescent="0.25">
      <c r="G134" s="39" t="s">
        <v>642</v>
      </c>
      <c r="H134" s="39" t="s">
        <v>1091</v>
      </c>
      <c r="I134" s="39" t="s">
        <v>1092</v>
      </c>
      <c r="J134" s="14">
        <v>130</v>
      </c>
      <c r="K134" s="14">
        <v>130</v>
      </c>
      <c r="L134" s="14">
        <v>130</v>
      </c>
      <c r="M134" s="14">
        <v>130</v>
      </c>
      <c r="N134" s="14">
        <v>130</v>
      </c>
      <c r="O134" s="14">
        <v>130</v>
      </c>
      <c r="P134" s="14">
        <v>130</v>
      </c>
      <c r="Q134" s="14">
        <v>130</v>
      </c>
      <c r="R134" s="14">
        <v>130</v>
      </c>
      <c r="S134" s="14">
        <v>130</v>
      </c>
      <c r="T134" s="14">
        <v>130</v>
      </c>
      <c r="U134" s="14">
        <v>130</v>
      </c>
      <c r="V134" s="14">
        <v>1560</v>
      </c>
    </row>
    <row r="135" spans="7:22" x14ac:dyDescent="0.25">
      <c r="G135" s="39" t="s">
        <v>54</v>
      </c>
      <c r="H135" s="39" t="s">
        <v>1093</v>
      </c>
      <c r="I135" s="39" t="s">
        <v>1094</v>
      </c>
      <c r="J135" s="14">
        <v>660</v>
      </c>
      <c r="K135" s="14">
        <v>1520</v>
      </c>
      <c r="L135" s="14">
        <v>42130</v>
      </c>
      <c r="M135" s="14">
        <v>750</v>
      </c>
      <c r="N135" s="14">
        <v>2180</v>
      </c>
      <c r="O135" s="14">
        <v>1200</v>
      </c>
      <c r="P135" s="14">
        <v>800</v>
      </c>
      <c r="Q135" s="14">
        <v>1360</v>
      </c>
      <c r="R135" s="14">
        <v>2876</v>
      </c>
      <c r="S135" s="14">
        <v>562</v>
      </c>
      <c r="T135" s="14">
        <v>970</v>
      </c>
      <c r="U135" s="14">
        <v>2888</v>
      </c>
      <c r="V135" s="14">
        <v>57896</v>
      </c>
    </row>
    <row r="136" spans="7:22" x14ac:dyDescent="0.25">
      <c r="G136" s="39" t="s">
        <v>54</v>
      </c>
      <c r="H136" s="39" t="s">
        <v>1095</v>
      </c>
      <c r="I136" s="39" t="s">
        <v>1096</v>
      </c>
      <c r="J136" s="14">
        <v>16700</v>
      </c>
      <c r="K136" s="14">
        <v>16700</v>
      </c>
      <c r="L136" s="14">
        <v>16700</v>
      </c>
      <c r="M136" s="14">
        <v>16700</v>
      </c>
      <c r="N136" s="14">
        <v>16700</v>
      </c>
      <c r="O136" s="14">
        <v>16700</v>
      </c>
      <c r="P136" s="14">
        <v>16700</v>
      </c>
      <c r="Q136" s="14">
        <v>16700</v>
      </c>
      <c r="R136" s="14">
        <v>16700</v>
      </c>
      <c r="S136" s="14">
        <v>16700</v>
      </c>
      <c r="T136" s="14">
        <v>16700</v>
      </c>
      <c r="U136" s="14">
        <v>16700</v>
      </c>
      <c r="V136" s="14">
        <v>200400</v>
      </c>
    </row>
    <row r="137" spans="7:22" x14ac:dyDescent="0.25">
      <c r="G137" s="39" t="s">
        <v>54</v>
      </c>
      <c r="H137" s="39" t="s">
        <v>1097</v>
      </c>
      <c r="I137" s="39" t="s">
        <v>1098</v>
      </c>
      <c r="J137" s="14">
        <v>3250</v>
      </c>
      <c r="K137" s="14">
        <v>3250</v>
      </c>
      <c r="L137" s="14">
        <v>3250</v>
      </c>
      <c r="M137" s="14">
        <v>3250</v>
      </c>
      <c r="N137" s="14">
        <v>3250</v>
      </c>
      <c r="O137" s="14">
        <v>3250</v>
      </c>
      <c r="P137" s="14">
        <v>3250</v>
      </c>
      <c r="Q137" s="14">
        <v>3250</v>
      </c>
      <c r="R137" s="14">
        <v>3250</v>
      </c>
      <c r="S137" s="14">
        <v>3250</v>
      </c>
      <c r="T137" s="14">
        <v>3250</v>
      </c>
      <c r="U137" s="14">
        <v>3250</v>
      </c>
      <c r="V137" s="14">
        <v>39000</v>
      </c>
    </row>
    <row r="138" spans="7:22" x14ac:dyDescent="0.25">
      <c r="G138" s="39" t="s">
        <v>54</v>
      </c>
      <c r="H138" s="39" t="s">
        <v>1099</v>
      </c>
      <c r="I138" s="39" t="s">
        <v>1100</v>
      </c>
      <c r="J138" s="14">
        <v>480</v>
      </c>
      <c r="K138" s="14">
        <v>480</v>
      </c>
      <c r="L138" s="14">
        <v>480</v>
      </c>
      <c r="M138" s="14">
        <v>480</v>
      </c>
      <c r="N138" s="14">
        <v>480</v>
      </c>
      <c r="O138" s="14">
        <v>480</v>
      </c>
      <c r="P138" s="14">
        <v>480</v>
      </c>
      <c r="Q138" s="14">
        <v>480</v>
      </c>
      <c r="R138" s="14">
        <v>480</v>
      </c>
      <c r="S138" s="14">
        <v>480</v>
      </c>
      <c r="T138" s="14">
        <v>480</v>
      </c>
      <c r="U138" s="14">
        <v>480</v>
      </c>
      <c r="V138" s="14">
        <v>5760</v>
      </c>
    </row>
    <row r="139" spans="7:22" x14ac:dyDescent="0.25">
      <c r="G139" s="39" t="s">
        <v>54</v>
      </c>
      <c r="H139" s="39" t="s">
        <v>1101</v>
      </c>
      <c r="I139" s="39" t="s">
        <v>1102</v>
      </c>
      <c r="J139" s="14">
        <v>7442</v>
      </c>
      <c r="K139" s="14">
        <v>7442</v>
      </c>
      <c r="L139" s="14">
        <v>7442</v>
      </c>
      <c r="M139" s="14">
        <v>7442</v>
      </c>
      <c r="N139" s="14">
        <v>7442</v>
      </c>
      <c r="O139" s="14">
        <v>7442</v>
      </c>
      <c r="P139" s="14">
        <v>7442</v>
      </c>
      <c r="Q139" s="14">
        <v>7442</v>
      </c>
      <c r="R139" s="14">
        <v>7442</v>
      </c>
      <c r="S139" s="14">
        <v>7442</v>
      </c>
      <c r="T139" s="14">
        <v>7442</v>
      </c>
      <c r="U139" s="14">
        <v>7442</v>
      </c>
      <c r="V139" s="14">
        <v>89304</v>
      </c>
    </row>
    <row r="140" spans="7:22" x14ac:dyDescent="0.25">
      <c r="G140" s="39" t="s">
        <v>54</v>
      </c>
      <c r="H140" s="39" t="s">
        <v>1103</v>
      </c>
      <c r="I140" s="39" t="s">
        <v>1104</v>
      </c>
      <c r="J140" s="14">
        <v>252</v>
      </c>
      <c r="K140" s="14">
        <v>252</v>
      </c>
      <c r="L140" s="14">
        <v>252</v>
      </c>
      <c r="M140" s="14">
        <v>252</v>
      </c>
      <c r="N140" s="14">
        <v>252</v>
      </c>
      <c r="O140" s="14">
        <v>252</v>
      </c>
      <c r="P140" s="14">
        <v>252</v>
      </c>
      <c r="Q140" s="14">
        <v>252</v>
      </c>
      <c r="R140" s="14">
        <v>252</v>
      </c>
      <c r="S140" s="14">
        <v>252</v>
      </c>
      <c r="T140" s="14">
        <v>252</v>
      </c>
      <c r="U140" s="14">
        <v>252</v>
      </c>
      <c r="V140" s="14">
        <v>3024</v>
      </c>
    </row>
    <row r="141" spans="7:22" x14ac:dyDescent="0.25">
      <c r="G141" s="39" t="s">
        <v>54</v>
      </c>
      <c r="H141" s="39" t="s">
        <v>1105</v>
      </c>
      <c r="I141" s="39" t="s">
        <v>1106</v>
      </c>
      <c r="J141" s="14">
        <v>270</v>
      </c>
      <c r="K141" s="14">
        <v>270</v>
      </c>
      <c r="L141" s="14">
        <v>270</v>
      </c>
      <c r="M141" s="14">
        <v>270</v>
      </c>
      <c r="N141" s="14">
        <v>270</v>
      </c>
      <c r="O141" s="14">
        <v>270</v>
      </c>
      <c r="P141" s="14">
        <v>270</v>
      </c>
      <c r="Q141" s="14">
        <v>270</v>
      </c>
      <c r="R141" s="14">
        <v>270</v>
      </c>
      <c r="S141" s="14">
        <v>270</v>
      </c>
      <c r="T141" s="14">
        <v>270</v>
      </c>
      <c r="U141" s="14">
        <v>270</v>
      </c>
      <c r="V141" s="14">
        <v>3240</v>
      </c>
    </row>
    <row r="142" spans="7:22" x14ac:dyDescent="0.25">
      <c r="G142" s="39" t="s">
        <v>641</v>
      </c>
      <c r="H142" s="39" t="s">
        <v>1107</v>
      </c>
      <c r="I142" s="39" t="s">
        <v>1108</v>
      </c>
      <c r="J142" s="14">
        <v>19399</v>
      </c>
      <c r="K142" s="14">
        <v>19399</v>
      </c>
      <c r="L142" s="14">
        <v>19399</v>
      </c>
      <c r="M142" s="14">
        <v>19398</v>
      </c>
      <c r="N142" s="14">
        <v>19398</v>
      </c>
      <c r="O142" s="14">
        <v>19398</v>
      </c>
      <c r="P142" s="14">
        <v>19398</v>
      </c>
      <c r="Q142" s="14">
        <v>19398</v>
      </c>
      <c r="R142" s="14">
        <v>19398</v>
      </c>
      <c r="S142" s="14">
        <v>19398</v>
      </c>
      <c r="T142" s="14">
        <v>19399</v>
      </c>
      <c r="U142" s="14">
        <v>19399</v>
      </c>
      <c r="V142" s="14">
        <v>232781</v>
      </c>
    </row>
    <row r="143" spans="7:22" x14ac:dyDescent="0.25">
      <c r="G143" s="39" t="s">
        <v>54</v>
      </c>
      <c r="H143" s="39" t="s">
        <v>1109</v>
      </c>
      <c r="I143" s="39" t="s">
        <v>1110</v>
      </c>
      <c r="J143" s="14">
        <v>27156</v>
      </c>
      <c r="K143" s="14">
        <v>27156</v>
      </c>
      <c r="L143" s="14">
        <v>27156</v>
      </c>
      <c r="M143" s="14">
        <v>27156</v>
      </c>
      <c r="N143" s="14">
        <v>27156</v>
      </c>
      <c r="O143" s="14">
        <v>27156</v>
      </c>
      <c r="P143" s="14">
        <v>27156</v>
      </c>
      <c r="Q143" s="14">
        <v>27156</v>
      </c>
      <c r="R143" s="14">
        <v>27156</v>
      </c>
      <c r="S143" s="14">
        <v>27156</v>
      </c>
      <c r="T143" s="14">
        <v>27156</v>
      </c>
      <c r="U143" s="14">
        <v>27156</v>
      </c>
      <c r="V143" s="14">
        <v>325872</v>
      </c>
    </row>
    <row r="144" spans="7:22" x14ac:dyDescent="0.25">
      <c r="G144" s="39" t="s">
        <v>54</v>
      </c>
      <c r="H144" s="39" t="s">
        <v>1111</v>
      </c>
      <c r="I144" s="39" t="s">
        <v>1112</v>
      </c>
      <c r="J144" s="14">
        <v>9813</v>
      </c>
      <c r="K144" s="14">
        <v>9813</v>
      </c>
      <c r="L144" s="14">
        <v>9813</v>
      </c>
      <c r="M144" s="14">
        <v>9813</v>
      </c>
      <c r="N144" s="14">
        <v>9813</v>
      </c>
      <c r="O144" s="14">
        <v>9813</v>
      </c>
      <c r="P144" s="14">
        <v>9813</v>
      </c>
      <c r="Q144" s="14">
        <v>9813</v>
      </c>
      <c r="R144" s="14">
        <v>9813</v>
      </c>
      <c r="S144" s="14">
        <v>9813</v>
      </c>
      <c r="T144" s="14">
        <v>9813</v>
      </c>
      <c r="U144" s="14">
        <v>9813</v>
      </c>
      <c r="V144" s="14">
        <v>117756</v>
      </c>
    </row>
    <row r="145" spans="7:22" x14ac:dyDescent="0.25">
      <c r="G145" s="39" t="s">
        <v>54</v>
      </c>
      <c r="H145" s="39" t="s">
        <v>1113</v>
      </c>
      <c r="I145" s="39" t="s">
        <v>1114</v>
      </c>
      <c r="J145" s="14">
        <v>1200</v>
      </c>
      <c r="K145" s="14">
        <v>1200</v>
      </c>
      <c r="L145" s="14">
        <v>1200</v>
      </c>
      <c r="M145" s="14">
        <v>1200</v>
      </c>
      <c r="N145" s="14">
        <v>1200</v>
      </c>
      <c r="O145" s="14">
        <v>1200</v>
      </c>
      <c r="P145" s="14">
        <v>1200</v>
      </c>
      <c r="Q145" s="14">
        <v>1200</v>
      </c>
      <c r="R145" s="14">
        <v>1200</v>
      </c>
      <c r="S145" s="14">
        <v>1200</v>
      </c>
      <c r="T145" s="14">
        <v>1200</v>
      </c>
      <c r="U145" s="14">
        <v>1200</v>
      </c>
      <c r="V145" s="14">
        <v>14400</v>
      </c>
    </row>
    <row r="146" spans="7:22" x14ac:dyDescent="0.25">
      <c r="G146" s="39" t="s">
        <v>54</v>
      </c>
      <c r="H146" s="39" t="s">
        <v>1115</v>
      </c>
      <c r="I146" s="39" t="s">
        <v>1116</v>
      </c>
      <c r="J146" s="14">
        <v>1540</v>
      </c>
      <c r="K146" s="14">
        <v>1540</v>
      </c>
      <c r="L146" s="14">
        <v>1540</v>
      </c>
      <c r="M146" s="14">
        <v>1540</v>
      </c>
      <c r="N146" s="14">
        <v>1540</v>
      </c>
      <c r="O146" s="14">
        <v>1540</v>
      </c>
      <c r="P146" s="14">
        <v>1540</v>
      </c>
      <c r="Q146" s="14">
        <v>1540</v>
      </c>
      <c r="R146" s="14">
        <v>1540</v>
      </c>
      <c r="S146" s="14">
        <v>1540</v>
      </c>
      <c r="T146" s="14">
        <v>1540</v>
      </c>
      <c r="U146" s="14">
        <v>1540</v>
      </c>
      <c r="V146" s="14">
        <v>18480</v>
      </c>
    </row>
    <row r="147" spans="7:22" x14ac:dyDescent="0.25">
      <c r="G147" s="39" t="s">
        <v>640</v>
      </c>
      <c r="H147" s="39" t="s">
        <v>1117</v>
      </c>
      <c r="I147" s="39" t="s">
        <v>1118</v>
      </c>
      <c r="J147" s="14">
        <v>-182565</v>
      </c>
      <c r="K147" s="14">
        <v>-182633</v>
      </c>
      <c r="L147" s="14">
        <v>-182768</v>
      </c>
      <c r="M147" s="14">
        <v>-182768</v>
      </c>
      <c r="N147" s="14">
        <v>-182768</v>
      </c>
      <c r="O147" s="14">
        <v>-182768</v>
      </c>
      <c r="P147" s="14">
        <v>-182735</v>
      </c>
      <c r="Q147" s="14">
        <v>-182768</v>
      </c>
      <c r="R147" s="14">
        <v>-182768</v>
      </c>
      <c r="S147" s="14">
        <v>-182768</v>
      </c>
      <c r="T147" s="14">
        <v>-182667</v>
      </c>
      <c r="U147" s="14">
        <v>-182565</v>
      </c>
      <c r="V147" s="14">
        <v>-2192541</v>
      </c>
    </row>
    <row r="148" spans="7:22" x14ac:dyDescent="0.25">
      <c r="G148" s="39" t="s">
        <v>639</v>
      </c>
      <c r="H148" s="39" t="s">
        <v>1119</v>
      </c>
      <c r="I148" s="39" t="s">
        <v>1120</v>
      </c>
      <c r="J148" s="14">
        <v>8453</v>
      </c>
      <c r="K148" s="14">
        <v>8833</v>
      </c>
      <c r="L148" s="14">
        <v>8510</v>
      </c>
      <c r="M148" s="14">
        <v>8625</v>
      </c>
      <c r="N148" s="14">
        <v>8535</v>
      </c>
      <c r="O148" s="14">
        <v>7942</v>
      </c>
      <c r="P148" s="14">
        <v>8172</v>
      </c>
      <c r="Q148" s="14">
        <v>9026</v>
      </c>
      <c r="R148" s="14">
        <v>8110</v>
      </c>
      <c r="S148" s="14">
        <v>7896</v>
      </c>
      <c r="T148" s="14">
        <v>8590</v>
      </c>
      <c r="U148" s="14">
        <v>7978</v>
      </c>
      <c r="V148" s="14">
        <v>100670</v>
      </c>
    </row>
    <row r="149" spans="7:22" x14ac:dyDescent="0.25">
      <c r="G149" s="39" t="s">
        <v>54</v>
      </c>
      <c r="H149" s="39" t="s">
        <v>1121</v>
      </c>
      <c r="I149" s="39" t="s">
        <v>1122</v>
      </c>
      <c r="J149" s="14">
        <v>4858</v>
      </c>
      <c r="K149" s="14">
        <v>4302</v>
      </c>
      <c r="L149" s="14">
        <v>4352</v>
      </c>
      <c r="M149" s="14">
        <v>4121</v>
      </c>
      <c r="N149" s="14">
        <v>4261</v>
      </c>
      <c r="O149" s="14">
        <v>3836</v>
      </c>
      <c r="P149" s="14">
        <v>4272</v>
      </c>
      <c r="Q149" s="14">
        <v>4355</v>
      </c>
      <c r="R149" s="14">
        <v>3990</v>
      </c>
      <c r="S149" s="14">
        <v>4587</v>
      </c>
      <c r="T149" s="14">
        <v>3849</v>
      </c>
      <c r="U149" s="14">
        <v>3594</v>
      </c>
      <c r="V149" s="14">
        <v>50377</v>
      </c>
    </row>
    <row r="150" spans="7:22" x14ac:dyDescent="0.25">
      <c r="G150" s="39" t="s">
        <v>54</v>
      </c>
      <c r="H150" s="39" t="s">
        <v>1123</v>
      </c>
      <c r="I150" s="39" t="s">
        <v>1124</v>
      </c>
      <c r="J150" s="14">
        <v>57220</v>
      </c>
      <c r="K150" s="14">
        <v>57220</v>
      </c>
      <c r="L150" s="14">
        <v>57220</v>
      </c>
      <c r="M150" s="14">
        <v>57220</v>
      </c>
      <c r="N150" s="14">
        <v>57220</v>
      </c>
      <c r="O150" s="14">
        <v>57220</v>
      </c>
      <c r="P150" s="14">
        <v>57220</v>
      </c>
      <c r="Q150" s="14">
        <v>57220</v>
      </c>
      <c r="R150" s="14">
        <v>57220</v>
      </c>
      <c r="S150" s="14">
        <v>57220</v>
      </c>
      <c r="T150" s="14">
        <v>57220</v>
      </c>
      <c r="U150" s="14">
        <v>57220</v>
      </c>
      <c r="V150" s="14">
        <v>686640</v>
      </c>
    </row>
    <row r="151" spans="7:22" x14ac:dyDescent="0.25">
      <c r="G151" s="39" t="s">
        <v>54</v>
      </c>
      <c r="H151" s="39" t="s">
        <v>1125</v>
      </c>
      <c r="I151" s="39" t="s">
        <v>1126</v>
      </c>
      <c r="J151" s="14">
        <v>-11174</v>
      </c>
      <c r="K151" s="14">
        <v>-11057</v>
      </c>
      <c r="L151" s="14">
        <v>-11061</v>
      </c>
      <c r="M151" s="14">
        <v>-11012</v>
      </c>
      <c r="N151" s="14">
        <v>-11043</v>
      </c>
      <c r="O151" s="14">
        <v>-10951</v>
      </c>
      <c r="P151" s="14">
        <v>-11046</v>
      </c>
      <c r="Q151" s="14">
        <v>-11064</v>
      </c>
      <c r="R151" s="14">
        <v>-10982</v>
      </c>
      <c r="S151" s="14">
        <v>-11123</v>
      </c>
      <c r="T151" s="14">
        <v>-10961</v>
      </c>
      <c r="U151" s="14">
        <v>-10899</v>
      </c>
      <c r="V151" s="14">
        <v>-132373</v>
      </c>
    </row>
    <row r="152" spans="7:22" x14ac:dyDescent="0.25">
      <c r="G152" s="39" t="s">
        <v>638</v>
      </c>
      <c r="H152" s="39" t="s">
        <v>1127</v>
      </c>
      <c r="I152" s="39" t="s">
        <v>1128</v>
      </c>
      <c r="J152" s="14">
        <v>3150</v>
      </c>
      <c r="K152" s="14">
        <v>3150</v>
      </c>
      <c r="L152" s="14">
        <v>3150</v>
      </c>
      <c r="M152" s="14">
        <v>3150</v>
      </c>
      <c r="N152" s="14">
        <v>3150</v>
      </c>
      <c r="O152" s="14">
        <v>3150</v>
      </c>
      <c r="P152" s="14">
        <v>3150</v>
      </c>
      <c r="Q152" s="14">
        <v>3150</v>
      </c>
      <c r="R152" s="14">
        <v>3150</v>
      </c>
      <c r="S152" s="14">
        <v>3150</v>
      </c>
      <c r="T152" s="14">
        <v>3150</v>
      </c>
      <c r="U152" s="14">
        <v>3150</v>
      </c>
      <c r="V152" s="14">
        <v>37800</v>
      </c>
    </row>
    <row r="153" spans="7:22" x14ac:dyDescent="0.25">
      <c r="G153" s="39" t="s">
        <v>54</v>
      </c>
      <c r="H153" s="39" t="s">
        <v>1129</v>
      </c>
      <c r="I153" s="39" t="s">
        <v>1130</v>
      </c>
      <c r="J153" s="14">
        <v>4735</v>
      </c>
      <c r="K153" s="14">
        <v>4735</v>
      </c>
      <c r="L153" s="14">
        <v>4787</v>
      </c>
      <c r="M153" s="14">
        <v>4728</v>
      </c>
      <c r="N153" s="14">
        <v>4728</v>
      </c>
      <c r="O153" s="14">
        <v>4792</v>
      </c>
      <c r="P153" s="14">
        <v>4728</v>
      </c>
      <c r="Q153" s="14">
        <v>4728</v>
      </c>
      <c r="R153" s="14">
        <v>4788</v>
      </c>
      <c r="S153" s="14">
        <v>4728</v>
      </c>
      <c r="T153" s="14">
        <v>4728</v>
      </c>
      <c r="U153" s="14">
        <v>4788</v>
      </c>
      <c r="V153" s="14">
        <v>56993</v>
      </c>
    </row>
    <row r="154" spans="7:22" x14ac:dyDescent="0.25">
      <c r="G154" s="39" t="s">
        <v>54</v>
      </c>
      <c r="H154" s="39" t="s">
        <v>1131</v>
      </c>
      <c r="I154" s="39" t="s">
        <v>854</v>
      </c>
      <c r="J154" s="14">
        <v>-91810</v>
      </c>
      <c r="K154" s="14">
        <v>-91810</v>
      </c>
      <c r="L154" s="14">
        <v>-91810</v>
      </c>
      <c r="M154" s="14">
        <v>-91810</v>
      </c>
      <c r="N154" s="14">
        <v>-91810</v>
      </c>
      <c r="O154" s="14">
        <v>-91810</v>
      </c>
      <c r="P154" s="14">
        <v>-91810</v>
      </c>
      <c r="Q154" s="14">
        <v>-91810</v>
      </c>
      <c r="R154" s="14">
        <v>-91810</v>
      </c>
      <c r="S154" s="14">
        <v>-91810</v>
      </c>
      <c r="T154" s="14">
        <v>-91810</v>
      </c>
      <c r="U154" s="14">
        <v>-91810</v>
      </c>
      <c r="V154" s="14">
        <v>-1101720</v>
      </c>
    </row>
    <row r="155" spans="7:22" x14ac:dyDescent="0.25">
      <c r="G155" s="39" t="s">
        <v>637</v>
      </c>
      <c r="H155" s="39" t="s">
        <v>1132</v>
      </c>
      <c r="I155" s="39" t="s">
        <v>1133</v>
      </c>
      <c r="J155" s="14">
        <v>15041</v>
      </c>
      <c r="K155" s="14">
        <v>19194</v>
      </c>
      <c r="L155" s="14">
        <v>27903</v>
      </c>
      <c r="M155" s="14">
        <v>22005</v>
      </c>
      <c r="N155" s="14">
        <v>22814</v>
      </c>
      <c r="O155" s="14">
        <v>22971</v>
      </c>
      <c r="P155" s="14">
        <v>4982</v>
      </c>
      <c r="Q155" s="14">
        <v>5702</v>
      </c>
      <c r="R155" s="14">
        <v>4392</v>
      </c>
      <c r="S155" s="14">
        <v>6064</v>
      </c>
      <c r="T155" s="14">
        <v>9570</v>
      </c>
      <c r="U155" s="14">
        <v>9322</v>
      </c>
      <c r="V155" s="14">
        <v>169960</v>
      </c>
    </row>
    <row r="156" spans="7:22" x14ac:dyDescent="0.25">
      <c r="G156" s="39" t="s">
        <v>636</v>
      </c>
      <c r="H156" s="39" t="s">
        <v>1134</v>
      </c>
      <c r="I156" s="39" t="s">
        <v>1135</v>
      </c>
      <c r="J156" s="14">
        <v>11004</v>
      </c>
      <c r="K156" s="14">
        <v>8057</v>
      </c>
      <c r="L156" s="14">
        <v>8692</v>
      </c>
      <c r="M156" s="14">
        <v>8316</v>
      </c>
      <c r="N156" s="14">
        <v>8031</v>
      </c>
      <c r="O156" s="14">
        <v>9083</v>
      </c>
      <c r="P156" s="14">
        <v>7759</v>
      </c>
      <c r="Q156" s="14">
        <v>10757</v>
      </c>
      <c r="R156" s="14">
        <v>8717</v>
      </c>
      <c r="S156" s="14">
        <v>7801</v>
      </c>
      <c r="T156" s="14">
        <v>7812</v>
      </c>
      <c r="U156" s="14">
        <v>8842</v>
      </c>
      <c r="V156" s="14">
        <v>104871</v>
      </c>
    </row>
    <row r="157" spans="7:22" x14ac:dyDescent="0.25">
      <c r="G157" s="39" t="s">
        <v>54</v>
      </c>
      <c r="H157" s="39" t="s">
        <v>1136</v>
      </c>
      <c r="I157" s="39" t="s">
        <v>1137</v>
      </c>
      <c r="J157" s="14">
        <v>-17510</v>
      </c>
      <c r="K157" s="14">
        <v>-17510</v>
      </c>
      <c r="L157" s="14">
        <v>-17510</v>
      </c>
      <c r="M157" s="14">
        <v>-17510</v>
      </c>
      <c r="N157" s="14">
        <v>-17510</v>
      </c>
      <c r="O157" s="14">
        <v>-17510</v>
      </c>
      <c r="P157" s="14">
        <v>-17510</v>
      </c>
      <c r="Q157" s="14">
        <v>-17510</v>
      </c>
      <c r="R157" s="14">
        <v>-17510</v>
      </c>
      <c r="S157" s="14">
        <v>-17510</v>
      </c>
      <c r="T157" s="14">
        <v>-17510</v>
      </c>
      <c r="U157" s="14">
        <v>-17510</v>
      </c>
      <c r="V157" s="14">
        <v>-210120</v>
      </c>
    </row>
    <row r="158" spans="7:22" x14ac:dyDescent="0.25">
      <c r="G158" s="39" t="s">
        <v>635</v>
      </c>
      <c r="H158" s="39" t="s">
        <v>979</v>
      </c>
      <c r="I158" s="39" t="s">
        <v>980</v>
      </c>
      <c r="J158" s="37">
        <v>6044</v>
      </c>
      <c r="K158" s="37">
        <v>6090</v>
      </c>
      <c r="L158" s="37">
        <v>6093</v>
      </c>
      <c r="M158" s="37">
        <v>6098</v>
      </c>
      <c r="N158" s="37">
        <v>6094</v>
      </c>
      <c r="O158" s="37">
        <v>6108</v>
      </c>
      <c r="P158" s="37">
        <v>6096</v>
      </c>
      <c r="Q158" s="37">
        <v>6113</v>
      </c>
      <c r="R158" s="37">
        <v>6106</v>
      </c>
      <c r="S158" s="37">
        <v>6093</v>
      </c>
      <c r="T158" s="37">
        <v>6095</v>
      </c>
      <c r="U158" s="37">
        <v>6031</v>
      </c>
      <c r="V158" s="37">
        <v>73061</v>
      </c>
    </row>
    <row r="159" spans="7:22" x14ac:dyDescent="0.25">
      <c r="G159" s="39" t="s">
        <v>54</v>
      </c>
      <c r="H159" s="39" t="s">
        <v>981</v>
      </c>
      <c r="I159" s="39" t="s">
        <v>982</v>
      </c>
      <c r="J159" s="37">
        <v>26</v>
      </c>
      <c r="K159" s="37">
        <v>26</v>
      </c>
      <c r="L159" s="37">
        <v>26</v>
      </c>
      <c r="M159" s="37">
        <v>26</v>
      </c>
      <c r="N159" s="37">
        <v>26</v>
      </c>
      <c r="O159" s="37">
        <v>29</v>
      </c>
      <c r="P159" s="37">
        <v>29</v>
      </c>
      <c r="Q159" s="37">
        <v>29</v>
      </c>
      <c r="R159" s="37">
        <v>29</v>
      </c>
      <c r="S159" s="37">
        <v>26</v>
      </c>
      <c r="T159" s="37">
        <v>26</v>
      </c>
      <c r="U159" s="37">
        <v>26</v>
      </c>
      <c r="V159" s="37">
        <v>324</v>
      </c>
    </row>
    <row r="160" spans="7:22" x14ac:dyDescent="0.25">
      <c r="G160" s="39" t="s">
        <v>54</v>
      </c>
      <c r="H160" s="39" t="s">
        <v>983</v>
      </c>
      <c r="I160" s="39" t="s">
        <v>984</v>
      </c>
      <c r="J160" s="37">
        <v>961</v>
      </c>
      <c r="K160" s="37">
        <v>961</v>
      </c>
      <c r="L160" s="37">
        <v>964</v>
      </c>
      <c r="M160" s="37">
        <v>1061</v>
      </c>
      <c r="N160" s="37">
        <v>963</v>
      </c>
      <c r="O160" s="37">
        <v>974</v>
      </c>
      <c r="P160" s="37">
        <v>963</v>
      </c>
      <c r="Q160" s="37">
        <v>1164</v>
      </c>
      <c r="R160" s="37">
        <v>969</v>
      </c>
      <c r="S160" s="37">
        <v>964</v>
      </c>
      <c r="T160" s="37">
        <v>966</v>
      </c>
      <c r="U160" s="37">
        <v>973</v>
      </c>
      <c r="V160" s="37">
        <v>11883</v>
      </c>
    </row>
    <row r="161" spans="7:22" x14ac:dyDescent="0.25">
      <c r="G161" s="39" t="s">
        <v>54</v>
      </c>
      <c r="H161" s="39" t="s">
        <v>985</v>
      </c>
      <c r="I161" s="39" t="s">
        <v>986</v>
      </c>
      <c r="J161" s="37">
        <v>1010</v>
      </c>
      <c r="K161" s="37">
        <v>1012</v>
      </c>
      <c r="L161" s="37">
        <v>1012</v>
      </c>
      <c r="M161" s="37">
        <v>1012</v>
      </c>
      <c r="N161" s="37">
        <v>1012</v>
      </c>
      <c r="O161" s="37">
        <v>1021</v>
      </c>
      <c r="P161" s="37">
        <v>1021</v>
      </c>
      <c r="Q161" s="37">
        <v>1012</v>
      </c>
      <c r="R161" s="37">
        <v>1012</v>
      </c>
      <c r="S161" s="37">
        <v>1012</v>
      </c>
      <c r="T161" s="37">
        <v>1012</v>
      </c>
      <c r="U161" s="37">
        <v>1040</v>
      </c>
      <c r="V161" s="37">
        <v>12188</v>
      </c>
    </row>
    <row r="162" spans="7:22" x14ac:dyDescent="0.25">
      <c r="G162" s="39" t="s">
        <v>54</v>
      </c>
      <c r="H162" s="39" t="s">
        <v>987</v>
      </c>
      <c r="I162" s="39" t="s">
        <v>988</v>
      </c>
      <c r="J162" s="37">
        <v>33</v>
      </c>
      <c r="K162" s="37">
        <v>33</v>
      </c>
      <c r="L162" s="37">
        <v>33</v>
      </c>
      <c r="M162" s="37">
        <v>51</v>
      </c>
      <c r="N162" s="37">
        <v>33</v>
      </c>
      <c r="O162" s="37">
        <v>50</v>
      </c>
      <c r="P162" s="37">
        <v>36</v>
      </c>
      <c r="Q162" s="37">
        <v>33</v>
      </c>
      <c r="R162" s="37">
        <v>68</v>
      </c>
      <c r="S162" s="37">
        <v>33</v>
      </c>
      <c r="T162" s="37">
        <v>33</v>
      </c>
      <c r="U162" s="37">
        <v>33</v>
      </c>
      <c r="V162" s="37">
        <v>469</v>
      </c>
    </row>
    <row r="163" spans="7:22" x14ac:dyDescent="0.25">
      <c r="G163" s="39" t="s">
        <v>54</v>
      </c>
      <c r="H163" s="39" t="s">
        <v>967</v>
      </c>
      <c r="I163" s="39" t="s">
        <v>968</v>
      </c>
      <c r="J163" s="37">
        <v>83</v>
      </c>
      <c r="K163" s="37">
        <v>83</v>
      </c>
      <c r="L163" s="37">
        <v>83</v>
      </c>
      <c r="M163" s="37">
        <v>83</v>
      </c>
      <c r="N163" s="37">
        <v>83</v>
      </c>
      <c r="O163" s="37">
        <v>83</v>
      </c>
      <c r="P163" s="37">
        <v>83</v>
      </c>
      <c r="Q163" s="37">
        <v>83</v>
      </c>
      <c r="R163" s="37">
        <v>83</v>
      </c>
      <c r="S163" s="37">
        <v>83</v>
      </c>
      <c r="T163" s="37">
        <v>83</v>
      </c>
      <c r="U163" s="37">
        <v>83</v>
      </c>
      <c r="V163" s="37">
        <v>996</v>
      </c>
    </row>
    <row r="164" spans="7:22" x14ac:dyDescent="0.25">
      <c r="G164" s="39" t="s">
        <v>54</v>
      </c>
      <c r="H164" s="39" t="s">
        <v>969</v>
      </c>
      <c r="I164" s="39" t="s">
        <v>970</v>
      </c>
      <c r="J164" s="37">
        <v>44</v>
      </c>
      <c r="K164" s="37">
        <v>44</v>
      </c>
      <c r="L164" s="37">
        <v>44</v>
      </c>
      <c r="M164" s="37">
        <v>44</v>
      </c>
      <c r="N164" s="37">
        <v>44</v>
      </c>
      <c r="O164" s="37">
        <v>44</v>
      </c>
      <c r="P164" s="37">
        <v>44</v>
      </c>
      <c r="Q164" s="37">
        <v>44</v>
      </c>
      <c r="R164" s="37">
        <v>44</v>
      </c>
      <c r="S164" s="37">
        <v>44</v>
      </c>
      <c r="T164" s="37">
        <v>44</v>
      </c>
      <c r="U164" s="37">
        <v>44</v>
      </c>
      <c r="V164" s="37">
        <v>528</v>
      </c>
    </row>
    <row r="165" spans="7:22" x14ac:dyDescent="0.25">
      <c r="G165" s="39" t="s">
        <v>54</v>
      </c>
      <c r="H165" s="39" t="s">
        <v>971</v>
      </c>
      <c r="I165" s="39" t="s">
        <v>972</v>
      </c>
      <c r="J165" s="37">
        <v>1085</v>
      </c>
      <c r="K165" s="37">
        <v>990</v>
      </c>
      <c r="L165" s="37">
        <v>894</v>
      </c>
      <c r="M165" s="37">
        <v>890</v>
      </c>
      <c r="N165" s="37">
        <v>1385</v>
      </c>
      <c r="O165" s="37">
        <v>899</v>
      </c>
      <c r="P165" s="37">
        <v>885</v>
      </c>
      <c r="Q165" s="37">
        <v>890</v>
      </c>
      <c r="R165" s="37">
        <v>894</v>
      </c>
      <c r="S165" s="37">
        <v>890</v>
      </c>
      <c r="T165" s="37">
        <v>1385</v>
      </c>
      <c r="U165" s="37">
        <v>899</v>
      </c>
      <c r="V165" s="37">
        <v>11986</v>
      </c>
    </row>
    <row r="166" spans="7:22" x14ac:dyDescent="0.25">
      <c r="G166" s="39" t="s">
        <v>54</v>
      </c>
      <c r="H166" s="39" t="s">
        <v>973</v>
      </c>
      <c r="I166" s="39" t="s">
        <v>974</v>
      </c>
      <c r="J166" s="37">
        <v>790</v>
      </c>
      <c r="K166" s="37">
        <v>800</v>
      </c>
      <c r="L166" s="37">
        <v>1000</v>
      </c>
      <c r="M166" s="37">
        <v>700</v>
      </c>
      <c r="N166" s="37">
        <v>900</v>
      </c>
      <c r="O166" s="37">
        <v>1210</v>
      </c>
      <c r="P166" s="37">
        <v>1400</v>
      </c>
      <c r="Q166" s="37">
        <v>710</v>
      </c>
      <c r="R166" s="37">
        <v>780</v>
      </c>
      <c r="S166" s="37">
        <v>600</v>
      </c>
      <c r="T166" s="37">
        <v>1740</v>
      </c>
      <c r="U166" s="37">
        <v>980</v>
      </c>
      <c r="V166" s="37">
        <v>11610</v>
      </c>
    </row>
    <row r="167" spans="7:22" x14ac:dyDescent="0.25">
      <c r="G167" s="39" t="s">
        <v>54</v>
      </c>
      <c r="H167" s="39" t="s">
        <v>975</v>
      </c>
      <c r="I167" s="39" t="s">
        <v>976</v>
      </c>
      <c r="J167" s="37">
        <v>482</v>
      </c>
      <c r="K167" s="37">
        <v>483</v>
      </c>
      <c r="L167" s="37">
        <v>532</v>
      </c>
      <c r="M167" s="37">
        <v>483</v>
      </c>
      <c r="N167" s="37">
        <v>483</v>
      </c>
      <c r="O167" s="37">
        <v>485</v>
      </c>
      <c r="P167" s="37">
        <v>732</v>
      </c>
      <c r="Q167" s="37">
        <v>485</v>
      </c>
      <c r="R167" s="37">
        <v>485</v>
      </c>
      <c r="S167" s="37">
        <v>650</v>
      </c>
      <c r="T167" s="37">
        <v>494</v>
      </c>
      <c r="U167" s="37">
        <v>526</v>
      </c>
      <c r="V167" s="37">
        <v>6320</v>
      </c>
    </row>
    <row r="168" spans="7:22" x14ac:dyDescent="0.25">
      <c r="G168" s="39" t="s">
        <v>54</v>
      </c>
      <c r="H168" s="39" t="s">
        <v>977</v>
      </c>
      <c r="I168" s="39" t="s">
        <v>978</v>
      </c>
      <c r="J168" s="37">
        <v>90</v>
      </c>
      <c r="K168" s="37">
        <v>90</v>
      </c>
      <c r="L168" s="37">
        <v>90</v>
      </c>
      <c r="M168" s="37">
        <v>90</v>
      </c>
      <c r="N168" s="37">
        <v>90</v>
      </c>
      <c r="O168" s="37">
        <v>90</v>
      </c>
      <c r="P168" s="37">
        <v>90</v>
      </c>
      <c r="Q168" s="37">
        <v>90</v>
      </c>
      <c r="R168" s="37">
        <v>90</v>
      </c>
      <c r="S168" s="37">
        <v>90</v>
      </c>
      <c r="T168" s="37">
        <v>90</v>
      </c>
      <c r="U168" s="37">
        <v>90</v>
      </c>
      <c r="V168" s="37">
        <v>1080</v>
      </c>
    </row>
    <row r="169" spans="7:22" x14ac:dyDescent="0.25">
      <c r="G169" s="39" t="s">
        <v>54</v>
      </c>
      <c r="H169" s="39" t="s">
        <v>989</v>
      </c>
      <c r="I169" s="39" t="s">
        <v>990</v>
      </c>
      <c r="J169" s="37">
        <v>1800</v>
      </c>
      <c r="K169" s="37">
        <v>1800</v>
      </c>
      <c r="L169" s="37">
        <v>1800</v>
      </c>
      <c r="M169" s="37">
        <v>1800</v>
      </c>
      <c r="N169" s="37">
        <v>1800</v>
      </c>
      <c r="O169" s="37">
        <v>1800</v>
      </c>
      <c r="P169" s="37">
        <v>1800</v>
      </c>
      <c r="Q169" s="37">
        <v>1800</v>
      </c>
      <c r="R169" s="37">
        <v>1800</v>
      </c>
      <c r="S169" s="37">
        <v>1800</v>
      </c>
      <c r="T169" s="37">
        <v>1800</v>
      </c>
      <c r="U169" s="37">
        <v>1800</v>
      </c>
      <c r="V169" s="37">
        <v>21600</v>
      </c>
    </row>
    <row r="170" spans="7:22" x14ac:dyDescent="0.25">
      <c r="G170" s="39" t="s">
        <v>54</v>
      </c>
      <c r="H170" s="39" t="s">
        <v>991</v>
      </c>
      <c r="I170" s="39" t="s">
        <v>992</v>
      </c>
      <c r="J170" s="37">
        <v>680</v>
      </c>
      <c r="K170" s="37">
        <v>680</v>
      </c>
      <c r="L170" s="37">
        <v>680</v>
      </c>
      <c r="M170" s="37">
        <v>680</v>
      </c>
      <c r="N170" s="37">
        <v>680</v>
      </c>
      <c r="O170" s="37">
        <v>680</v>
      </c>
      <c r="P170" s="37">
        <v>680</v>
      </c>
      <c r="Q170" s="37">
        <v>680</v>
      </c>
      <c r="R170" s="37">
        <v>680</v>
      </c>
      <c r="S170" s="37">
        <v>680</v>
      </c>
      <c r="T170" s="37">
        <v>680</v>
      </c>
      <c r="U170" s="37">
        <v>680</v>
      </c>
      <c r="V170" s="37">
        <v>8160</v>
      </c>
    </row>
    <row r="171" spans="7:22" x14ac:dyDescent="0.25">
      <c r="G171" s="39" t="s">
        <v>54</v>
      </c>
      <c r="H171" s="39" t="s">
        <v>993</v>
      </c>
      <c r="I171" s="39" t="s">
        <v>994</v>
      </c>
      <c r="J171" s="37">
        <v>5415</v>
      </c>
      <c r="K171" s="37">
        <v>5560</v>
      </c>
      <c r="L171" s="37">
        <v>5850</v>
      </c>
      <c r="M171" s="37">
        <v>5464</v>
      </c>
      <c r="N171" s="37">
        <v>5560</v>
      </c>
      <c r="O171" s="37">
        <v>5800</v>
      </c>
      <c r="P171" s="37">
        <v>5459</v>
      </c>
      <c r="Q171" s="37">
        <v>5465</v>
      </c>
      <c r="R171" s="37">
        <v>5850</v>
      </c>
      <c r="S171" s="37">
        <v>5530</v>
      </c>
      <c r="T171" s="37">
        <v>5560</v>
      </c>
      <c r="U171" s="37">
        <v>5734</v>
      </c>
      <c r="V171" s="37">
        <v>67247</v>
      </c>
    </row>
    <row r="172" spans="7:22" x14ac:dyDescent="0.25">
      <c r="G172" s="39" t="s">
        <v>54</v>
      </c>
      <c r="H172" s="39" t="s">
        <v>995</v>
      </c>
      <c r="I172" s="39" t="s">
        <v>996</v>
      </c>
      <c r="J172" s="37">
        <v>430</v>
      </c>
      <c r="K172" s="37">
        <v>430</v>
      </c>
      <c r="L172" s="37">
        <v>430</v>
      </c>
      <c r="M172" s="37">
        <v>430</v>
      </c>
      <c r="N172" s="37">
        <v>430</v>
      </c>
      <c r="O172" s="37">
        <v>430</v>
      </c>
      <c r="P172" s="37">
        <v>430</v>
      </c>
      <c r="Q172" s="37">
        <v>430</v>
      </c>
      <c r="R172" s="37">
        <v>430</v>
      </c>
      <c r="S172" s="37">
        <v>430</v>
      </c>
      <c r="T172" s="37">
        <v>430</v>
      </c>
      <c r="U172" s="37">
        <v>430</v>
      </c>
      <c r="V172" s="37">
        <v>5160</v>
      </c>
    </row>
    <row r="173" spans="7:22" x14ac:dyDescent="0.25">
      <c r="G173" s="39" t="s">
        <v>54</v>
      </c>
      <c r="H173" s="39" t="s">
        <v>997</v>
      </c>
      <c r="I173" s="39" t="s">
        <v>998</v>
      </c>
      <c r="J173" s="37">
        <v>60</v>
      </c>
      <c r="K173" s="37">
        <v>60</v>
      </c>
      <c r="L173" s="37">
        <v>60</v>
      </c>
      <c r="M173" s="37">
        <v>60</v>
      </c>
      <c r="N173" s="37">
        <v>60</v>
      </c>
      <c r="O173" s="37">
        <v>60</v>
      </c>
      <c r="P173" s="37">
        <v>60</v>
      </c>
      <c r="Q173" s="37">
        <v>60</v>
      </c>
      <c r="R173" s="37">
        <v>60</v>
      </c>
      <c r="S173" s="37">
        <v>60</v>
      </c>
      <c r="T173" s="37">
        <v>60</v>
      </c>
      <c r="U173" s="37">
        <v>60</v>
      </c>
      <c r="V173" s="37">
        <v>720</v>
      </c>
    </row>
    <row r="174" spans="7:22" x14ac:dyDescent="0.25">
      <c r="G174" s="39" t="s">
        <v>54</v>
      </c>
      <c r="H174" s="39" t="s">
        <v>999</v>
      </c>
      <c r="I174" s="39" t="s">
        <v>1000</v>
      </c>
      <c r="J174" s="37">
        <v>51269</v>
      </c>
      <c r="K174" s="37">
        <v>51258</v>
      </c>
      <c r="L174" s="37">
        <v>51252</v>
      </c>
      <c r="M174" s="37">
        <v>51261</v>
      </c>
      <c r="N174" s="37">
        <v>51261</v>
      </c>
      <c r="O174" s="37">
        <v>51261</v>
      </c>
      <c r="P174" s="37">
        <v>51261</v>
      </c>
      <c r="Q174" s="37">
        <v>51261</v>
      </c>
      <c r="R174" s="37">
        <v>51261</v>
      </c>
      <c r="S174" s="37">
        <v>51261</v>
      </c>
      <c r="T174" s="37">
        <v>51252</v>
      </c>
      <c r="U174" s="37">
        <v>51252</v>
      </c>
      <c r="V174" s="37">
        <v>615110</v>
      </c>
    </row>
    <row r="175" spans="7:22" x14ac:dyDescent="0.25">
      <c r="G175" s="39" t="s">
        <v>54</v>
      </c>
      <c r="H175" s="39" t="s">
        <v>1001</v>
      </c>
      <c r="I175" s="39" t="s">
        <v>1002</v>
      </c>
      <c r="J175" s="37">
        <v>4754</v>
      </c>
      <c r="K175" s="37">
        <v>4764</v>
      </c>
      <c r="L175" s="37">
        <v>4795</v>
      </c>
      <c r="M175" s="37">
        <v>4754</v>
      </c>
      <c r="N175" s="37">
        <v>5134</v>
      </c>
      <c r="O175" s="37">
        <v>4754</v>
      </c>
      <c r="P175" s="37">
        <v>4754</v>
      </c>
      <c r="Q175" s="37">
        <v>4754</v>
      </c>
      <c r="R175" s="37">
        <v>4807</v>
      </c>
      <c r="S175" s="37">
        <v>4754</v>
      </c>
      <c r="T175" s="37">
        <v>4754</v>
      </c>
      <c r="U175" s="37">
        <v>4754</v>
      </c>
      <c r="V175" s="37">
        <v>57532</v>
      </c>
    </row>
    <row r="176" spans="7:22" x14ac:dyDescent="0.25">
      <c r="G176" s="39" t="s">
        <v>54</v>
      </c>
      <c r="H176" s="39" t="s">
        <v>1003</v>
      </c>
      <c r="I176" s="39" t="s">
        <v>1004</v>
      </c>
      <c r="J176" s="37">
        <v>9850</v>
      </c>
      <c r="K176" s="37">
        <v>9850</v>
      </c>
      <c r="L176" s="37">
        <v>10170</v>
      </c>
      <c r="M176" s="37">
        <v>9850</v>
      </c>
      <c r="N176" s="37">
        <v>9850</v>
      </c>
      <c r="O176" s="37">
        <v>10170</v>
      </c>
      <c r="P176" s="37">
        <v>9850</v>
      </c>
      <c r="Q176" s="37">
        <v>9850</v>
      </c>
      <c r="R176" s="37">
        <v>10170</v>
      </c>
      <c r="S176" s="37">
        <v>9850</v>
      </c>
      <c r="T176" s="37">
        <v>9850</v>
      </c>
      <c r="U176" s="37">
        <v>10170</v>
      </c>
      <c r="V176" s="37">
        <v>119480</v>
      </c>
    </row>
    <row r="177" spans="7:22" x14ac:dyDescent="0.25">
      <c r="G177" s="39" t="s">
        <v>54</v>
      </c>
      <c r="H177" s="39" t="s">
        <v>1005</v>
      </c>
      <c r="I177" s="39" t="s">
        <v>1006</v>
      </c>
      <c r="J177" s="37">
        <v>60</v>
      </c>
      <c r="K177" s="37">
        <v>60</v>
      </c>
      <c r="L177" s="37">
        <v>60</v>
      </c>
      <c r="M177" s="37">
        <v>60</v>
      </c>
      <c r="N177" s="37">
        <v>60</v>
      </c>
      <c r="O177" s="37">
        <v>60</v>
      </c>
      <c r="P177" s="37">
        <v>60</v>
      </c>
      <c r="Q177" s="37">
        <v>60</v>
      </c>
      <c r="R177" s="37">
        <v>60</v>
      </c>
      <c r="S177" s="37">
        <v>60</v>
      </c>
      <c r="T177" s="37">
        <v>60</v>
      </c>
      <c r="U177" s="37">
        <v>60</v>
      </c>
      <c r="V177" s="37">
        <v>720</v>
      </c>
    </row>
    <row r="178" spans="7:22" x14ac:dyDescent="0.25">
      <c r="G178" s="39" t="s">
        <v>54</v>
      </c>
      <c r="H178" s="39" t="s">
        <v>1007</v>
      </c>
      <c r="I178" s="39" t="s">
        <v>1008</v>
      </c>
      <c r="J178" s="37">
        <v>290</v>
      </c>
      <c r="K178" s="37">
        <v>290</v>
      </c>
      <c r="L178" s="37">
        <v>290</v>
      </c>
      <c r="M178" s="37">
        <v>290</v>
      </c>
      <c r="N178" s="37">
        <v>290</v>
      </c>
      <c r="O178" s="37">
        <v>290</v>
      </c>
      <c r="P178" s="37">
        <v>290</v>
      </c>
      <c r="Q178" s="37">
        <v>290</v>
      </c>
      <c r="R178" s="37">
        <v>290</v>
      </c>
      <c r="S178" s="37">
        <v>290</v>
      </c>
      <c r="T178" s="37">
        <v>290</v>
      </c>
      <c r="U178" s="37">
        <v>290</v>
      </c>
      <c r="V178" s="37">
        <v>3480</v>
      </c>
    </row>
    <row r="179" spans="7:22" x14ac:dyDescent="0.25">
      <c r="G179" s="39" t="s">
        <v>54</v>
      </c>
      <c r="H179" s="39" t="s">
        <v>1119</v>
      </c>
      <c r="I179" s="39" t="s">
        <v>1120</v>
      </c>
      <c r="J179" s="37">
        <v>8453</v>
      </c>
      <c r="K179" s="37">
        <v>8833</v>
      </c>
      <c r="L179" s="37">
        <v>8510</v>
      </c>
      <c r="M179" s="37">
        <v>8625</v>
      </c>
      <c r="N179" s="37">
        <v>8535</v>
      </c>
      <c r="O179" s="37">
        <v>7942</v>
      </c>
      <c r="P179" s="37">
        <v>8172</v>
      </c>
      <c r="Q179" s="37">
        <v>9026</v>
      </c>
      <c r="R179" s="37">
        <v>8110</v>
      </c>
      <c r="S179" s="37">
        <v>7896</v>
      </c>
      <c r="T179" s="37">
        <v>8590</v>
      </c>
      <c r="U179" s="37">
        <v>7978</v>
      </c>
      <c r="V179" s="37">
        <v>100670</v>
      </c>
    </row>
    <row r="180" spans="7:22" x14ac:dyDescent="0.25">
      <c r="G180" s="39" t="s">
        <v>54</v>
      </c>
      <c r="H180" s="39" t="s">
        <v>1009</v>
      </c>
      <c r="I180" s="39" t="s">
        <v>1010</v>
      </c>
      <c r="J180" s="37">
        <v>6130</v>
      </c>
      <c r="K180" s="37">
        <v>6130</v>
      </c>
      <c r="L180" s="37">
        <v>6130</v>
      </c>
      <c r="M180" s="37">
        <v>6130</v>
      </c>
      <c r="N180" s="37">
        <v>6130</v>
      </c>
      <c r="O180" s="37">
        <v>6130</v>
      </c>
      <c r="P180" s="37">
        <v>6130</v>
      </c>
      <c r="Q180" s="37">
        <v>6130</v>
      </c>
      <c r="R180" s="37">
        <v>6130</v>
      </c>
      <c r="S180" s="37">
        <v>6130</v>
      </c>
      <c r="T180" s="37">
        <v>6130</v>
      </c>
      <c r="U180" s="37">
        <v>6130</v>
      </c>
      <c r="V180" s="37">
        <v>73560</v>
      </c>
    </row>
    <row r="181" spans="7:22" x14ac:dyDescent="0.25">
      <c r="G181" s="39" t="s">
        <v>54</v>
      </c>
      <c r="H181" s="39" t="s">
        <v>1011</v>
      </c>
      <c r="I181" s="39" t="s">
        <v>1012</v>
      </c>
      <c r="J181" s="37">
        <v>11413</v>
      </c>
      <c r="K181" s="37">
        <v>11413</v>
      </c>
      <c r="L181" s="37">
        <v>11413</v>
      </c>
      <c r="M181" s="37">
        <v>11530</v>
      </c>
      <c r="N181" s="37">
        <v>11413</v>
      </c>
      <c r="O181" s="37">
        <v>11413</v>
      </c>
      <c r="P181" s="37">
        <v>11662</v>
      </c>
      <c r="Q181" s="37">
        <v>11413</v>
      </c>
      <c r="R181" s="37">
        <v>11413</v>
      </c>
      <c r="S181" s="37">
        <v>11545</v>
      </c>
      <c r="T181" s="37">
        <v>11626</v>
      </c>
      <c r="U181" s="37">
        <v>11413</v>
      </c>
      <c r="V181" s="37">
        <v>137667</v>
      </c>
    </row>
    <row r="182" spans="7:22" x14ac:dyDescent="0.25">
      <c r="G182" s="39" t="s">
        <v>54</v>
      </c>
      <c r="H182" s="39" t="s">
        <v>1013</v>
      </c>
      <c r="I182" s="39" t="s">
        <v>1014</v>
      </c>
      <c r="J182" s="37">
        <v>12137</v>
      </c>
      <c r="K182" s="37">
        <v>12137</v>
      </c>
      <c r="L182" s="37">
        <v>13485</v>
      </c>
      <c r="M182" s="37">
        <v>12137</v>
      </c>
      <c r="N182" s="37">
        <v>12137</v>
      </c>
      <c r="O182" s="37">
        <v>13485</v>
      </c>
      <c r="P182" s="37">
        <v>12137</v>
      </c>
      <c r="Q182" s="37">
        <v>12137</v>
      </c>
      <c r="R182" s="37">
        <v>13485</v>
      </c>
      <c r="S182" s="37">
        <v>12137</v>
      </c>
      <c r="T182" s="37">
        <v>12137</v>
      </c>
      <c r="U182" s="37">
        <v>13483</v>
      </c>
      <c r="V182" s="37">
        <v>151034</v>
      </c>
    </row>
    <row r="183" spans="7:22" x14ac:dyDescent="0.25">
      <c r="G183" s="39" t="s">
        <v>54</v>
      </c>
      <c r="H183" s="39" t="s">
        <v>1015</v>
      </c>
      <c r="I183" s="39" t="s">
        <v>1016</v>
      </c>
      <c r="J183" s="37">
        <v>11259</v>
      </c>
      <c r="K183" s="37">
        <v>11160</v>
      </c>
      <c r="L183" s="37">
        <v>11266</v>
      </c>
      <c r="M183" s="37">
        <v>11122</v>
      </c>
      <c r="N183" s="37">
        <v>11122</v>
      </c>
      <c r="O183" s="37">
        <v>11228</v>
      </c>
      <c r="P183" s="37">
        <v>11122</v>
      </c>
      <c r="Q183" s="37">
        <v>11122</v>
      </c>
      <c r="R183" s="37">
        <v>11228</v>
      </c>
      <c r="S183" s="37">
        <v>11122</v>
      </c>
      <c r="T183" s="37">
        <v>11160</v>
      </c>
      <c r="U183" s="37">
        <v>11266</v>
      </c>
      <c r="V183" s="37">
        <v>134177</v>
      </c>
    </row>
    <row r="184" spans="7:22" x14ac:dyDescent="0.25">
      <c r="G184" s="39" t="s">
        <v>54</v>
      </c>
      <c r="H184" s="39" t="s">
        <v>1017</v>
      </c>
      <c r="I184" s="39" t="s">
        <v>1018</v>
      </c>
      <c r="J184" s="37">
        <v>4542</v>
      </c>
      <c r="K184" s="37">
        <v>4514</v>
      </c>
      <c r="L184" s="37">
        <v>4514</v>
      </c>
      <c r="M184" s="37">
        <v>4571</v>
      </c>
      <c r="N184" s="37">
        <v>4571</v>
      </c>
      <c r="O184" s="37">
        <v>4742</v>
      </c>
      <c r="P184" s="37">
        <v>4742</v>
      </c>
      <c r="Q184" s="37">
        <v>4742</v>
      </c>
      <c r="R184" s="37">
        <v>4799</v>
      </c>
      <c r="S184" s="37">
        <v>4799</v>
      </c>
      <c r="T184" s="37">
        <v>4799</v>
      </c>
      <c r="U184" s="37">
        <v>4856</v>
      </c>
      <c r="V184" s="37">
        <v>56191</v>
      </c>
    </row>
    <row r="185" spans="7:22" x14ac:dyDescent="0.25">
      <c r="G185" s="39" t="s">
        <v>54</v>
      </c>
      <c r="H185" s="39" t="s">
        <v>1019</v>
      </c>
      <c r="I185" s="39" t="s">
        <v>1020</v>
      </c>
      <c r="J185" s="37">
        <v>3645</v>
      </c>
      <c r="K185" s="37">
        <v>3644</v>
      </c>
      <c r="L185" s="37">
        <v>3644</v>
      </c>
      <c r="M185" s="37">
        <v>3649</v>
      </c>
      <c r="N185" s="37">
        <v>3644</v>
      </c>
      <c r="O185" s="37">
        <v>3658</v>
      </c>
      <c r="P185" s="37">
        <v>3644</v>
      </c>
      <c r="Q185" s="37">
        <v>3644</v>
      </c>
      <c r="R185" s="37">
        <v>3666</v>
      </c>
      <c r="S185" s="37">
        <v>3644</v>
      </c>
      <c r="T185" s="37">
        <v>3645</v>
      </c>
      <c r="U185" s="37">
        <v>3666</v>
      </c>
      <c r="V185" s="37">
        <v>43793</v>
      </c>
    </row>
    <row r="186" spans="7:22" x14ac:dyDescent="0.25">
      <c r="G186" s="39" t="s">
        <v>54</v>
      </c>
      <c r="H186" s="39" t="s">
        <v>1021</v>
      </c>
      <c r="I186" s="39" t="s">
        <v>1022</v>
      </c>
      <c r="J186" s="37">
        <v>3835</v>
      </c>
      <c r="K186" s="37">
        <v>3845</v>
      </c>
      <c r="L186" s="37">
        <v>3849</v>
      </c>
      <c r="M186" s="37">
        <v>3849</v>
      </c>
      <c r="N186" s="37">
        <v>3838</v>
      </c>
      <c r="O186" s="37">
        <v>3835</v>
      </c>
      <c r="P186" s="37">
        <v>3835</v>
      </c>
      <c r="Q186" s="37">
        <v>3835</v>
      </c>
      <c r="R186" s="37">
        <v>3906</v>
      </c>
      <c r="S186" s="37">
        <v>3906</v>
      </c>
      <c r="T186" s="37">
        <v>3906</v>
      </c>
      <c r="U186" s="37">
        <v>3835</v>
      </c>
      <c r="V186" s="37">
        <v>46274</v>
      </c>
    </row>
    <row r="187" spans="7:22" x14ac:dyDescent="0.25">
      <c r="G187" s="39" t="s">
        <v>54</v>
      </c>
      <c r="H187" s="39" t="s">
        <v>1023</v>
      </c>
      <c r="I187" s="39" t="s">
        <v>1024</v>
      </c>
      <c r="J187" s="37">
        <v>700</v>
      </c>
      <c r="K187" s="37">
        <v>700</v>
      </c>
      <c r="L187" s="37">
        <v>1000</v>
      </c>
      <c r="M187" s="37">
        <v>800</v>
      </c>
      <c r="N187" s="37">
        <v>700</v>
      </c>
      <c r="O187" s="37">
        <v>900</v>
      </c>
      <c r="P187" s="37">
        <v>900</v>
      </c>
      <c r="Q187" s="37">
        <v>900</v>
      </c>
      <c r="R187" s="37">
        <v>700</v>
      </c>
      <c r="S187" s="37">
        <v>600</v>
      </c>
      <c r="T187" s="37">
        <v>600</v>
      </c>
      <c r="U187" s="37">
        <v>700</v>
      </c>
      <c r="V187" s="37">
        <v>9200</v>
      </c>
    </row>
    <row r="188" spans="7:22" x14ac:dyDescent="0.25">
      <c r="G188" s="39" t="s">
        <v>54</v>
      </c>
      <c r="H188" s="39" t="s">
        <v>1025</v>
      </c>
      <c r="I188" s="39" t="s">
        <v>1026</v>
      </c>
      <c r="J188" s="37">
        <v>2546</v>
      </c>
      <c r="K188" s="37">
        <v>2346</v>
      </c>
      <c r="L188" s="37">
        <v>2178</v>
      </c>
      <c r="M188" s="37">
        <v>2505</v>
      </c>
      <c r="N188" s="37">
        <v>2220</v>
      </c>
      <c r="O188" s="37">
        <v>2871</v>
      </c>
      <c r="P188" s="37">
        <v>2304</v>
      </c>
      <c r="Q188" s="37">
        <v>2914</v>
      </c>
      <c r="R188" s="37">
        <v>2327</v>
      </c>
      <c r="S188" s="37">
        <v>2588</v>
      </c>
      <c r="T188" s="37">
        <v>2326</v>
      </c>
      <c r="U188" s="37">
        <v>2226</v>
      </c>
      <c r="V188" s="37">
        <v>29351</v>
      </c>
    </row>
    <row r="189" spans="7:22" x14ac:dyDescent="0.25">
      <c r="G189" s="39" t="s">
        <v>54</v>
      </c>
      <c r="H189" s="39" t="s">
        <v>1027</v>
      </c>
      <c r="I189" s="39" t="s">
        <v>1028</v>
      </c>
      <c r="J189" s="37">
        <v>374</v>
      </c>
      <c r="K189" s="37">
        <v>374</v>
      </c>
      <c r="L189" s="37">
        <v>374</v>
      </c>
      <c r="M189" s="37">
        <v>374</v>
      </c>
      <c r="N189" s="37">
        <v>374</v>
      </c>
      <c r="O189" s="37">
        <v>374</v>
      </c>
      <c r="P189" s="37">
        <v>374</v>
      </c>
      <c r="Q189" s="37">
        <v>374</v>
      </c>
      <c r="R189" s="37">
        <v>374</v>
      </c>
      <c r="S189" s="37">
        <v>374</v>
      </c>
      <c r="T189" s="37">
        <v>374</v>
      </c>
      <c r="U189" s="37">
        <v>374</v>
      </c>
      <c r="V189" s="37">
        <v>4488</v>
      </c>
    </row>
    <row r="190" spans="7:22" x14ac:dyDescent="0.25">
      <c r="G190" s="39" t="s">
        <v>54</v>
      </c>
      <c r="H190" s="39" t="s">
        <v>1029</v>
      </c>
      <c r="I190" s="39" t="s">
        <v>1030</v>
      </c>
      <c r="J190" s="37">
        <v>274</v>
      </c>
      <c r="K190" s="37">
        <v>274</v>
      </c>
      <c r="L190" s="37">
        <v>274</v>
      </c>
      <c r="M190" s="37">
        <v>274</v>
      </c>
      <c r="N190" s="37">
        <v>274</v>
      </c>
      <c r="O190" s="37">
        <v>274</v>
      </c>
      <c r="P190" s="37">
        <v>274</v>
      </c>
      <c r="Q190" s="37">
        <v>274</v>
      </c>
      <c r="R190" s="37">
        <v>274</v>
      </c>
      <c r="S190" s="37">
        <v>274</v>
      </c>
      <c r="T190" s="37">
        <v>274</v>
      </c>
      <c r="U190" s="37">
        <v>274</v>
      </c>
      <c r="V190" s="37">
        <v>3288</v>
      </c>
    </row>
    <row r="191" spans="7:22" x14ac:dyDescent="0.25">
      <c r="G191" s="39" t="s">
        <v>54</v>
      </c>
      <c r="H191" s="39" t="s">
        <v>1031</v>
      </c>
      <c r="I191" s="39" t="s">
        <v>1032</v>
      </c>
      <c r="J191" s="37">
        <v>33378</v>
      </c>
      <c r="K191" s="37">
        <v>33442</v>
      </c>
      <c r="L191" s="37">
        <v>33419</v>
      </c>
      <c r="M191" s="37">
        <v>33454</v>
      </c>
      <c r="N191" s="37">
        <v>33423</v>
      </c>
      <c r="O191" s="37">
        <v>33400</v>
      </c>
      <c r="P191" s="37">
        <v>33411</v>
      </c>
      <c r="Q191" s="37">
        <v>33421</v>
      </c>
      <c r="R191" s="37">
        <v>33397</v>
      </c>
      <c r="S191" s="37">
        <v>33454</v>
      </c>
      <c r="T191" s="37">
        <v>33396</v>
      </c>
      <c r="U191" s="37">
        <v>33362</v>
      </c>
      <c r="V191" s="37">
        <v>400957</v>
      </c>
    </row>
    <row r="192" spans="7:22" x14ac:dyDescent="0.25">
      <c r="G192" s="39" t="s">
        <v>54</v>
      </c>
      <c r="H192" s="39" t="s">
        <v>1033</v>
      </c>
      <c r="I192" s="39" t="s">
        <v>1034</v>
      </c>
      <c r="J192" s="37">
        <v>560</v>
      </c>
      <c r="K192" s="37">
        <v>606</v>
      </c>
      <c r="L192" s="37">
        <v>560</v>
      </c>
      <c r="M192" s="37">
        <v>606</v>
      </c>
      <c r="N192" s="37">
        <v>560</v>
      </c>
      <c r="O192" s="37">
        <v>560</v>
      </c>
      <c r="P192" s="37">
        <v>560</v>
      </c>
      <c r="Q192" s="37">
        <v>560</v>
      </c>
      <c r="R192" s="37">
        <v>560</v>
      </c>
      <c r="S192" s="37">
        <v>560</v>
      </c>
      <c r="T192" s="37">
        <v>560</v>
      </c>
      <c r="U192" s="37">
        <v>560</v>
      </c>
      <c r="V192" s="37">
        <v>6812</v>
      </c>
    </row>
    <row r="193" spans="7:22" x14ac:dyDescent="0.25">
      <c r="G193" s="39" t="s">
        <v>54</v>
      </c>
      <c r="H193" s="39" t="s">
        <v>1035</v>
      </c>
      <c r="I193" s="39" t="s">
        <v>1036</v>
      </c>
      <c r="J193" s="37">
        <v>35030</v>
      </c>
      <c r="K193" s="37">
        <v>35030</v>
      </c>
      <c r="L193" s="37">
        <v>34730</v>
      </c>
      <c r="M193" s="37">
        <v>35030</v>
      </c>
      <c r="N193" s="37">
        <v>33230</v>
      </c>
      <c r="O193" s="37">
        <v>35100</v>
      </c>
      <c r="P193" s="37">
        <v>35030</v>
      </c>
      <c r="Q193" s="37">
        <v>36030</v>
      </c>
      <c r="R193" s="37">
        <v>35130</v>
      </c>
      <c r="S193" s="37">
        <v>34630</v>
      </c>
      <c r="T193" s="37">
        <v>34360</v>
      </c>
      <c r="U193" s="37">
        <v>35030</v>
      </c>
      <c r="V193" s="37">
        <v>418360</v>
      </c>
    </row>
    <row r="194" spans="7:22" x14ac:dyDescent="0.25">
      <c r="G194" s="39" t="s">
        <v>54</v>
      </c>
      <c r="H194" s="39" t="s">
        <v>1037</v>
      </c>
      <c r="I194" s="39" t="s">
        <v>1038</v>
      </c>
      <c r="J194" s="37">
        <v>25810</v>
      </c>
      <c r="K194" s="37">
        <v>25980</v>
      </c>
      <c r="L194" s="37">
        <v>25875</v>
      </c>
      <c r="M194" s="37">
        <v>25950</v>
      </c>
      <c r="N194" s="37">
        <v>26000</v>
      </c>
      <c r="O194" s="37">
        <v>26950</v>
      </c>
      <c r="P194" s="37">
        <v>25890</v>
      </c>
      <c r="Q194" s="37">
        <v>25880</v>
      </c>
      <c r="R194" s="37">
        <v>25930</v>
      </c>
      <c r="S194" s="37">
        <v>25880</v>
      </c>
      <c r="T194" s="37">
        <v>25980</v>
      </c>
      <c r="U194" s="37">
        <v>26050</v>
      </c>
      <c r="V194" s="37">
        <v>312175</v>
      </c>
    </row>
    <row r="195" spans="7:22" x14ac:dyDescent="0.25">
      <c r="G195" s="39" t="s">
        <v>54</v>
      </c>
      <c r="H195" s="39" t="s">
        <v>1039</v>
      </c>
      <c r="I195" s="39" t="s">
        <v>1040</v>
      </c>
      <c r="J195" s="37">
        <v>5990</v>
      </c>
      <c r="K195" s="37">
        <v>5889</v>
      </c>
      <c r="L195" s="37">
        <v>6091</v>
      </c>
      <c r="M195" s="37">
        <v>5889</v>
      </c>
      <c r="N195" s="37">
        <v>5889</v>
      </c>
      <c r="O195" s="37">
        <v>5891</v>
      </c>
      <c r="P195" s="37">
        <v>5990</v>
      </c>
      <c r="Q195" s="37">
        <v>5891</v>
      </c>
      <c r="R195" s="37">
        <v>5889</v>
      </c>
      <c r="S195" s="37">
        <v>5890</v>
      </c>
      <c r="T195" s="37">
        <v>5991</v>
      </c>
      <c r="U195" s="37">
        <v>5891</v>
      </c>
      <c r="V195" s="37">
        <v>71181</v>
      </c>
    </row>
    <row r="196" spans="7:22" x14ac:dyDescent="0.25">
      <c r="G196" s="39" t="s">
        <v>54</v>
      </c>
      <c r="H196" s="39" t="s">
        <v>1041</v>
      </c>
      <c r="I196" s="39" t="s">
        <v>1042</v>
      </c>
      <c r="J196" s="37">
        <v>33042</v>
      </c>
      <c r="K196" s="37">
        <v>32942</v>
      </c>
      <c r="L196" s="37">
        <v>33072</v>
      </c>
      <c r="M196" s="37">
        <v>32942</v>
      </c>
      <c r="N196" s="37">
        <v>32942</v>
      </c>
      <c r="O196" s="37">
        <v>32942</v>
      </c>
      <c r="P196" s="37">
        <v>32942</v>
      </c>
      <c r="Q196" s="37">
        <v>32962</v>
      </c>
      <c r="R196" s="37">
        <v>32942</v>
      </c>
      <c r="S196" s="37">
        <v>32952</v>
      </c>
      <c r="T196" s="37">
        <v>32962</v>
      </c>
      <c r="U196" s="37">
        <v>32962</v>
      </c>
      <c r="V196" s="37">
        <v>395604</v>
      </c>
    </row>
    <row r="197" spans="7:22" x14ac:dyDescent="0.25">
      <c r="G197" s="39" t="s">
        <v>54</v>
      </c>
      <c r="H197" s="39" t="s">
        <v>1043</v>
      </c>
      <c r="I197" s="39" t="s">
        <v>1044</v>
      </c>
      <c r="J197" s="37">
        <v>2462</v>
      </c>
      <c r="K197" s="37">
        <v>2126</v>
      </c>
      <c r="L197" s="37">
        <v>2246</v>
      </c>
      <c r="M197" s="37">
        <v>2212</v>
      </c>
      <c r="N197" s="37">
        <v>2212</v>
      </c>
      <c r="O197" s="37">
        <v>2214</v>
      </c>
      <c r="P197" s="37">
        <v>2262</v>
      </c>
      <c r="Q197" s="37">
        <v>2264</v>
      </c>
      <c r="R197" s="37">
        <v>2262</v>
      </c>
      <c r="S197" s="37">
        <v>2319</v>
      </c>
      <c r="T197" s="37">
        <v>2347</v>
      </c>
      <c r="U197" s="37">
        <v>2347</v>
      </c>
      <c r="V197" s="37">
        <v>27273</v>
      </c>
    </row>
    <row r="198" spans="7:22" x14ac:dyDescent="0.25">
      <c r="G198" s="39" t="s">
        <v>54</v>
      </c>
      <c r="H198" s="39" t="s">
        <v>1045</v>
      </c>
      <c r="I198" s="39" t="s">
        <v>1046</v>
      </c>
      <c r="J198" s="37">
        <v>1400</v>
      </c>
      <c r="K198" s="37">
        <v>1400</v>
      </c>
      <c r="L198" s="37">
        <v>1400</v>
      </c>
      <c r="M198" s="37">
        <v>1400</v>
      </c>
      <c r="N198" s="37">
        <v>1400</v>
      </c>
      <c r="O198" s="37">
        <v>1400</v>
      </c>
      <c r="P198" s="37">
        <v>1400</v>
      </c>
      <c r="Q198" s="37">
        <v>1400</v>
      </c>
      <c r="R198" s="37">
        <v>1400</v>
      </c>
      <c r="S198" s="37">
        <v>1400</v>
      </c>
      <c r="T198" s="37">
        <v>1400</v>
      </c>
      <c r="U198" s="37">
        <v>1400</v>
      </c>
      <c r="V198" s="37">
        <v>16800</v>
      </c>
    </row>
    <row r="199" spans="7:22" x14ac:dyDescent="0.25">
      <c r="G199" s="39" t="s">
        <v>54</v>
      </c>
      <c r="H199" s="39" t="s">
        <v>1047</v>
      </c>
      <c r="I199" s="39" t="s">
        <v>1048</v>
      </c>
      <c r="J199" s="37">
        <v>90</v>
      </c>
      <c r="K199" s="37">
        <v>97</v>
      </c>
      <c r="L199" s="37">
        <v>68</v>
      </c>
      <c r="M199" s="37">
        <v>47</v>
      </c>
      <c r="N199" s="37">
        <v>47</v>
      </c>
      <c r="O199" s="37">
        <v>47</v>
      </c>
      <c r="P199" s="37">
        <v>47</v>
      </c>
      <c r="Q199" s="37">
        <v>26</v>
      </c>
      <c r="R199" s="37">
        <v>26</v>
      </c>
      <c r="S199" s="37">
        <v>43</v>
      </c>
      <c r="T199" s="37">
        <v>29</v>
      </c>
      <c r="U199" s="37">
        <v>26</v>
      </c>
      <c r="V199" s="37">
        <v>593</v>
      </c>
    </row>
    <row r="200" spans="7:22" x14ac:dyDescent="0.25">
      <c r="G200" s="39" t="s">
        <v>54</v>
      </c>
      <c r="H200" s="39" t="s">
        <v>1049</v>
      </c>
      <c r="I200" s="39" t="s">
        <v>1050</v>
      </c>
      <c r="J200" s="37">
        <v>14570</v>
      </c>
      <c r="K200" s="37">
        <v>14570</v>
      </c>
      <c r="L200" s="37">
        <v>14570</v>
      </c>
      <c r="M200" s="37">
        <v>14570</v>
      </c>
      <c r="N200" s="37">
        <v>14570</v>
      </c>
      <c r="O200" s="37">
        <v>14570</v>
      </c>
      <c r="P200" s="37">
        <v>14570</v>
      </c>
      <c r="Q200" s="37">
        <v>14570</v>
      </c>
      <c r="R200" s="37">
        <v>14570</v>
      </c>
      <c r="S200" s="37">
        <v>14570</v>
      </c>
      <c r="T200" s="37">
        <v>14570</v>
      </c>
      <c r="U200" s="37">
        <v>14570</v>
      </c>
      <c r="V200" s="37">
        <v>174840</v>
      </c>
    </row>
    <row r="201" spans="7:22" x14ac:dyDescent="0.25">
      <c r="G201" s="39" t="s">
        <v>54</v>
      </c>
      <c r="H201" s="39" t="s">
        <v>1051</v>
      </c>
      <c r="I201" s="39" t="s">
        <v>1052</v>
      </c>
      <c r="J201" s="37">
        <v>9636</v>
      </c>
      <c r="K201" s="37">
        <v>9636</v>
      </c>
      <c r="L201" s="37">
        <v>9656</v>
      </c>
      <c r="M201" s="37">
        <v>9656</v>
      </c>
      <c r="N201" s="37">
        <v>9689</v>
      </c>
      <c r="O201" s="37">
        <v>9679</v>
      </c>
      <c r="P201" s="37">
        <v>9679</v>
      </c>
      <c r="Q201" s="37">
        <v>9636</v>
      </c>
      <c r="R201" s="37">
        <v>9636</v>
      </c>
      <c r="S201" s="37">
        <v>9636</v>
      </c>
      <c r="T201" s="37">
        <v>9636</v>
      </c>
      <c r="U201" s="37">
        <v>9636</v>
      </c>
      <c r="V201" s="37">
        <v>115811</v>
      </c>
    </row>
    <row r="202" spans="7:22" x14ac:dyDescent="0.25">
      <c r="G202" s="39" t="s">
        <v>54</v>
      </c>
      <c r="H202" s="39" t="s">
        <v>1121</v>
      </c>
      <c r="I202" s="39" t="s">
        <v>1122</v>
      </c>
      <c r="J202" s="37">
        <v>4858</v>
      </c>
      <c r="K202" s="37">
        <v>4302</v>
      </c>
      <c r="L202" s="37">
        <v>4352</v>
      </c>
      <c r="M202" s="37">
        <v>4121</v>
      </c>
      <c r="N202" s="37">
        <v>4261</v>
      </c>
      <c r="O202" s="37">
        <v>3836</v>
      </c>
      <c r="P202" s="37">
        <v>4272</v>
      </c>
      <c r="Q202" s="37">
        <v>4355</v>
      </c>
      <c r="R202" s="37">
        <v>3990</v>
      </c>
      <c r="S202" s="37">
        <v>4587</v>
      </c>
      <c r="T202" s="37">
        <v>3849</v>
      </c>
      <c r="U202" s="37">
        <v>3594</v>
      </c>
      <c r="V202" s="37">
        <v>50377</v>
      </c>
    </row>
    <row r="203" spans="7:22" x14ac:dyDescent="0.25">
      <c r="G203" s="39" t="s">
        <v>54</v>
      </c>
      <c r="H203" s="39" t="s">
        <v>1053</v>
      </c>
      <c r="I203" s="39" t="s">
        <v>1054</v>
      </c>
      <c r="J203" s="37">
        <v>5</v>
      </c>
      <c r="K203" s="37">
        <v>5</v>
      </c>
      <c r="L203" s="37">
        <v>5</v>
      </c>
      <c r="M203" s="37">
        <v>5</v>
      </c>
      <c r="N203" s="37">
        <v>5</v>
      </c>
      <c r="O203" s="37">
        <v>5</v>
      </c>
      <c r="P203" s="37">
        <v>5</v>
      </c>
      <c r="Q203" s="37">
        <v>5</v>
      </c>
      <c r="R203" s="37">
        <v>5</v>
      </c>
      <c r="S203" s="37">
        <v>5</v>
      </c>
      <c r="T203" s="37">
        <v>5</v>
      </c>
      <c r="U203" s="37">
        <v>5</v>
      </c>
      <c r="V203" s="37">
        <v>60</v>
      </c>
    </row>
    <row r="204" spans="7:22" x14ac:dyDescent="0.25">
      <c r="G204" s="39" t="s">
        <v>54</v>
      </c>
      <c r="H204" s="39" t="s">
        <v>1059</v>
      </c>
      <c r="I204" s="39" t="s">
        <v>1060</v>
      </c>
      <c r="J204" s="37">
        <v>2785</v>
      </c>
      <c r="K204" s="37">
        <v>2785</v>
      </c>
      <c r="L204" s="37">
        <v>2785</v>
      </c>
      <c r="M204" s="37">
        <v>2785</v>
      </c>
      <c r="N204" s="37">
        <v>2785</v>
      </c>
      <c r="O204" s="37">
        <v>2785</v>
      </c>
      <c r="P204" s="37">
        <v>2785</v>
      </c>
      <c r="Q204" s="37">
        <v>2785</v>
      </c>
      <c r="R204" s="37">
        <v>2785</v>
      </c>
      <c r="S204" s="37">
        <v>2785</v>
      </c>
      <c r="T204" s="37">
        <v>2785</v>
      </c>
      <c r="U204" s="37">
        <v>2785</v>
      </c>
      <c r="V204" s="37">
        <v>33420</v>
      </c>
    </row>
    <row r="205" spans="7:22" x14ac:dyDescent="0.25">
      <c r="G205" s="39" t="s">
        <v>54</v>
      </c>
      <c r="H205" s="39" t="s">
        <v>1061</v>
      </c>
      <c r="I205" s="39" t="s">
        <v>1062</v>
      </c>
      <c r="J205" s="37">
        <v>480</v>
      </c>
      <c r="K205" s="37">
        <v>480</v>
      </c>
      <c r="L205" s="37">
        <v>480</v>
      </c>
      <c r="M205" s="37">
        <v>480</v>
      </c>
      <c r="N205" s="37">
        <v>480</v>
      </c>
      <c r="O205" s="37">
        <v>480</v>
      </c>
      <c r="P205" s="37">
        <v>480</v>
      </c>
      <c r="Q205" s="37">
        <v>480</v>
      </c>
      <c r="R205" s="37">
        <v>480</v>
      </c>
      <c r="S205" s="37">
        <v>480</v>
      </c>
      <c r="T205" s="37">
        <v>480</v>
      </c>
      <c r="U205" s="37">
        <v>480</v>
      </c>
      <c r="V205" s="37">
        <v>5760</v>
      </c>
    </row>
    <row r="206" spans="7:22" x14ac:dyDescent="0.25">
      <c r="G206" s="39" t="s">
        <v>54</v>
      </c>
      <c r="H206" s="39" t="s">
        <v>1063</v>
      </c>
      <c r="I206" s="39" t="s">
        <v>1064</v>
      </c>
      <c r="J206" s="37">
        <v>18977</v>
      </c>
      <c r="K206" s="37">
        <v>18977</v>
      </c>
      <c r="L206" s="37">
        <v>18977</v>
      </c>
      <c r="M206" s="37">
        <v>18977</v>
      </c>
      <c r="N206" s="37">
        <v>18977</v>
      </c>
      <c r="O206" s="37">
        <v>18977</v>
      </c>
      <c r="P206" s="37">
        <v>18977</v>
      </c>
      <c r="Q206" s="37">
        <v>18977</v>
      </c>
      <c r="R206" s="37">
        <v>18977</v>
      </c>
      <c r="S206" s="37">
        <v>18977</v>
      </c>
      <c r="T206" s="37">
        <v>18977</v>
      </c>
      <c r="U206" s="37">
        <v>18977</v>
      </c>
      <c r="V206" s="37">
        <v>227724</v>
      </c>
    </row>
    <row r="207" spans="7:22" x14ac:dyDescent="0.25">
      <c r="G207" s="39" t="s">
        <v>54</v>
      </c>
      <c r="H207" s="39" t="s">
        <v>1065</v>
      </c>
      <c r="I207" s="39" t="s">
        <v>1066</v>
      </c>
      <c r="J207" s="37">
        <v>5497</v>
      </c>
      <c r="K207" s="37">
        <v>5497</v>
      </c>
      <c r="L207" s="37">
        <v>5497</v>
      </c>
      <c r="M207" s="37">
        <v>5497</v>
      </c>
      <c r="N207" s="37">
        <v>5497</v>
      </c>
      <c r="O207" s="37">
        <v>5497</v>
      </c>
      <c r="P207" s="37">
        <v>5497</v>
      </c>
      <c r="Q207" s="37">
        <v>5497</v>
      </c>
      <c r="R207" s="37">
        <v>5497</v>
      </c>
      <c r="S207" s="37">
        <v>5497</v>
      </c>
      <c r="T207" s="37">
        <v>5497</v>
      </c>
      <c r="U207" s="37">
        <v>5497</v>
      </c>
      <c r="V207" s="37">
        <v>65964</v>
      </c>
    </row>
    <row r="208" spans="7:22" x14ac:dyDescent="0.25">
      <c r="G208" s="39" t="s">
        <v>54</v>
      </c>
      <c r="H208" s="39" t="s">
        <v>1067</v>
      </c>
      <c r="I208" s="39" t="s">
        <v>1068</v>
      </c>
      <c r="J208" s="37">
        <v>38812</v>
      </c>
      <c r="K208" s="37">
        <v>38812</v>
      </c>
      <c r="L208" s="37">
        <v>38812</v>
      </c>
      <c r="M208" s="37">
        <v>38812</v>
      </c>
      <c r="N208" s="37">
        <v>38812</v>
      </c>
      <c r="O208" s="37">
        <v>38812</v>
      </c>
      <c r="P208" s="37">
        <v>38812</v>
      </c>
      <c r="Q208" s="37">
        <v>38812</v>
      </c>
      <c r="R208" s="37">
        <v>38812</v>
      </c>
      <c r="S208" s="37">
        <v>38812</v>
      </c>
      <c r="T208" s="37">
        <v>38812</v>
      </c>
      <c r="U208" s="37">
        <v>38812</v>
      </c>
      <c r="V208" s="37">
        <v>465744</v>
      </c>
    </row>
    <row r="209" spans="7:22" x14ac:dyDescent="0.25">
      <c r="G209" s="39" t="s">
        <v>54</v>
      </c>
      <c r="H209" s="39" t="s">
        <v>1069</v>
      </c>
      <c r="I209" s="39" t="s">
        <v>1070</v>
      </c>
      <c r="J209" s="37">
        <v>8201</v>
      </c>
      <c r="K209" s="37">
        <v>8201</v>
      </c>
      <c r="L209" s="37">
        <v>8201</v>
      </c>
      <c r="M209" s="37">
        <v>8201</v>
      </c>
      <c r="N209" s="37">
        <v>8201</v>
      </c>
      <c r="O209" s="37">
        <v>8201</v>
      </c>
      <c r="P209" s="37">
        <v>8201</v>
      </c>
      <c r="Q209" s="37">
        <v>8201</v>
      </c>
      <c r="R209" s="37">
        <v>8201</v>
      </c>
      <c r="S209" s="37">
        <v>8201</v>
      </c>
      <c r="T209" s="37">
        <v>8201</v>
      </c>
      <c r="U209" s="37">
        <v>8201</v>
      </c>
      <c r="V209" s="37">
        <v>98412</v>
      </c>
    </row>
    <row r="210" spans="7:22" x14ac:dyDescent="0.25">
      <c r="G210" s="39" t="s">
        <v>54</v>
      </c>
      <c r="H210" s="39" t="s">
        <v>1071</v>
      </c>
      <c r="I210" s="39" t="s">
        <v>1072</v>
      </c>
      <c r="J210" s="37">
        <v>4429</v>
      </c>
      <c r="K210" s="37">
        <v>4429</v>
      </c>
      <c r="L210" s="37">
        <v>4429</v>
      </c>
      <c r="M210" s="37">
        <v>4429</v>
      </c>
      <c r="N210" s="37">
        <v>4429</v>
      </c>
      <c r="O210" s="37">
        <v>4429</v>
      </c>
      <c r="P210" s="37">
        <v>4429</v>
      </c>
      <c r="Q210" s="37">
        <v>4429</v>
      </c>
      <c r="R210" s="37">
        <v>4429</v>
      </c>
      <c r="S210" s="37">
        <v>4429</v>
      </c>
      <c r="T210" s="37">
        <v>4429</v>
      </c>
      <c r="U210" s="37">
        <v>4429</v>
      </c>
      <c r="V210" s="37">
        <v>53148</v>
      </c>
    </row>
    <row r="211" spans="7:22" x14ac:dyDescent="0.25">
      <c r="G211" s="39" t="s">
        <v>54</v>
      </c>
      <c r="H211" s="39" t="s">
        <v>1073</v>
      </c>
      <c r="I211" s="39" t="s">
        <v>1074</v>
      </c>
      <c r="J211" s="37">
        <v>6072</v>
      </c>
      <c r="K211" s="37">
        <v>6072</v>
      </c>
      <c r="L211" s="37">
        <v>6072</v>
      </c>
      <c r="M211" s="37">
        <v>6072</v>
      </c>
      <c r="N211" s="37">
        <v>6072</v>
      </c>
      <c r="O211" s="37">
        <v>6072</v>
      </c>
      <c r="P211" s="37">
        <v>6072</v>
      </c>
      <c r="Q211" s="37">
        <v>6072</v>
      </c>
      <c r="R211" s="37">
        <v>6072</v>
      </c>
      <c r="S211" s="37">
        <v>6072</v>
      </c>
      <c r="T211" s="37">
        <v>6072</v>
      </c>
      <c r="U211" s="37">
        <v>6072</v>
      </c>
      <c r="V211" s="37">
        <v>72864</v>
      </c>
    </row>
    <row r="212" spans="7:22" x14ac:dyDescent="0.25">
      <c r="G212" s="39" t="s">
        <v>54</v>
      </c>
      <c r="H212" s="39" t="s">
        <v>1083</v>
      </c>
      <c r="I212" s="39" t="s">
        <v>1084</v>
      </c>
      <c r="J212" s="37">
        <v>3398</v>
      </c>
      <c r="K212" s="37">
        <v>4059</v>
      </c>
      <c r="L212" s="37">
        <v>4059</v>
      </c>
      <c r="M212" s="37">
        <v>4059</v>
      </c>
      <c r="N212" s="37">
        <v>4059</v>
      </c>
      <c r="O212" s="37">
        <v>4059</v>
      </c>
      <c r="P212" s="37">
        <v>4059</v>
      </c>
      <c r="Q212" s="37">
        <v>4059</v>
      </c>
      <c r="R212" s="37">
        <v>4059</v>
      </c>
      <c r="S212" s="37">
        <v>4059</v>
      </c>
      <c r="T212" s="37">
        <v>4059</v>
      </c>
      <c r="U212" s="37">
        <v>4059</v>
      </c>
      <c r="V212" s="37">
        <v>48047</v>
      </c>
    </row>
    <row r="213" spans="7:22" x14ac:dyDescent="0.25">
      <c r="G213" s="39" t="s">
        <v>54</v>
      </c>
      <c r="H213" s="39" t="s">
        <v>1085</v>
      </c>
      <c r="I213" s="39" t="s">
        <v>1086</v>
      </c>
      <c r="J213" s="37">
        <v>1208</v>
      </c>
      <c r="K213" s="37">
        <v>1208</v>
      </c>
      <c r="L213" s="37">
        <v>1208</v>
      </c>
      <c r="M213" s="37">
        <v>1208</v>
      </c>
      <c r="N213" s="37">
        <v>1208</v>
      </c>
      <c r="O213" s="37">
        <v>1208</v>
      </c>
      <c r="P213" s="37">
        <v>1208</v>
      </c>
      <c r="Q213" s="37">
        <v>1208</v>
      </c>
      <c r="R213" s="37">
        <v>1208</v>
      </c>
      <c r="S213" s="37">
        <v>1208</v>
      </c>
      <c r="T213" s="37">
        <v>1208</v>
      </c>
      <c r="U213" s="37">
        <v>1208</v>
      </c>
      <c r="V213" s="37">
        <v>14496</v>
      </c>
    </row>
    <row r="214" spans="7:22" x14ac:dyDescent="0.25">
      <c r="G214" s="39" t="s">
        <v>54</v>
      </c>
      <c r="H214" s="39" t="s">
        <v>1087</v>
      </c>
      <c r="I214" s="39" t="s">
        <v>1088</v>
      </c>
      <c r="J214" s="37">
        <v>3920</v>
      </c>
      <c r="K214" s="37">
        <v>3920</v>
      </c>
      <c r="L214" s="37">
        <v>3920</v>
      </c>
      <c r="M214" s="37">
        <v>3920</v>
      </c>
      <c r="N214" s="37">
        <v>3920</v>
      </c>
      <c r="O214" s="37">
        <v>3920</v>
      </c>
      <c r="P214" s="37">
        <v>3920</v>
      </c>
      <c r="Q214" s="37">
        <v>3920</v>
      </c>
      <c r="R214" s="37">
        <v>3920</v>
      </c>
      <c r="S214" s="37">
        <v>3920</v>
      </c>
      <c r="T214" s="37">
        <v>3920</v>
      </c>
      <c r="U214" s="37">
        <v>3920</v>
      </c>
      <c r="V214" s="37">
        <v>47040</v>
      </c>
    </row>
    <row r="215" spans="7:22" x14ac:dyDescent="0.25">
      <c r="G215" s="39" t="s">
        <v>54</v>
      </c>
      <c r="H215" s="39" t="s">
        <v>1089</v>
      </c>
      <c r="I215" s="39" t="s">
        <v>1090</v>
      </c>
      <c r="J215" s="37">
        <v>200</v>
      </c>
      <c r="K215" s="37">
        <v>200</v>
      </c>
      <c r="L215" s="37">
        <v>200</v>
      </c>
      <c r="M215" s="37">
        <v>200</v>
      </c>
      <c r="N215" s="37">
        <v>200</v>
      </c>
      <c r="O215" s="37">
        <v>200</v>
      </c>
      <c r="P215" s="37">
        <v>200</v>
      </c>
      <c r="Q215" s="37">
        <v>200</v>
      </c>
      <c r="R215" s="37">
        <v>200</v>
      </c>
      <c r="S215" s="37">
        <v>200</v>
      </c>
      <c r="T215" s="37">
        <v>200</v>
      </c>
      <c r="U215" s="37">
        <v>200</v>
      </c>
      <c r="V215" s="37">
        <v>2400</v>
      </c>
    </row>
    <row r="216" spans="7:22" x14ac:dyDescent="0.25">
      <c r="G216" s="39" t="s">
        <v>54</v>
      </c>
      <c r="H216" s="39" t="s">
        <v>1075</v>
      </c>
      <c r="I216" s="39" t="s">
        <v>1076</v>
      </c>
      <c r="J216" s="37">
        <v>1448</v>
      </c>
      <c r="K216" s="37">
        <v>1448</v>
      </c>
      <c r="L216" s="37">
        <v>1450</v>
      </c>
      <c r="M216" s="37">
        <v>1448</v>
      </c>
      <c r="N216" s="37">
        <v>1448</v>
      </c>
      <c r="O216" s="37">
        <v>1450</v>
      </c>
      <c r="P216" s="37">
        <v>1448</v>
      </c>
      <c r="Q216" s="37">
        <v>1448</v>
      </c>
      <c r="R216" s="37">
        <v>1450</v>
      </c>
      <c r="S216" s="37">
        <v>1448</v>
      </c>
      <c r="T216" s="37">
        <v>1448</v>
      </c>
      <c r="U216" s="37">
        <v>1448</v>
      </c>
      <c r="V216" s="37">
        <v>17382</v>
      </c>
    </row>
    <row r="217" spans="7:22" x14ac:dyDescent="0.25">
      <c r="G217" s="39" t="s">
        <v>54</v>
      </c>
      <c r="H217" s="39" t="s">
        <v>1077</v>
      </c>
      <c r="I217" s="39" t="s">
        <v>1078</v>
      </c>
      <c r="J217" s="37">
        <v>224</v>
      </c>
      <c r="K217" s="37">
        <v>224</v>
      </c>
      <c r="L217" s="37">
        <v>210</v>
      </c>
      <c r="M217" s="37">
        <v>215</v>
      </c>
      <c r="N217" s="37">
        <v>218</v>
      </c>
      <c r="O217" s="37">
        <v>226</v>
      </c>
      <c r="P217" s="37">
        <v>214</v>
      </c>
      <c r="Q217" s="37">
        <v>211</v>
      </c>
      <c r="R217" s="37">
        <v>204</v>
      </c>
      <c r="S217" s="37">
        <v>214</v>
      </c>
      <c r="T217" s="37">
        <v>207</v>
      </c>
      <c r="U217" s="37">
        <v>204</v>
      </c>
      <c r="V217" s="37">
        <v>2571</v>
      </c>
    </row>
    <row r="218" spans="7:22" x14ac:dyDescent="0.25">
      <c r="G218" s="39" t="s">
        <v>54</v>
      </c>
      <c r="H218" s="39" t="s">
        <v>1079</v>
      </c>
      <c r="I218" s="39" t="s">
        <v>1080</v>
      </c>
      <c r="J218" s="37">
        <v>2080</v>
      </c>
      <c r="K218" s="37">
        <v>2080</v>
      </c>
      <c r="L218" s="37">
        <v>2080</v>
      </c>
      <c r="M218" s="37">
        <v>2080</v>
      </c>
      <c r="N218" s="37">
        <v>2080</v>
      </c>
      <c r="O218" s="37">
        <v>2080</v>
      </c>
      <c r="P218" s="37">
        <v>2080</v>
      </c>
      <c r="Q218" s="37">
        <v>2080</v>
      </c>
      <c r="R218" s="37">
        <v>2080</v>
      </c>
      <c r="S218" s="37">
        <v>2080</v>
      </c>
      <c r="T218" s="37">
        <v>2080</v>
      </c>
      <c r="U218" s="37">
        <v>2080</v>
      </c>
      <c r="V218" s="37">
        <v>24960</v>
      </c>
    </row>
    <row r="219" spans="7:22" x14ac:dyDescent="0.25">
      <c r="G219" s="39" t="s">
        <v>54</v>
      </c>
      <c r="H219" s="39" t="s">
        <v>1081</v>
      </c>
      <c r="I219" s="39" t="s">
        <v>1082</v>
      </c>
      <c r="J219" s="37">
        <v>2742</v>
      </c>
      <c r="K219" s="37">
        <v>2784</v>
      </c>
      <c r="L219" s="37">
        <v>2742</v>
      </c>
      <c r="M219" s="37">
        <v>2742</v>
      </c>
      <c r="N219" s="37">
        <v>2770</v>
      </c>
      <c r="O219" s="37">
        <v>2739</v>
      </c>
      <c r="P219" s="37">
        <v>2736</v>
      </c>
      <c r="Q219" s="37">
        <v>2774</v>
      </c>
      <c r="R219" s="37">
        <v>2714</v>
      </c>
      <c r="S219" s="37">
        <v>2728</v>
      </c>
      <c r="T219" s="37">
        <v>2766</v>
      </c>
      <c r="U219" s="37">
        <v>2724</v>
      </c>
      <c r="V219" s="37">
        <v>32961</v>
      </c>
    </row>
    <row r="220" spans="7:22" x14ac:dyDescent="0.25">
      <c r="G220" s="39" t="s">
        <v>54</v>
      </c>
      <c r="H220" s="39" t="s">
        <v>1107</v>
      </c>
      <c r="I220" s="39" t="s">
        <v>1108</v>
      </c>
      <c r="J220" s="37">
        <v>19399</v>
      </c>
      <c r="K220" s="37">
        <v>19399</v>
      </c>
      <c r="L220" s="37">
        <v>19399</v>
      </c>
      <c r="M220" s="37">
        <v>19398</v>
      </c>
      <c r="N220" s="37">
        <v>19398</v>
      </c>
      <c r="O220" s="37">
        <v>19398</v>
      </c>
      <c r="P220" s="37">
        <v>19398</v>
      </c>
      <c r="Q220" s="37">
        <v>19398</v>
      </c>
      <c r="R220" s="37">
        <v>19398</v>
      </c>
      <c r="S220" s="37">
        <v>19398</v>
      </c>
      <c r="T220" s="37">
        <v>19399</v>
      </c>
      <c r="U220" s="37">
        <v>19399</v>
      </c>
      <c r="V220" s="37">
        <v>232781</v>
      </c>
    </row>
    <row r="221" spans="7:22" x14ac:dyDescent="0.25">
      <c r="G221" s="39" t="s">
        <v>54</v>
      </c>
      <c r="H221" s="39" t="s">
        <v>1109</v>
      </c>
      <c r="I221" s="39" t="s">
        <v>1110</v>
      </c>
      <c r="J221" s="37">
        <v>27156</v>
      </c>
      <c r="K221" s="37">
        <v>27156</v>
      </c>
      <c r="L221" s="37">
        <v>27156</v>
      </c>
      <c r="M221" s="37">
        <v>27156</v>
      </c>
      <c r="N221" s="37">
        <v>27156</v>
      </c>
      <c r="O221" s="37">
        <v>27156</v>
      </c>
      <c r="P221" s="37">
        <v>27156</v>
      </c>
      <c r="Q221" s="37">
        <v>27156</v>
      </c>
      <c r="R221" s="37">
        <v>27156</v>
      </c>
      <c r="S221" s="37">
        <v>27156</v>
      </c>
      <c r="T221" s="37">
        <v>27156</v>
      </c>
      <c r="U221" s="37">
        <v>27156</v>
      </c>
      <c r="V221" s="37">
        <v>325872</v>
      </c>
    </row>
    <row r="222" spans="7:22" x14ac:dyDescent="0.25">
      <c r="G222" s="39" t="s">
        <v>54</v>
      </c>
      <c r="H222" s="39" t="s">
        <v>1111</v>
      </c>
      <c r="I222" s="39" t="s">
        <v>1112</v>
      </c>
      <c r="J222" s="37">
        <v>9813</v>
      </c>
      <c r="K222" s="37">
        <v>9813</v>
      </c>
      <c r="L222" s="37">
        <v>9813</v>
      </c>
      <c r="M222" s="37">
        <v>9813</v>
      </c>
      <c r="N222" s="37">
        <v>9813</v>
      </c>
      <c r="O222" s="37">
        <v>9813</v>
      </c>
      <c r="P222" s="37">
        <v>9813</v>
      </c>
      <c r="Q222" s="37">
        <v>9813</v>
      </c>
      <c r="R222" s="37">
        <v>9813</v>
      </c>
      <c r="S222" s="37">
        <v>9813</v>
      </c>
      <c r="T222" s="37">
        <v>9813</v>
      </c>
      <c r="U222" s="37">
        <v>9813</v>
      </c>
      <c r="V222" s="37">
        <v>117756</v>
      </c>
    </row>
    <row r="223" spans="7:22" x14ac:dyDescent="0.25">
      <c r="G223" s="39" t="s">
        <v>54</v>
      </c>
      <c r="H223" s="39" t="s">
        <v>1113</v>
      </c>
      <c r="I223" s="39" t="s">
        <v>1114</v>
      </c>
      <c r="J223" s="37">
        <v>1200</v>
      </c>
      <c r="K223" s="37">
        <v>1200</v>
      </c>
      <c r="L223" s="37">
        <v>1200</v>
      </c>
      <c r="M223" s="37">
        <v>1200</v>
      </c>
      <c r="N223" s="37">
        <v>1200</v>
      </c>
      <c r="O223" s="37">
        <v>1200</v>
      </c>
      <c r="P223" s="37">
        <v>1200</v>
      </c>
      <c r="Q223" s="37">
        <v>1200</v>
      </c>
      <c r="R223" s="37">
        <v>1200</v>
      </c>
      <c r="S223" s="37">
        <v>1200</v>
      </c>
      <c r="T223" s="37">
        <v>1200</v>
      </c>
      <c r="U223" s="37">
        <v>1200</v>
      </c>
      <c r="V223" s="37">
        <v>14400</v>
      </c>
    </row>
    <row r="224" spans="7:22" x14ac:dyDescent="0.25">
      <c r="G224" s="39" t="s">
        <v>54</v>
      </c>
      <c r="H224" s="39" t="s">
        <v>1115</v>
      </c>
      <c r="I224" s="39" t="s">
        <v>1116</v>
      </c>
      <c r="J224" s="37">
        <v>1540</v>
      </c>
      <c r="K224" s="37">
        <v>1540</v>
      </c>
      <c r="L224" s="37">
        <v>1540</v>
      </c>
      <c r="M224" s="37">
        <v>1540</v>
      </c>
      <c r="N224" s="37">
        <v>1540</v>
      </c>
      <c r="O224" s="37">
        <v>1540</v>
      </c>
      <c r="P224" s="37">
        <v>1540</v>
      </c>
      <c r="Q224" s="37">
        <v>1540</v>
      </c>
      <c r="R224" s="37">
        <v>1540</v>
      </c>
      <c r="S224" s="37">
        <v>1540</v>
      </c>
      <c r="T224" s="37">
        <v>1540</v>
      </c>
      <c r="U224" s="37">
        <v>1540</v>
      </c>
      <c r="V224" s="37">
        <v>18480</v>
      </c>
    </row>
    <row r="225" spans="7:22" x14ac:dyDescent="0.25">
      <c r="G225" s="39" t="s">
        <v>54</v>
      </c>
      <c r="H225" s="39" t="s">
        <v>1091</v>
      </c>
      <c r="I225" s="39" t="s">
        <v>1092</v>
      </c>
      <c r="J225" s="37">
        <v>130</v>
      </c>
      <c r="K225" s="37">
        <v>130</v>
      </c>
      <c r="L225" s="37">
        <v>130</v>
      </c>
      <c r="M225" s="37">
        <v>130</v>
      </c>
      <c r="N225" s="37">
        <v>130</v>
      </c>
      <c r="O225" s="37">
        <v>130</v>
      </c>
      <c r="P225" s="37">
        <v>130</v>
      </c>
      <c r="Q225" s="37">
        <v>130</v>
      </c>
      <c r="R225" s="37">
        <v>130</v>
      </c>
      <c r="S225" s="37">
        <v>130</v>
      </c>
      <c r="T225" s="37">
        <v>130</v>
      </c>
      <c r="U225" s="37">
        <v>130</v>
      </c>
      <c r="V225" s="37">
        <v>1560</v>
      </c>
    </row>
    <row r="226" spans="7:22" x14ac:dyDescent="0.25">
      <c r="G226" s="39" t="s">
        <v>54</v>
      </c>
      <c r="H226" s="39" t="s">
        <v>1093</v>
      </c>
      <c r="I226" s="39" t="s">
        <v>1094</v>
      </c>
      <c r="J226" s="37">
        <v>660</v>
      </c>
      <c r="K226" s="37">
        <v>1520</v>
      </c>
      <c r="L226" s="37">
        <v>42130</v>
      </c>
      <c r="M226" s="37">
        <v>750</v>
      </c>
      <c r="N226" s="37">
        <v>2180</v>
      </c>
      <c r="O226" s="37">
        <v>1200</v>
      </c>
      <c r="P226" s="37">
        <v>800</v>
      </c>
      <c r="Q226" s="37">
        <v>1360</v>
      </c>
      <c r="R226" s="37">
        <v>2876</v>
      </c>
      <c r="S226" s="37">
        <v>562</v>
      </c>
      <c r="T226" s="37">
        <v>970</v>
      </c>
      <c r="U226" s="37">
        <v>2888</v>
      </c>
      <c r="V226" s="37">
        <v>57896</v>
      </c>
    </row>
    <row r="227" spans="7:22" x14ac:dyDescent="0.25">
      <c r="G227" s="39" t="s">
        <v>54</v>
      </c>
      <c r="H227" s="39" t="s">
        <v>1095</v>
      </c>
      <c r="I227" s="39" t="s">
        <v>1096</v>
      </c>
      <c r="J227" s="37">
        <v>16700</v>
      </c>
      <c r="K227" s="37">
        <v>16700</v>
      </c>
      <c r="L227" s="37">
        <v>16700</v>
      </c>
      <c r="M227" s="37">
        <v>16700</v>
      </c>
      <c r="N227" s="37">
        <v>16700</v>
      </c>
      <c r="O227" s="37">
        <v>16700</v>
      </c>
      <c r="P227" s="37">
        <v>16700</v>
      </c>
      <c r="Q227" s="37">
        <v>16700</v>
      </c>
      <c r="R227" s="37">
        <v>16700</v>
      </c>
      <c r="S227" s="37">
        <v>16700</v>
      </c>
      <c r="T227" s="37">
        <v>16700</v>
      </c>
      <c r="U227" s="37">
        <v>16700</v>
      </c>
      <c r="V227" s="37">
        <v>200400</v>
      </c>
    </row>
    <row r="228" spans="7:22" x14ac:dyDescent="0.25">
      <c r="G228" s="39" t="s">
        <v>54</v>
      </c>
      <c r="H228" s="39" t="s">
        <v>1097</v>
      </c>
      <c r="I228" s="39" t="s">
        <v>1098</v>
      </c>
      <c r="J228" s="37">
        <v>3250</v>
      </c>
      <c r="K228" s="37">
        <v>3250</v>
      </c>
      <c r="L228" s="37">
        <v>3250</v>
      </c>
      <c r="M228" s="37">
        <v>3250</v>
      </c>
      <c r="N228" s="37">
        <v>3250</v>
      </c>
      <c r="O228" s="37">
        <v>3250</v>
      </c>
      <c r="P228" s="37">
        <v>3250</v>
      </c>
      <c r="Q228" s="37">
        <v>3250</v>
      </c>
      <c r="R228" s="37">
        <v>3250</v>
      </c>
      <c r="S228" s="37">
        <v>3250</v>
      </c>
      <c r="T228" s="37">
        <v>3250</v>
      </c>
      <c r="U228" s="37">
        <v>3250</v>
      </c>
      <c r="V228" s="37">
        <v>39000</v>
      </c>
    </row>
    <row r="229" spans="7:22" x14ac:dyDescent="0.25">
      <c r="G229" s="39" t="s">
        <v>54</v>
      </c>
      <c r="H229" s="39" t="s">
        <v>1099</v>
      </c>
      <c r="I229" s="39" t="s">
        <v>1100</v>
      </c>
      <c r="J229" s="37">
        <v>480</v>
      </c>
      <c r="K229" s="37">
        <v>480</v>
      </c>
      <c r="L229" s="37">
        <v>480</v>
      </c>
      <c r="M229" s="37">
        <v>480</v>
      </c>
      <c r="N229" s="37">
        <v>480</v>
      </c>
      <c r="O229" s="37">
        <v>480</v>
      </c>
      <c r="P229" s="37">
        <v>480</v>
      </c>
      <c r="Q229" s="37">
        <v>480</v>
      </c>
      <c r="R229" s="37">
        <v>480</v>
      </c>
      <c r="S229" s="37">
        <v>480</v>
      </c>
      <c r="T229" s="37">
        <v>480</v>
      </c>
      <c r="U229" s="37">
        <v>480</v>
      </c>
      <c r="V229" s="37">
        <v>5760</v>
      </c>
    </row>
    <row r="230" spans="7:22" x14ac:dyDescent="0.25">
      <c r="G230" s="39" t="s">
        <v>54</v>
      </c>
      <c r="H230" s="39" t="s">
        <v>1101</v>
      </c>
      <c r="I230" s="39" t="s">
        <v>1102</v>
      </c>
      <c r="J230" s="37">
        <v>7442</v>
      </c>
      <c r="K230" s="37">
        <v>7442</v>
      </c>
      <c r="L230" s="37">
        <v>7442</v>
      </c>
      <c r="M230" s="37">
        <v>7442</v>
      </c>
      <c r="N230" s="37">
        <v>7442</v>
      </c>
      <c r="O230" s="37">
        <v>7442</v>
      </c>
      <c r="P230" s="37">
        <v>7442</v>
      </c>
      <c r="Q230" s="37">
        <v>7442</v>
      </c>
      <c r="R230" s="37">
        <v>7442</v>
      </c>
      <c r="S230" s="37">
        <v>7442</v>
      </c>
      <c r="T230" s="37">
        <v>7442</v>
      </c>
      <c r="U230" s="37">
        <v>7442</v>
      </c>
      <c r="V230" s="37">
        <v>89304</v>
      </c>
    </row>
    <row r="231" spans="7:22" x14ac:dyDescent="0.25">
      <c r="G231" s="39" t="s">
        <v>54</v>
      </c>
      <c r="H231" s="39" t="s">
        <v>1103</v>
      </c>
      <c r="I231" s="39" t="s">
        <v>1104</v>
      </c>
      <c r="J231" s="37">
        <v>252</v>
      </c>
      <c r="K231" s="37">
        <v>252</v>
      </c>
      <c r="L231" s="37">
        <v>252</v>
      </c>
      <c r="M231" s="37">
        <v>252</v>
      </c>
      <c r="N231" s="37">
        <v>252</v>
      </c>
      <c r="O231" s="37">
        <v>252</v>
      </c>
      <c r="P231" s="37">
        <v>252</v>
      </c>
      <c r="Q231" s="37">
        <v>252</v>
      </c>
      <c r="R231" s="37">
        <v>252</v>
      </c>
      <c r="S231" s="37">
        <v>252</v>
      </c>
      <c r="T231" s="37">
        <v>252</v>
      </c>
      <c r="U231" s="37">
        <v>252</v>
      </c>
      <c r="V231" s="37">
        <v>3024</v>
      </c>
    </row>
    <row r="232" spans="7:22" x14ac:dyDescent="0.25">
      <c r="G232" s="39" t="s">
        <v>54</v>
      </c>
      <c r="H232" s="39" t="s">
        <v>1132</v>
      </c>
      <c r="I232" s="39" t="s">
        <v>1133</v>
      </c>
      <c r="J232" s="37">
        <v>15041</v>
      </c>
      <c r="K232" s="37">
        <v>19194</v>
      </c>
      <c r="L232" s="37">
        <v>27903</v>
      </c>
      <c r="M232" s="37">
        <v>22005</v>
      </c>
      <c r="N232" s="37">
        <v>22814</v>
      </c>
      <c r="O232" s="37">
        <v>22971</v>
      </c>
      <c r="P232" s="37">
        <v>4982</v>
      </c>
      <c r="Q232" s="37">
        <v>5702</v>
      </c>
      <c r="R232" s="37">
        <v>4392</v>
      </c>
      <c r="S232" s="37">
        <v>6064</v>
      </c>
      <c r="T232" s="37">
        <v>9570</v>
      </c>
      <c r="U232" s="37">
        <v>9322</v>
      </c>
      <c r="V232" s="37">
        <v>169960</v>
      </c>
    </row>
    <row r="233" spans="7:22" x14ac:dyDescent="0.25">
      <c r="G233" s="39" t="s">
        <v>54</v>
      </c>
      <c r="H233" s="39" t="s">
        <v>1105</v>
      </c>
      <c r="I233" s="39" t="s">
        <v>1106</v>
      </c>
      <c r="J233" s="37">
        <v>270</v>
      </c>
      <c r="K233" s="37">
        <v>270</v>
      </c>
      <c r="L233" s="37">
        <v>270</v>
      </c>
      <c r="M233" s="37">
        <v>270</v>
      </c>
      <c r="N233" s="37">
        <v>270</v>
      </c>
      <c r="O233" s="37">
        <v>270</v>
      </c>
      <c r="P233" s="37">
        <v>270</v>
      </c>
      <c r="Q233" s="37">
        <v>270</v>
      </c>
      <c r="R233" s="37">
        <v>270</v>
      </c>
      <c r="S233" s="37">
        <v>270</v>
      </c>
      <c r="T233" s="37">
        <v>270</v>
      </c>
      <c r="U233" s="37">
        <v>270</v>
      </c>
      <c r="V233" s="37">
        <v>3240</v>
      </c>
    </row>
    <row r="234" spans="7:22" x14ac:dyDescent="0.25">
      <c r="G234" s="39" t="s">
        <v>54</v>
      </c>
      <c r="H234" s="39" t="s">
        <v>1123</v>
      </c>
      <c r="I234" s="39" t="s">
        <v>1124</v>
      </c>
      <c r="J234" s="37">
        <v>57220</v>
      </c>
      <c r="K234" s="37">
        <v>57220</v>
      </c>
      <c r="L234" s="37">
        <v>57220</v>
      </c>
      <c r="M234" s="37">
        <v>57220</v>
      </c>
      <c r="N234" s="37">
        <v>57220</v>
      </c>
      <c r="O234" s="37">
        <v>57220</v>
      </c>
      <c r="P234" s="37">
        <v>57220</v>
      </c>
      <c r="Q234" s="37">
        <v>57220</v>
      </c>
      <c r="R234" s="37">
        <v>57220</v>
      </c>
      <c r="S234" s="37">
        <v>57220</v>
      </c>
      <c r="T234" s="37">
        <v>57220</v>
      </c>
      <c r="U234" s="37">
        <v>57220</v>
      </c>
      <c r="V234" s="37">
        <v>686640</v>
      </c>
    </row>
    <row r="235" spans="7:22" x14ac:dyDescent="0.25">
      <c r="G235" s="39" t="s">
        <v>54</v>
      </c>
      <c r="H235" s="39" t="s">
        <v>1127</v>
      </c>
      <c r="I235" s="39" t="s">
        <v>1128</v>
      </c>
      <c r="J235" s="37">
        <v>3150</v>
      </c>
      <c r="K235" s="37">
        <v>3150</v>
      </c>
      <c r="L235" s="37">
        <v>3150</v>
      </c>
      <c r="M235" s="37">
        <v>3150</v>
      </c>
      <c r="N235" s="37">
        <v>3150</v>
      </c>
      <c r="O235" s="37">
        <v>3150</v>
      </c>
      <c r="P235" s="37">
        <v>3150</v>
      </c>
      <c r="Q235" s="37">
        <v>3150</v>
      </c>
      <c r="R235" s="37">
        <v>3150</v>
      </c>
      <c r="S235" s="37">
        <v>3150</v>
      </c>
      <c r="T235" s="37">
        <v>3150</v>
      </c>
      <c r="U235" s="37">
        <v>3150</v>
      </c>
      <c r="V235" s="37">
        <v>37800</v>
      </c>
    </row>
    <row r="236" spans="7:22" x14ac:dyDescent="0.25">
      <c r="G236" s="39" t="s">
        <v>54</v>
      </c>
      <c r="H236" s="39" t="s">
        <v>1129</v>
      </c>
      <c r="I236" s="39" t="s">
        <v>1130</v>
      </c>
      <c r="J236" s="37">
        <v>4735</v>
      </c>
      <c r="K236" s="37">
        <v>4735</v>
      </c>
      <c r="L236" s="37">
        <v>4787</v>
      </c>
      <c r="M236" s="37">
        <v>4728</v>
      </c>
      <c r="N236" s="37">
        <v>4728</v>
      </c>
      <c r="O236" s="37">
        <v>4792</v>
      </c>
      <c r="P236" s="37">
        <v>4728</v>
      </c>
      <c r="Q236" s="37">
        <v>4728</v>
      </c>
      <c r="R236" s="37">
        <v>4788</v>
      </c>
      <c r="S236" s="37">
        <v>4728</v>
      </c>
      <c r="T236" s="37">
        <v>4728</v>
      </c>
      <c r="U236" s="37">
        <v>4788</v>
      </c>
      <c r="V236" s="37">
        <v>56993</v>
      </c>
    </row>
    <row r="237" spans="7:22" x14ac:dyDescent="0.25">
      <c r="G237" s="39" t="s">
        <v>54</v>
      </c>
      <c r="H237" s="39" t="s">
        <v>1134</v>
      </c>
      <c r="I237" s="39" t="s">
        <v>1135</v>
      </c>
      <c r="J237" s="37">
        <v>11004</v>
      </c>
      <c r="K237" s="37">
        <v>8057</v>
      </c>
      <c r="L237" s="37">
        <v>8692</v>
      </c>
      <c r="M237" s="37">
        <v>8316</v>
      </c>
      <c r="N237" s="37">
        <v>8031</v>
      </c>
      <c r="O237" s="37">
        <v>9083</v>
      </c>
      <c r="P237" s="37">
        <v>7759</v>
      </c>
      <c r="Q237" s="37">
        <v>10757</v>
      </c>
      <c r="R237" s="37">
        <v>8717</v>
      </c>
      <c r="S237" s="37">
        <v>7801</v>
      </c>
      <c r="T237" s="37">
        <v>7812</v>
      </c>
      <c r="U237" s="37">
        <v>8842</v>
      </c>
      <c r="V237" s="37">
        <v>104871</v>
      </c>
    </row>
    <row r="238" spans="7:22" x14ac:dyDescent="0.25">
      <c r="G238" s="39" t="s">
        <v>54</v>
      </c>
      <c r="H238" s="39" t="s">
        <v>1136</v>
      </c>
      <c r="I238" s="39" t="s">
        <v>1137</v>
      </c>
      <c r="J238" s="37">
        <v>-17510</v>
      </c>
      <c r="K238" s="37">
        <v>-17510</v>
      </c>
      <c r="L238" s="37">
        <v>-17510</v>
      </c>
      <c r="M238" s="37">
        <v>-17510</v>
      </c>
      <c r="N238" s="37">
        <v>-17510</v>
      </c>
      <c r="O238" s="37">
        <v>-17510</v>
      </c>
      <c r="P238" s="37">
        <v>-17510</v>
      </c>
      <c r="Q238" s="37">
        <v>-17510</v>
      </c>
      <c r="R238" s="37">
        <v>-17510</v>
      </c>
      <c r="S238" s="37">
        <v>-17510</v>
      </c>
      <c r="T238" s="37">
        <v>-17510</v>
      </c>
      <c r="U238" s="37">
        <v>-17510</v>
      </c>
      <c r="V238" s="37">
        <v>-210120</v>
      </c>
    </row>
    <row r="239" spans="7:22" x14ac:dyDescent="0.25">
      <c r="G239" s="39" t="s">
        <v>54</v>
      </c>
      <c r="H239" s="39" t="s">
        <v>1125</v>
      </c>
      <c r="I239" s="39" t="s">
        <v>1126</v>
      </c>
      <c r="J239" s="37">
        <v>-11174</v>
      </c>
      <c r="K239" s="37">
        <v>-11057</v>
      </c>
      <c r="L239" s="37">
        <v>-11061</v>
      </c>
      <c r="M239" s="37">
        <v>-11012</v>
      </c>
      <c r="N239" s="37">
        <v>-11043</v>
      </c>
      <c r="O239" s="37">
        <v>-10951</v>
      </c>
      <c r="P239" s="37">
        <v>-11046</v>
      </c>
      <c r="Q239" s="37">
        <v>-11064</v>
      </c>
      <c r="R239" s="37">
        <v>-10982</v>
      </c>
      <c r="S239" s="37">
        <v>-11123</v>
      </c>
      <c r="T239" s="37">
        <v>-10961</v>
      </c>
      <c r="U239" s="37">
        <v>-10899</v>
      </c>
      <c r="V239" s="37">
        <v>-132373</v>
      </c>
    </row>
    <row r="240" spans="7:22" x14ac:dyDescent="0.25">
      <c r="G240" s="39" t="s">
        <v>54</v>
      </c>
      <c r="H240" s="39" t="s">
        <v>1055</v>
      </c>
      <c r="I240" s="39" t="s">
        <v>1056</v>
      </c>
      <c r="J240" s="37">
        <v>-18330</v>
      </c>
      <c r="K240" s="37">
        <v>-18330</v>
      </c>
      <c r="L240" s="37">
        <v>-18330</v>
      </c>
      <c r="M240" s="37">
        <v>-18330</v>
      </c>
      <c r="N240" s="37">
        <v>-18330</v>
      </c>
      <c r="O240" s="37">
        <v>-18330</v>
      </c>
      <c r="P240" s="37">
        <v>-18330</v>
      </c>
      <c r="Q240" s="37">
        <v>-18330</v>
      </c>
      <c r="R240" s="37">
        <v>-18330</v>
      </c>
      <c r="S240" s="37">
        <v>-18330</v>
      </c>
      <c r="T240" s="37">
        <v>-18330</v>
      </c>
      <c r="U240" s="37">
        <v>-18330</v>
      </c>
      <c r="V240" s="37">
        <v>-219960</v>
      </c>
    </row>
    <row r="241" spans="7:22" x14ac:dyDescent="0.25">
      <c r="G241" s="39" t="s">
        <v>54</v>
      </c>
      <c r="H241" s="39" t="s">
        <v>1057</v>
      </c>
      <c r="I241" s="39" t="s">
        <v>1058</v>
      </c>
      <c r="J241" s="37">
        <v>-21670</v>
      </c>
      <c r="K241" s="37">
        <v>-21670</v>
      </c>
      <c r="L241" s="37">
        <v>-21670</v>
      </c>
      <c r="M241" s="37">
        <v>-21670</v>
      </c>
      <c r="N241" s="37">
        <v>-21670</v>
      </c>
      <c r="O241" s="37">
        <v>-21670</v>
      </c>
      <c r="P241" s="37">
        <v>-21670</v>
      </c>
      <c r="Q241" s="37">
        <v>-21670</v>
      </c>
      <c r="R241" s="37">
        <v>-21670</v>
      </c>
      <c r="S241" s="37">
        <v>-21670</v>
      </c>
      <c r="T241" s="37">
        <v>-21670</v>
      </c>
      <c r="U241" s="37">
        <v>-21670</v>
      </c>
      <c r="V241" s="37">
        <v>-260040</v>
      </c>
    </row>
    <row r="242" spans="7:22" x14ac:dyDescent="0.25">
      <c r="G242" s="39" t="s">
        <v>54</v>
      </c>
      <c r="H242" s="39" t="s">
        <v>1117</v>
      </c>
      <c r="I242" s="39" t="s">
        <v>1118</v>
      </c>
      <c r="J242" s="37">
        <v>-182565</v>
      </c>
      <c r="K242" s="37">
        <v>-182633</v>
      </c>
      <c r="L242" s="37">
        <v>-182768</v>
      </c>
      <c r="M242" s="37">
        <v>-182768</v>
      </c>
      <c r="N242" s="37">
        <v>-182768</v>
      </c>
      <c r="O242" s="37">
        <v>-182768</v>
      </c>
      <c r="P242" s="37">
        <v>-182735</v>
      </c>
      <c r="Q242" s="37">
        <v>-182768</v>
      </c>
      <c r="R242" s="37">
        <v>-182768</v>
      </c>
      <c r="S242" s="37">
        <v>-182768</v>
      </c>
      <c r="T242" s="37">
        <v>-182667</v>
      </c>
      <c r="U242" s="37">
        <v>-182565</v>
      </c>
      <c r="V242" s="37">
        <v>-2192541</v>
      </c>
    </row>
    <row r="243" spans="7:22" x14ac:dyDescent="0.25">
      <c r="G243" s="39" t="s">
        <v>54</v>
      </c>
      <c r="H243" s="39" t="s">
        <v>1131</v>
      </c>
      <c r="I243" s="39" t="s">
        <v>854</v>
      </c>
      <c r="J243" s="37">
        <v>-91810</v>
      </c>
      <c r="K243" s="37">
        <v>-91810</v>
      </c>
      <c r="L243" s="37">
        <v>-91810</v>
      </c>
      <c r="M243" s="37">
        <v>-91810</v>
      </c>
      <c r="N243" s="37">
        <v>-91810</v>
      </c>
      <c r="O243" s="37">
        <v>-91810</v>
      </c>
      <c r="P243" s="37">
        <v>-91810</v>
      </c>
      <c r="Q243" s="37">
        <v>-91810</v>
      </c>
      <c r="R243" s="37">
        <v>-91810</v>
      </c>
      <c r="S243" s="37">
        <v>-91810</v>
      </c>
      <c r="T243" s="37">
        <v>-91810</v>
      </c>
      <c r="U243" s="37">
        <v>-91810</v>
      </c>
      <c r="V243" s="37">
        <v>-1101720</v>
      </c>
    </row>
    <row r="244" spans="7:22" x14ac:dyDescent="0.25">
      <c r="G244" s="39" t="s">
        <v>634</v>
      </c>
      <c r="H244" s="39" t="s">
        <v>1138</v>
      </c>
      <c r="I244" s="39" t="s">
        <v>1139</v>
      </c>
      <c r="J244" s="14">
        <v>248350</v>
      </c>
      <c r="K244" s="14">
        <v>248350</v>
      </c>
      <c r="L244" s="14">
        <v>248350</v>
      </c>
      <c r="M244" s="14">
        <v>248350</v>
      </c>
      <c r="N244" s="14">
        <v>248350</v>
      </c>
      <c r="O244" s="14">
        <v>248350</v>
      </c>
      <c r="P244" s="14">
        <v>248350</v>
      </c>
      <c r="Q244" s="14">
        <v>248350</v>
      </c>
      <c r="R244" s="14">
        <v>248350</v>
      </c>
      <c r="S244" s="14">
        <v>248350</v>
      </c>
      <c r="T244" s="14">
        <v>248350</v>
      </c>
      <c r="U244" s="14">
        <v>248350</v>
      </c>
      <c r="V244" s="14">
        <v>2980200</v>
      </c>
    </row>
    <row r="245" spans="7:22" x14ac:dyDescent="0.25">
      <c r="G245" s="39" t="s">
        <v>54</v>
      </c>
      <c r="H245" s="39" t="s">
        <v>1140</v>
      </c>
      <c r="I245" s="39" t="s">
        <v>1141</v>
      </c>
      <c r="J245" s="14">
        <v>83</v>
      </c>
      <c r="K245" s="14">
        <v>83</v>
      </c>
      <c r="L245" s="14">
        <v>83</v>
      </c>
      <c r="M245" s="14">
        <v>83</v>
      </c>
      <c r="N245" s="14">
        <v>83</v>
      </c>
      <c r="O245" s="14">
        <v>83</v>
      </c>
      <c r="P245" s="14">
        <v>83</v>
      </c>
      <c r="Q245" s="14">
        <v>83</v>
      </c>
      <c r="R245" s="14">
        <v>84</v>
      </c>
      <c r="S245" s="14">
        <v>84</v>
      </c>
      <c r="T245" s="14">
        <v>84</v>
      </c>
      <c r="U245" s="14">
        <v>84</v>
      </c>
      <c r="V245" s="14">
        <v>1000</v>
      </c>
    </row>
    <row r="246" spans="7:22" x14ac:dyDescent="0.25">
      <c r="G246" s="39" t="s">
        <v>633</v>
      </c>
      <c r="H246" s="39" t="s">
        <v>1142</v>
      </c>
      <c r="I246" s="39" t="s">
        <v>1143</v>
      </c>
      <c r="J246" s="14">
        <v>300</v>
      </c>
      <c r="K246" s="14">
        <v>300</v>
      </c>
      <c r="L246" s="14">
        <v>300</v>
      </c>
      <c r="M246" s="14">
        <v>300</v>
      </c>
      <c r="N246" s="14">
        <v>300</v>
      </c>
      <c r="O246" s="14">
        <v>300</v>
      </c>
      <c r="P246" s="14">
        <v>300</v>
      </c>
      <c r="Q246" s="14">
        <v>300</v>
      </c>
      <c r="R246" s="14">
        <v>321</v>
      </c>
      <c r="S246" s="14">
        <v>300</v>
      </c>
      <c r="T246" s="14">
        <v>300</v>
      </c>
      <c r="U246" s="14">
        <v>300</v>
      </c>
      <c r="V246" s="14">
        <v>3621</v>
      </c>
    </row>
    <row r="247" spans="7:22" x14ac:dyDescent="0.25">
      <c r="G247" s="39" t="s">
        <v>54</v>
      </c>
      <c r="H247" s="39" t="s">
        <v>1144</v>
      </c>
      <c r="I247" s="39" t="s">
        <v>1145</v>
      </c>
      <c r="J247" s="14">
        <v>565</v>
      </c>
      <c r="K247" s="14">
        <v>565</v>
      </c>
      <c r="L247" s="14">
        <v>565</v>
      </c>
      <c r="M247" s="14">
        <v>565</v>
      </c>
      <c r="N247" s="14">
        <v>565</v>
      </c>
      <c r="O247" s="14">
        <v>565</v>
      </c>
      <c r="P247" s="14">
        <v>565</v>
      </c>
      <c r="Q247" s="14">
        <v>565</v>
      </c>
      <c r="R247" s="14">
        <v>565</v>
      </c>
      <c r="S247" s="14">
        <v>565</v>
      </c>
      <c r="T247" s="14">
        <v>565</v>
      </c>
      <c r="U247" s="14">
        <v>565</v>
      </c>
      <c r="V247" s="14">
        <v>6780</v>
      </c>
    </row>
    <row r="248" spans="7:22" x14ac:dyDescent="0.25">
      <c r="G248" s="39" t="s">
        <v>54</v>
      </c>
      <c r="H248" s="39" t="s">
        <v>1146</v>
      </c>
      <c r="I248" s="39" t="s">
        <v>1147</v>
      </c>
      <c r="J248" s="14">
        <v>4040</v>
      </c>
      <c r="K248" s="14">
        <v>4040</v>
      </c>
      <c r="L248" s="14">
        <v>4040</v>
      </c>
      <c r="M248" s="14">
        <v>4040</v>
      </c>
      <c r="N248" s="14">
        <v>4040</v>
      </c>
      <c r="O248" s="14">
        <v>4040</v>
      </c>
      <c r="P248" s="14">
        <v>4040</v>
      </c>
      <c r="Q248" s="14">
        <v>4040</v>
      </c>
      <c r="R248" s="14">
        <v>10110</v>
      </c>
      <c r="S248" s="14">
        <v>4040</v>
      </c>
      <c r="T248" s="14">
        <v>4040</v>
      </c>
      <c r="U248" s="14">
        <v>4040</v>
      </c>
      <c r="V248" s="14">
        <v>54550</v>
      </c>
    </row>
    <row r="249" spans="7:22" x14ac:dyDescent="0.25">
      <c r="G249" s="39" t="s">
        <v>54</v>
      </c>
      <c r="H249" s="39" t="s">
        <v>1148</v>
      </c>
      <c r="I249" s="39" t="s">
        <v>1149</v>
      </c>
      <c r="J249" s="14">
        <v>151</v>
      </c>
      <c r="K249" s="14">
        <v>151</v>
      </c>
      <c r="L249" s="14">
        <v>150</v>
      </c>
      <c r="M249" s="14">
        <v>150</v>
      </c>
      <c r="N249" s="14">
        <v>151</v>
      </c>
      <c r="O249" s="14">
        <v>150</v>
      </c>
      <c r="P249" s="14">
        <v>150</v>
      </c>
      <c r="Q249" s="14">
        <v>151</v>
      </c>
      <c r="R249" s="14">
        <v>150</v>
      </c>
      <c r="S249" s="14">
        <v>150</v>
      </c>
      <c r="T249" s="14">
        <v>151</v>
      </c>
      <c r="U249" s="14">
        <v>150</v>
      </c>
      <c r="V249" s="14">
        <v>1805</v>
      </c>
    </row>
    <row r="250" spans="7:22" x14ac:dyDescent="0.25">
      <c r="G250" s="39" t="s">
        <v>54</v>
      </c>
      <c r="H250" s="39" t="s">
        <v>1150</v>
      </c>
      <c r="I250" s="39" t="s">
        <v>1151</v>
      </c>
      <c r="J250" s="14">
        <v>-42243</v>
      </c>
      <c r="K250" s="14">
        <v>-42244</v>
      </c>
      <c r="L250" s="14">
        <v>-42243</v>
      </c>
      <c r="M250" s="14">
        <v>-42245</v>
      </c>
      <c r="N250" s="14">
        <v>-42243</v>
      </c>
      <c r="O250" s="14">
        <v>-42244</v>
      </c>
      <c r="P250" s="14">
        <v>-42243</v>
      </c>
      <c r="Q250" s="14">
        <v>-42245</v>
      </c>
      <c r="R250" s="14">
        <v>-42243</v>
      </c>
      <c r="S250" s="14">
        <v>-42244</v>
      </c>
      <c r="T250" s="14">
        <v>-42243</v>
      </c>
      <c r="U250" s="14">
        <v>-42245</v>
      </c>
      <c r="V250" s="14">
        <v>-506925</v>
      </c>
    </row>
    <row r="251" spans="7:22" x14ac:dyDescent="0.25">
      <c r="G251" s="39" t="s">
        <v>632</v>
      </c>
      <c r="H251" s="39" t="s">
        <v>764</v>
      </c>
      <c r="I251" s="39" t="s">
        <v>765</v>
      </c>
      <c r="J251" s="37">
        <v>722339</v>
      </c>
      <c r="K251" s="37">
        <v>687943</v>
      </c>
      <c r="L251" s="37">
        <v>814841</v>
      </c>
      <c r="M251" s="37">
        <v>779413</v>
      </c>
      <c r="N251" s="37">
        <v>743984</v>
      </c>
      <c r="O251" s="37">
        <v>779413</v>
      </c>
      <c r="P251" s="37">
        <v>779413</v>
      </c>
      <c r="Q251" s="37">
        <v>779413</v>
      </c>
      <c r="R251" s="37">
        <v>779413</v>
      </c>
      <c r="S251" s="37">
        <v>743984</v>
      </c>
      <c r="T251" s="37">
        <v>779413</v>
      </c>
      <c r="U251" s="37">
        <v>814841</v>
      </c>
      <c r="V251" s="37">
        <v>9204410</v>
      </c>
    </row>
    <row r="252" spans="7:22" x14ac:dyDescent="0.25">
      <c r="G252" s="39" t="s">
        <v>54</v>
      </c>
      <c r="H252" s="39" t="s">
        <v>767</v>
      </c>
      <c r="I252" s="39" t="s">
        <v>768</v>
      </c>
      <c r="J252" s="37">
        <v>36894</v>
      </c>
      <c r="K252" s="37">
        <v>35143</v>
      </c>
      <c r="L252" s="37">
        <v>41615</v>
      </c>
      <c r="M252" s="37">
        <v>39805</v>
      </c>
      <c r="N252" s="37">
        <v>38029</v>
      </c>
      <c r="O252" s="37">
        <v>39945</v>
      </c>
      <c r="P252" s="37">
        <v>39959</v>
      </c>
      <c r="Q252" s="37">
        <v>39884</v>
      </c>
      <c r="R252" s="37">
        <v>39820</v>
      </c>
      <c r="S252" s="37">
        <v>38011</v>
      </c>
      <c r="T252" s="37">
        <v>39820</v>
      </c>
      <c r="U252" s="37">
        <v>41631</v>
      </c>
      <c r="V252" s="37">
        <v>470556</v>
      </c>
    </row>
    <row r="253" spans="7:22" x14ac:dyDescent="0.25">
      <c r="G253" s="39" t="s">
        <v>54</v>
      </c>
      <c r="H253" s="39" t="s">
        <v>771</v>
      </c>
      <c r="I253" s="39" t="s">
        <v>772</v>
      </c>
      <c r="J253" s="37">
        <v>22536</v>
      </c>
      <c r="K253" s="37">
        <v>28396</v>
      </c>
      <c r="L253" s="37">
        <v>37940</v>
      </c>
      <c r="M253" s="37">
        <v>22752</v>
      </c>
      <c r="N253" s="37">
        <v>22129</v>
      </c>
      <c r="O253" s="37">
        <v>15834</v>
      </c>
      <c r="P253" s="37">
        <v>20089</v>
      </c>
      <c r="Q253" s="37">
        <v>33733</v>
      </c>
      <c r="R253" s="37">
        <v>30685</v>
      </c>
      <c r="S253" s="37">
        <v>37195</v>
      </c>
      <c r="T253" s="37">
        <v>41500</v>
      </c>
      <c r="U253" s="37">
        <v>39588</v>
      </c>
      <c r="V253" s="37">
        <v>352377</v>
      </c>
    </row>
    <row r="254" spans="7:22" x14ac:dyDescent="0.25">
      <c r="G254" s="39" t="s">
        <v>54</v>
      </c>
      <c r="H254" s="39" t="s">
        <v>774</v>
      </c>
      <c r="I254" s="39" t="s">
        <v>775</v>
      </c>
      <c r="J254" s="37">
        <v>52</v>
      </c>
      <c r="K254" s="37">
        <v>22</v>
      </c>
      <c r="L254" s="37">
        <v>30</v>
      </c>
      <c r="M254" s="37">
        <v>53</v>
      </c>
      <c r="N254" s="37">
        <v>47</v>
      </c>
      <c r="O254" s="37">
        <v>30</v>
      </c>
      <c r="P254" s="37">
        <v>89</v>
      </c>
      <c r="Q254" s="37">
        <v>55</v>
      </c>
      <c r="R254" s="37">
        <v>71</v>
      </c>
      <c r="S254" s="37">
        <v>48</v>
      </c>
      <c r="T254" s="37">
        <v>100</v>
      </c>
      <c r="U254" s="37">
        <v>19</v>
      </c>
      <c r="V254" s="37">
        <v>616</v>
      </c>
    </row>
    <row r="255" spans="7:22" x14ac:dyDescent="0.25">
      <c r="G255" s="39" t="s">
        <v>54</v>
      </c>
      <c r="H255" s="39" t="s">
        <v>780</v>
      </c>
      <c r="I255" s="39" t="s">
        <v>781</v>
      </c>
      <c r="J255" s="373"/>
      <c r="K255" s="373"/>
      <c r="L255" s="37">
        <v>-4296</v>
      </c>
      <c r="M255" s="373"/>
      <c r="N255" s="373"/>
      <c r="O255" s="373"/>
      <c r="P255" s="373"/>
      <c r="Q255" s="373"/>
      <c r="R255" s="373"/>
      <c r="S255" s="373"/>
      <c r="T255" s="373"/>
      <c r="U255" s="373"/>
      <c r="V255" s="37">
        <v>-4296</v>
      </c>
    </row>
    <row r="256" spans="7:22" x14ac:dyDescent="0.25">
      <c r="G256" s="39" t="s">
        <v>54</v>
      </c>
      <c r="H256" s="39" t="s">
        <v>786</v>
      </c>
      <c r="I256" s="39" t="s">
        <v>787</v>
      </c>
      <c r="J256" s="37">
        <v>924</v>
      </c>
      <c r="K256" s="37">
        <v>924</v>
      </c>
      <c r="L256" s="37">
        <v>924</v>
      </c>
      <c r="M256" s="37">
        <v>924</v>
      </c>
      <c r="N256" s="37">
        <v>924</v>
      </c>
      <c r="O256" s="37">
        <v>924</v>
      </c>
      <c r="P256" s="37">
        <v>924</v>
      </c>
      <c r="Q256" s="37">
        <v>924</v>
      </c>
      <c r="R256" s="37">
        <v>924</v>
      </c>
      <c r="S256" s="37">
        <v>924</v>
      </c>
      <c r="T256" s="37">
        <v>924</v>
      </c>
      <c r="U256" s="37">
        <v>924</v>
      </c>
      <c r="V256" s="37">
        <v>11088</v>
      </c>
    </row>
    <row r="257" spans="7:22" x14ac:dyDescent="0.25">
      <c r="G257" s="39" t="s">
        <v>54</v>
      </c>
      <c r="H257" s="39" t="s">
        <v>789</v>
      </c>
      <c r="I257" s="39" t="s">
        <v>790</v>
      </c>
      <c r="J257" s="37">
        <v>74360</v>
      </c>
      <c r="K257" s="37">
        <v>74361</v>
      </c>
      <c r="L257" s="37">
        <v>74360</v>
      </c>
      <c r="M257" s="37">
        <v>74361</v>
      </c>
      <c r="N257" s="37">
        <v>74360</v>
      </c>
      <c r="O257" s="37">
        <v>74361</v>
      </c>
      <c r="P257" s="37">
        <v>74360</v>
      </c>
      <c r="Q257" s="37">
        <v>74361</v>
      </c>
      <c r="R257" s="37">
        <v>74360</v>
      </c>
      <c r="S257" s="37">
        <v>74361</v>
      </c>
      <c r="T257" s="37">
        <v>74360</v>
      </c>
      <c r="U257" s="37">
        <v>74361</v>
      </c>
      <c r="V257" s="37">
        <v>892326</v>
      </c>
    </row>
    <row r="258" spans="7:22" x14ac:dyDescent="0.25">
      <c r="G258" s="39" t="s">
        <v>54</v>
      </c>
      <c r="H258" s="39" t="s">
        <v>793</v>
      </c>
      <c r="I258" s="39" t="s">
        <v>794</v>
      </c>
      <c r="J258" s="37">
        <v>6160</v>
      </c>
      <c r="K258" s="37">
        <v>6160</v>
      </c>
      <c r="L258" s="37">
        <v>6160</v>
      </c>
      <c r="M258" s="37">
        <v>6160</v>
      </c>
      <c r="N258" s="37">
        <v>6160</v>
      </c>
      <c r="O258" s="37">
        <v>6160</v>
      </c>
      <c r="P258" s="37">
        <v>6160</v>
      </c>
      <c r="Q258" s="37">
        <v>6160</v>
      </c>
      <c r="R258" s="37">
        <v>6160</v>
      </c>
      <c r="S258" s="37">
        <v>6160</v>
      </c>
      <c r="T258" s="37">
        <v>6160</v>
      </c>
      <c r="U258" s="37">
        <v>6160</v>
      </c>
      <c r="V258" s="37">
        <v>73920</v>
      </c>
    </row>
    <row r="259" spans="7:22" x14ac:dyDescent="0.25">
      <c r="G259" s="39" t="s">
        <v>54</v>
      </c>
      <c r="H259" s="39" t="s">
        <v>796</v>
      </c>
      <c r="I259" s="39" t="s">
        <v>797</v>
      </c>
      <c r="J259" s="37">
        <v>1709</v>
      </c>
      <c r="K259" s="37">
        <v>1630</v>
      </c>
      <c r="L259" s="37">
        <v>1951</v>
      </c>
      <c r="M259" s="37">
        <v>1869</v>
      </c>
      <c r="N259" s="37">
        <v>1787</v>
      </c>
      <c r="O259" s="37">
        <v>1869</v>
      </c>
      <c r="P259" s="37">
        <v>1869</v>
      </c>
      <c r="Q259" s="37">
        <v>1870</v>
      </c>
      <c r="R259" s="37">
        <v>1870</v>
      </c>
      <c r="S259" s="37">
        <v>1788</v>
      </c>
      <c r="T259" s="37">
        <v>1871</v>
      </c>
      <c r="U259" s="37">
        <v>1953</v>
      </c>
      <c r="V259" s="37">
        <v>22036</v>
      </c>
    </row>
    <row r="260" spans="7:22" x14ac:dyDescent="0.25">
      <c r="G260" s="39" t="s">
        <v>54</v>
      </c>
      <c r="H260" s="39" t="s">
        <v>799</v>
      </c>
      <c r="I260" s="39" t="s">
        <v>800</v>
      </c>
      <c r="J260" s="37">
        <v>45</v>
      </c>
      <c r="K260" s="37">
        <v>18</v>
      </c>
      <c r="L260" s="37">
        <v>42</v>
      </c>
      <c r="M260" s="37">
        <v>114</v>
      </c>
      <c r="N260" s="37">
        <v>96</v>
      </c>
      <c r="O260" s="37">
        <v>93</v>
      </c>
      <c r="P260" s="37">
        <v>59</v>
      </c>
      <c r="Q260" s="37">
        <v>73</v>
      </c>
      <c r="R260" s="37">
        <v>58</v>
      </c>
      <c r="S260" s="37">
        <v>66</v>
      </c>
      <c r="T260" s="37">
        <v>68</v>
      </c>
      <c r="U260" s="37">
        <v>50</v>
      </c>
      <c r="V260" s="37">
        <v>782</v>
      </c>
    </row>
    <row r="261" spans="7:22" x14ac:dyDescent="0.25">
      <c r="G261" s="39" t="s">
        <v>54</v>
      </c>
      <c r="H261" s="39" t="s">
        <v>814</v>
      </c>
      <c r="I261" s="39" t="s">
        <v>815</v>
      </c>
      <c r="J261" s="37">
        <v>162</v>
      </c>
      <c r="K261" s="37">
        <v>162</v>
      </c>
      <c r="L261" s="37">
        <v>162</v>
      </c>
      <c r="M261" s="37">
        <v>162</v>
      </c>
      <c r="N261" s="37">
        <v>162</v>
      </c>
      <c r="O261" s="37">
        <v>162</v>
      </c>
      <c r="P261" s="37">
        <v>162</v>
      </c>
      <c r="Q261" s="37">
        <v>162</v>
      </c>
      <c r="R261" s="37">
        <v>162</v>
      </c>
      <c r="S261" s="37">
        <v>162</v>
      </c>
      <c r="T261" s="37">
        <v>162</v>
      </c>
      <c r="U261" s="37">
        <v>162</v>
      </c>
      <c r="V261" s="37">
        <v>1944</v>
      </c>
    </row>
    <row r="262" spans="7:22" x14ac:dyDescent="0.25">
      <c r="G262" s="39" t="s">
        <v>54</v>
      </c>
      <c r="H262" s="39" t="s">
        <v>932</v>
      </c>
      <c r="I262" s="39" t="s">
        <v>933</v>
      </c>
      <c r="J262" s="37">
        <v>117521</v>
      </c>
      <c r="K262" s="37">
        <v>112410</v>
      </c>
      <c r="L262" s="37">
        <v>131269</v>
      </c>
      <c r="M262" s="37">
        <v>126005</v>
      </c>
      <c r="N262" s="37">
        <v>120741</v>
      </c>
      <c r="O262" s="37">
        <v>126005</v>
      </c>
      <c r="P262" s="37">
        <v>126005</v>
      </c>
      <c r="Q262" s="37">
        <v>126005</v>
      </c>
      <c r="R262" s="37">
        <v>126005</v>
      </c>
      <c r="S262" s="37">
        <v>120741</v>
      </c>
      <c r="T262" s="37">
        <v>126005</v>
      </c>
      <c r="U262" s="37">
        <v>131269</v>
      </c>
      <c r="V262" s="37">
        <v>1489981</v>
      </c>
    </row>
    <row r="263" spans="7:22" x14ac:dyDescent="0.25">
      <c r="G263" s="39" t="s">
        <v>54</v>
      </c>
      <c r="H263" s="39" t="s">
        <v>934</v>
      </c>
      <c r="I263" s="39" t="s">
        <v>935</v>
      </c>
      <c r="J263" s="37">
        <v>1229</v>
      </c>
      <c r="K263" s="37">
        <v>1229</v>
      </c>
      <c r="L263" s="37">
        <v>1229</v>
      </c>
      <c r="M263" s="37">
        <v>1229</v>
      </c>
      <c r="N263" s="37">
        <v>1229</v>
      </c>
      <c r="O263" s="37">
        <v>1229</v>
      </c>
      <c r="P263" s="37">
        <v>1229</v>
      </c>
      <c r="Q263" s="37">
        <v>1229</v>
      </c>
      <c r="R263" s="37">
        <v>1229</v>
      </c>
      <c r="S263" s="37">
        <v>1229</v>
      </c>
      <c r="T263" s="37">
        <v>1229</v>
      </c>
      <c r="U263" s="37">
        <v>1229</v>
      </c>
      <c r="V263" s="37">
        <v>14748</v>
      </c>
    </row>
    <row r="264" spans="7:22" x14ac:dyDescent="0.25">
      <c r="G264" s="39" t="s">
        <v>54</v>
      </c>
      <c r="H264" s="39" t="s">
        <v>936</v>
      </c>
      <c r="I264" s="39" t="s">
        <v>937</v>
      </c>
      <c r="J264" s="37">
        <v>3928</v>
      </c>
      <c r="K264" s="37">
        <v>3765</v>
      </c>
      <c r="L264" s="37">
        <v>4368</v>
      </c>
      <c r="M264" s="37">
        <v>4200</v>
      </c>
      <c r="N264" s="37">
        <v>4031</v>
      </c>
      <c r="O264" s="37">
        <v>4200</v>
      </c>
      <c r="P264" s="37">
        <v>4200</v>
      </c>
      <c r="Q264" s="37">
        <v>4200</v>
      </c>
      <c r="R264" s="37">
        <v>4200</v>
      </c>
      <c r="S264" s="37">
        <v>4031</v>
      </c>
      <c r="T264" s="37">
        <v>4200</v>
      </c>
      <c r="U264" s="37">
        <v>4368</v>
      </c>
      <c r="V264" s="37">
        <v>49691</v>
      </c>
    </row>
    <row r="265" spans="7:22" x14ac:dyDescent="0.25">
      <c r="G265" s="39" t="s">
        <v>54</v>
      </c>
      <c r="H265" s="39" t="s">
        <v>938</v>
      </c>
      <c r="I265" s="39" t="s">
        <v>939</v>
      </c>
      <c r="J265" s="37">
        <v>1126</v>
      </c>
      <c r="K265" s="37">
        <v>1072</v>
      </c>
      <c r="L265" s="37">
        <v>1271</v>
      </c>
      <c r="M265" s="37">
        <v>1215</v>
      </c>
      <c r="N265" s="37">
        <v>1160</v>
      </c>
      <c r="O265" s="37">
        <v>1215</v>
      </c>
      <c r="P265" s="37">
        <v>1215</v>
      </c>
      <c r="Q265" s="37">
        <v>1215</v>
      </c>
      <c r="R265" s="37">
        <v>1215</v>
      </c>
      <c r="S265" s="37">
        <v>1160</v>
      </c>
      <c r="T265" s="37">
        <v>1215</v>
      </c>
      <c r="U265" s="37">
        <v>1271</v>
      </c>
      <c r="V265" s="37">
        <v>14350</v>
      </c>
    </row>
    <row r="266" spans="7:22" x14ac:dyDescent="0.25">
      <c r="G266" s="39" t="s">
        <v>54</v>
      </c>
      <c r="H266" s="39" t="s">
        <v>940</v>
      </c>
      <c r="I266" s="39" t="s">
        <v>941</v>
      </c>
      <c r="J266" s="37">
        <v>4876</v>
      </c>
      <c r="K266" s="37">
        <v>4644</v>
      </c>
      <c r="L266" s="37">
        <v>5501</v>
      </c>
      <c r="M266" s="37">
        <v>5262</v>
      </c>
      <c r="N266" s="37">
        <v>5022</v>
      </c>
      <c r="O266" s="37">
        <v>5262</v>
      </c>
      <c r="P266" s="37">
        <v>5262</v>
      </c>
      <c r="Q266" s="37">
        <v>5262</v>
      </c>
      <c r="R266" s="37">
        <v>5262</v>
      </c>
      <c r="S266" s="37">
        <v>5022</v>
      </c>
      <c r="T266" s="37">
        <v>5262</v>
      </c>
      <c r="U266" s="37">
        <v>5501</v>
      </c>
      <c r="V266" s="37">
        <v>62138</v>
      </c>
    </row>
    <row r="267" spans="7:22" x14ac:dyDescent="0.25">
      <c r="G267" s="39" t="s">
        <v>54</v>
      </c>
      <c r="H267" s="39" t="s">
        <v>942</v>
      </c>
      <c r="I267" s="39" t="s">
        <v>943</v>
      </c>
      <c r="J267" s="37">
        <v>1466</v>
      </c>
      <c r="K267" s="37">
        <v>1466</v>
      </c>
      <c r="L267" s="37">
        <v>1465</v>
      </c>
      <c r="M267" s="37">
        <v>1466</v>
      </c>
      <c r="N267" s="37">
        <v>1466</v>
      </c>
      <c r="O267" s="37">
        <v>1465</v>
      </c>
      <c r="P267" s="37">
        <v>1466</v>
      </c>
      <c r="Q267" s="37">
        <v>1466</v>
      </c>
      <c r="R267" s="37">
        <v>1465</v>
      </c>
      <c r="S267" s="37">
        <v>1466</v>
      </c>
      <c r="T267" s="37">
        <v>1466</v>
      </c>
      <c r="U267" s="37">
        <v>1465</v>
      </c>
      <c r="V267" s="37">
        <v>17588</v>
      </c>
    </row>
    <row r="268" spans="7:22" x14ac:dyDescent="0.25">
      <c r="G268" s="39" t="s">
        <v>54</v>
      </c>
      <c r="H268" s="39" t="s">
        <v>945</v>
      </c>
      <c r="I268" s="39" t="s">
        <v>946</v>
      </c>
      <c r="J268" s="37">
        <v>33</v>
      </c>
      <c r="K268" s="37">
        <v>33</v>
      </c>
      <c r="L268" s="37">
        <v>33</v>
      </c>
      <c r="M268" s="37">
        <v>32</v>
      </c>
      <c r="N268" s="37">
        <v>33</v>
      </c>
      <c r="O268" s="37">
        <v>33</v>
      </c>
      <c r="P268" s="37">
        <v>33</v>
      </c>
      <c r="Q268" s="37">
        <v>33</v>
      </c>
      <c r="R268" s="37">
        <v>32</v>
      </c>
      <c r="S268" s="37">
        <v>33</v>
      </c>
      <c r="T268" s="37">
        <v>33</v>
      </c>
      <c r="U268" s="37">
        <v>33</v>
      </c>
      <c r="V268" s="37">
        <v>394</v>
      </c>
    </row>
    <row r="269" spans="7:22" x14ac:dyDescent="0.25">
      <c r="G269" s="39" t="s">
        <v>54</v>
      </c>
      <c r="H269" s="39" t="s">
        <v>947</v>
      </c>
      <c r="I269" s="39" t="s">
        <v>948</v>
      </c>
      <c r="J269" s="37">
        <v>42243</v>
      </c>
      <c r="K269" s="37">
        <v>42244</v>
      </c>
      <c r="L269" s="37">
        <v>42243</v>
      </c>
      <c r="M269" s="37">
        <v>42245</v>
      </c>
      <c r="N269" s="37">
        <v>42243</v>
      </c>
      <c r="O269" s="37">
        <v>42244</v>
      </c>
      <c r="P269" s="37">
        <v>42243</v>
      </c>
      <c r="Q269" s="37">
        <v>42245</v>
      </c>
      <c r="R269" s="37">
        <v>42243</v>
      </c>
      <c r="S269" s="37">
        <v>42244</v>
      </c>
      <c r="T269" s="37">
        <v>42243</v>
      </c>
      <c r="U269" s="37">
        <v>42245</v>
      </c>
      <c r="V269" s="37">
        <v>506925</v>
      </c>
    </row>
    <row r="270" spans="7:22" x14ac:dyDescent="0.25">
      <c r="G270" s="39" t="s">
        <v>54</v>
      </c>
      <c r="H270" s="39" t="s">
        <v>949</v>
      </c>
      <c r="I270" s="39" t="s">
        <v>950</v>
      </c>
      <c r="J270" s="37">
        <v>250</v>
      </c>
      <c r="K270" s="37">
        <v>250</v>
      </c>
      <c r="L270" s="37">
        <v>250</v>
      </c>
      <c r="M270" s="37">
        <v>250</v>
      </c>
      <c r="N270" s="37">
        <v>250</v>
      </c>
      <c r="O270" s="37">
        <v>250</v>
      </c>
      <c r="P270" s="37">
        <v>250</v>
      </c>
      <c r="Q270" s="37">
        <v>250</v>
      </c>
      <c r="R270" s="37">
        <v>250</v>
      </c>
      <c r="S270" s="37">
        <v>1250</v>
      </c>
      <c r="T270" s="37">
        <v>250</v>
      </c>
      <c r="U270" s="37">
        <v>250</v>
      </c>
      <c r="V270" s="37">
        <v>4000</v>
      </c>
    </row>
    <row r="271" spans="7:22" x14ac:dyDescent="0.25">
      <c r="G271" s="39" t="s">
        <v>54</v>
      </c>
      <c r="H271" s="39" t="s">
        <v>951</v>
      </c>
      <c r="I271" s="39" t="s">
        <v>952</v>
      </c>
      <c r="J271" s="37">
        <v>34363</v>
      </c>
      <c r="K271" s="37">
        <v>34362</v>
      </c>
      <c r="L271" s="37">
        <v>34363</v>
      </c>
      <c r="M271" s="37">
        <v>34362</v>
      </c>
      <c r="N271" s="37">
        <v>34363</v>
      </c>
      <c r="O271" s="37">
        <v>34362</v>
      </c>
      <c r="P271" s="37">
        <v>34363</v>
      </c>
      <c r="Q271" s="37">
        <v>34362</v>
      </c>
      <c r="R271" s="37">
        <v>34363</v>
      </c>
      <c r="S271" s="37">
        <v>34362</v>
      </c>
      <c r="T271" s="37">
        <v>34363</v>
      </c>
      <c r="U271" s="37">
        <v>34362</v>
      </c>
      <c r="V271" s="37">
        <v>412350</v>
      </c>
    </row>
    <row r="272" spans="7:22" x14ac:dyDescent="0.25">
      <c r="G272" s="39" t="s">
        <v>54</v>
      </c>
      <c r="H272" s="39" t="s">
        <v>953</v>
      </c>
      <c r="I272" s="39" t="s">
        <v>954</v>
      </c>
      <c r="J272" s="37">
        <v>38127</v>
      </c>
      <c r="K272" s="37">
        <v>36311</v>
      </c>
      <c r="L272" s="37">
        <v>43008</v>
      </c>
      <c r="M272" s="37">
        <v>41138</v>
      </c>
      <c r="N272" s="37">
        <v>39269</v>
      </c>
      <c r="O272" s="37">
        <v>41138</v>
      </c>
      <c r="P272" s="37">
        <v>41138</v>
      </c>
      <c r="Q272" s="37">
        <v>41138</v>
      </c>
      <c r="R272" s="37">
        <v>41138</v>
      </c>
      <c r="S272" s="37">
        <v>39269</v>
      </c>
      <c r="T272" s="37">
        <v>41138</v>
      </c>
      <c r="U272" s="37">
        <v>43008</v>
      </c>
      <c r="V272" s="37">
        <v>485820</v>
      </c>
    </row>
    <row r="273" spans="7:22" x14ac:dyDescent="0.25">
      <c r="G273" s="39" t="s">
        <v>54</v>
      </c>
      <c r="H273" s="39" t="s">
        <v>955</v>
      </c>
      <c r="I273" s="39" t="s">
        <v>956</v>
      </c>
      <c r="J273" s="37">
        <v>6004</v>
      </c>
      <c r="K273" s="37">
        <v>5986</v>
      </c>
      <c r="L273" s="37">
        <v>6042</v>
      </c>
      <c r="M273" s="37">
        <v>6023</v>
      </c>
      <c r="N273" s="37">
        <v>5995</v>
      </c>
      <c r="O273" s="37">
        <v>5974</v>
      </c>
      <c r="P273" s="37">
        <v>5968</v>
      </c>
      <c r="Q273" s="37">
        <v>5998</v>
      </c>
      <c r="R273" s="37">
        <v>6014</v>
      </c>
      <c r="S273" s="37">
        <v>5998</v>
      </c>
      <c r="T273" s="37">
        <v>6013</v>
      </c>
      <c r="U273" s="37">
        <v>6035</v>
      </c>
      <c r="V273" s="37">
        <v>72050</v>
      </c>
    </row>
    <row r="274" spans="7:22" x14ac:dyDescent="0.25">
      <c r="G274" s="39" t="s">
        <v>54</v>
      </c>
      <c r="H274" s="39" t="s">
        <v>957</v>
      </c>
      <c r="I274" s="39" t="s">
        <v>958</v>
      </c>
      <c r="J274" s="37">
        <v>30622</v>
      </c>
      <c r="K274" s="37">
        <v>25476</v>
      </c>
      <c r="L274" s="37">
        <v>44474</v>
      </c>
      <c r="M274" s="37">
        <v>39169</v>
      </c>
      <c r="N274" s="37">
        <v>33868</v>
      </c>
      <c r="O274" s="37">
        <v>39169</v>
      </c>
      <c r="P274" s="37">
        <v>39169</v>
      </c>
      <c r="Q274" s="37">
        <v>39169</v>
      </c>
      <c r="R274" s="37">
        <v>39169</v>
      </c>
      <c r="S274" s="37">
        <v>33868</v>
      </c>
      <c r="T274" s="37">
        <v>39169</v>
      </c>
      <c r="U274" s="37">
        <v>44473</v>
      </c>
      <c r="V274" s="37">
        <v>447795</v>
      </c>
    </row>
    <row r="275" spans="7:22" x14ac:dyDescent="0.25">
      <c r="G275" s="39" t="s">
        <v>54</v>
      </c>
      <c r="H275" s="39" t="s">
        <v>959</v>
      </c>
      <c r="I275" s="39" t="s">
        <v>960</v>
      </c>
      <c r="J275" s="37">
        <v>3670</v>
      </c>
      <c r="K275" s="37">
        <v>3494</v>
      </c>
      <c r="L275" s="37">
        <v>4144</v>
      </c>
      <c r="M275" s="37">
        <v>3963</v>
      </c>
      <c r="N275" s="37">
        <v>3783</v>
      </c>
      <c r="O275" s="37">
        <v>3963</v>
      </c>
      <c r="P275" s="37">
        <v>3964</v>
      </c>
      <c r="Q275" s="37">
        <v>3965</v>
      </c>
      <c r="R275" s="37">
        <v>3965</v>
      </c>
      <c r="S275" s="37">
        <v>3783</v>
      </c>
      <c r="T275" s="37">
        <v>3965</v>
      </c>
      <c r="U275" s="37">
        <v>4146</v>
      </c>
      <c r="V275" s="37">
        <v>46805</v>
      </c>
    </row>
    <row r="276" spans="7:22" x14ac:dyDescent="0.25">
      <c r="G276" s="39" t="s">
        <v>54</v>
      </c>
      <c r="H276" s="39" t="s">
        <v>979</v>
      </c>
      <c r="I276" s="39" t="s">
        <v>980</v>
      </c>
      <c r="J276" s="37">
        <v>6044</v>
      </c>
      <c r="K276" s="37">
        <v>6090</v>
      </c>
      <c r="L276" s="37">
        <v>6093</v>
      </c>
      <c r="M276" s="37">
        <v>6098</v>
      </c>
      <c r="N276" s="37">
        <v>6094</v>
      </c>
      <c r="O276" s="37">
        <v>6108</v>
      </c>
      <c r="P276" s="37">
        <v>6096</v>
      </c>
      <c r="Q276" s="37">
        <v>6113</v>
      </c>
      <c r="R276" s="37">
        <v>6106</v>
      </c>
      <c r="S276" s="37">
        <v>6093</v>
      </c>
      <c r="T276" s="37">
        <v>6095</v>
      </c>
      <c r="U276" s="37">
        <v>6031</v>
      </c>
      <c r="V276" s="37">
        <v>73061</v>
      </c>
    </row>
    <row r="277" spans="7:22" x14ac:dyDescent="0.25">
      <c r="G277" s="39" t="s">
        <v>54</v>
      </c>
      <c r="H277" s="39" t="s">
        <v>981</v>
      </c>
      <c r="I277" s="39" t="s">
        <v>982</v>
      </c>
      <c r="J277" s="37">
        <v>26</v>
      </c>
      <c r="K277" s="37">
        <v>26</v>
      </c>
      <c r="L277" s="37">
        <v>26</v>
      </c>
      <c r="M277" s="37">
        <v>26</v>
      </c>
      <c r="N277" s="37">
        <v>26</v>
      </c>
      <c r="O277" s="37">
        <v>29</v>
      </c>
      <c r="P277" s="37">
        <v>29</v>
      </c>
      <c r="Q277" s="37">
        <v>29</v>
      </c>
      <c r="R277" s="37">
        <v>29</v>
      </c>
      <c r="S277" s="37">
        <v>26</v>
      </c>
      <c r="T277" s="37">
        <v>26</v>
      </c>
      <c r="U277" s="37">
        <v>26</v>
      </c>
      <c r="V277" s="37">
        <v>324</v>
      </c>
    </row>
    <row r="278" spans="7:22" x14ac:dyDescent="0.25">
      <c r="G278" s="39" t="s">
        <v>54</v>
      </c>
      <c r="H278" s="39" t="s">
        <v>983</v>
      </c>
      <c r="I278" s="39" t="s">
        <v>984</v>
      </c>
      <c r="J278" s="37">
        <v>961</v>
      </c>
      <c r="K278" s="37">
        <v>961</v>
      </c>
      <c r="L278" s="37">
        <v>964</v>
      </c>
      <c r="M278" s="37">
        <v>1061</v>
      </c>
      <c r="N278" s="37">
        <v>963</v>
      </c>
      <c r="O278" s="37">
        <v>974</v>
      </c>
      <c r="P278" s="37">
        <v>963</v>
      </c>
      <c r="Q278" s="37">
        <v>1164</v>
      </c>
      <c r="R278" s="37">
        <v>969</v>
      </c>
      <c r="S278" s="37">
        <v>964</v>
      </c>
      <c r="T278" s="37">
        <v>966</v>
      </c>
      <c r="U278" s="37">
        <v>973</v>
      </c>
      <c r="V278" s="37">
        <v>11883</v>
      </c>
    </row>
    <row r="279" spans="7:22" x14ac:dyDescent="0.25">
      <c r="G279" s="39" t="s">
        <v>54</v>
      </c>
      <c r="H279" s="39" t="s">
        <v>985</v>
      </c>
      <c r="I279" s="39" t="s">
        <v>986</v>
      </c>
      <c r="J279" s="37">
        <v>1010</v>
      </c>
      <c r="K279" s="37">
        <v>1012</v>
      </c>
      <c r="L279" s="37">
        <v>1012</v>
      </c>
      <c r="M279" s="37">
        <v>1012</v>
      </c>
      <c r="N279" s="37">
        <v>1012</v>
      </c>
      <c r="O279" s="37">
        <v>1021</v>
      </c>
      <c r="P279" s="37">
        <v>1021</v>
      </c>
      <c r="Q279" s="37">
        <v>1012</v>
      </c>
      <c r="R279" s="37">
        <v>1012</v>
      </c>
      <c r="S279" s="37">
        <v>1012</v>
      </c>
      <c r="T279" s="37">
        <v>1012</v>
      </c>
      <c r="U279" s="37">
        <v>1040</v>
      </c>
      <c r="V279" s="37">
        <v>12188</v>
      </c>
    </row>
    <row r="280" spans="7:22" x14ac:dyDescent="0.25">
      <c r="G280" s="39" t="s">
        <v>54</v>
      </c>
      <c r="H280" s="39" t="s">
        <v>987</v>
      </c>
      <c r="I280" s="39" t="s">
        <v>988</v>
      </c>
      <c r="J280" s="37">
        <v>33</v>
      </c>
      <c r="K280" s="37">
        <v>33</v>
      </c>
      <c r="L280" s="37">
        <v>33</v>
      </c>
      <c r="M280" s="37">
        <v>51</v>
      </c>
      <c r="N280" s="37">
        <v>33</v>
      </c>
      <c r="O280" s="37">
        <v>50</v>
      </c>
      <c r="P280" s="37">
        <v>36</v>
      </c>
      <c r="Q280" s="37">
        <v>33</v>
      </c>
      <c r="R280" s="37">
        <v>68</v>
      </c>
      <c r="S280" s="37">
        <v>33</v>
      </c>
      <c r="T280" s="37">
        <v>33</v>
      </c>
      <c r="U280" s="37">
        <v>33</v>
      </c>
      <c r="V280" s="37">
        <v>469</v>
      </c>
    </row>
    <row r="281" spans="7:22" x14ac:dyDescent="0.25">
      <c r="G281" s="39" t="s">
        <v>54</v>
      </c>
      <c r="H281" s="39" t="s">
        <v>967</v>
      </c>
      <c r="I281" s="39" t="s">
        <v>968</v>
      </c>
      <c r="J281" s="37">
        <v>83</v>
      </c>
      <c r="K281" s="37">
        <v>83</v>
      </c>
      <c r="L281" s="37">
        <v>83</v>
      </c>
      <c r="M281" s="37">
        <v>83</v>
      </c>
      <c r="N281" s="37">
        <v>83</v>
      </c>
      <c r="O281" s="37">
        <v>83</v>
      </c>
      <c r="P281" s="37">
        <v>83</v>
      </c>
      <c r="Q281" s="37">
        <v>83</v>
      </c>
      <c r="R281" s="37">
        <v>83</v>
      </c>
      <c r="S281" s="37">
        <v>83</v>
      </c>
      <c r="T281" s="37">
        <v>83</v>
      </c>
      <c r="U281" s="37">
        <v>83</v>
      </c>
      <c r="V281" s="37">
        <v>996</v>
      </c>
    </row>
    <row r="282" spans="7:22" x14ac:dyDescent="0.25">
      <c r="G282" s="39" t="s">
        <v>54</v>
      </c>
      <c r="H282" s="39" t="s">
        <v>969</v>
      </c>
      <c r="I282" s="39" t="s">
        <v>970</v>
      </c>
      <c r="J282" s="37">
        <v>44</v>
      </c>
      <c r="K282" s="37">
        <v>44</v>
      </c>
      <c r="L282" s="37">
        <v>44</v>
      </c>
      <c r="M282" s="37">
        <v>44</v>
      </c>
      <c r="N282" s="37">
        <v>44</v>
      </c>
      <c r="O282" s="37">
        <v>44</v>
      </c>
      <c r="P282" s="37">
        <v>44</v>
      </c>
      <c r="Q282" s="37">
        <v>44</v>
      </c>
      <c r="R282" s="37">
        <v>44</v>
      </c>
      <c r="S282" s="37">
        <v>44</v>
      </c>
      <c r="T282" s="37">
        <v>44</v>
      </c>
      <c r="U282" s="37">
        <v>44</v>
      </c>
      <c r="V282" s="37">
        <v>528</v>
      </c>
    </row>
    <row r="283" spans="7:22" x14ac:dyDescent="0.25">
      <c r="G283" s="39" t="s">
        <v>54</v>
      </c>
      <c r="H283" s="39" t="s">
        <v>971</v>
      </c>
      <c r="I283" s="39" t="s">
        <v>972</v>
      </c>
      <c r="J283" s="37">
        <v>1085</v>
      </c>
      <c r="K283" s="37">
        <v>990</v>
      </c>
      <c r="L283" s="37">
        <v>894</v>
      </c>
      <c r="M283" s="37">
        <v>890</v>
      </c>
      <c r="N283" s="37">
        <v>1385</v>
      </c>
      <c r="O283" s="37">
        <v>899</v>
      </c>
      <c r="P283" s="37">
        <v>885</v>
      </c>
      <c r="Q283" s="37">
        <v>890</v>
      </c>
      <c r="R283" s="37">
        <v>894</v>
      </c>
      <c r="S283" s="37">
        <v>890</v>
      </c>
      <c r="T283" s="37">
        <v>1385</v>
      </c>
      <c r="U283" s="37">
        <v>899</v>
      </c>
      <c r="V283" s="37">
        <v>11986</v>
      </c>
    </row>
    <row r="284" spans="7:22" x14ac:dyDescent="0.25">
      <c r="G284" s="39" t="s">
        <v>54</v>
      </c>
      <c r="H284" s="39" t="s">
        <v>973</v>
      </c>
      <c r="I284" s="39" t="s">
        <v>974</v>
      </c>
      <c r="J284" s="37">
        <v>790</v>
      </c>
      <c r="K284" s="37">
        <v>800</v>
      </c>
      <c r="L284" s="37">
        <v>1000</v>
      </c>
      <c r="M284" s="37">
        <v>700</v>
      </c>
      <c r="N284" s="37">
        <v>900</v>
      </c>
      <c r="O284" s="37">
        <v>1210</v>
      </c>
      <c r="P284" s="37">
        <v>1400</v>
      </c>
      <c r="Q284" s="37">
        <v>710</v>
      </c>
      <c r="R284" s="37">
        <v>780</v>
      </c>
      <c r="S284" s="37">
        <v>600</v>
      </c>
      <c r="T284" s="37">
        <v>1740</v>
      </c>
      <c r="U284" s="37">
        <v>980</v>
      </c>
      <c r="V284" s="37">
        <v>11610</v>
      </c>
    </row>
    <row r="285" spans="7:22" x14ac:dyDescent="0.25">
      <c r="G285" s="39" t="s">
        <v>54</v>
      </c>
      <c r="H285" s="39" t="s">
        <v>975</v>
      </c>
      <c r="I285" s="39" t="s">
        <v>976</v>
      </c>
      <c r="J285" s="37">
        <v>482</v>
      </c>
      <c r="K285" s="37">
        <v>483</v>
      </c>
      <c r="L285" s="37">
        <v>532</v>
      </c>
      <c r="M285" s="37">
        <v>483</v>
      </c>
      <c r="N285" s="37">
        <v>483</v>
      </c>
      <c r="O285" s="37">
        <v>485</v>
      </c>
      <c r="P285" s="37">
        <v>732</v>
      </c>
      <c r="Q285" s="37">
        <v>485</v>
      </c>
      <c r="R285" s="37">
        <v>485</v>
      </c>
      <c r="S285" s="37">
        <v>650</v>
      </c>
      <c r="T285" s="37">
        <v>494</v>
      </c>
      <c r="U285" s="37">
        <v>526</v>
      </c>
      <c r="V285" s="37">
        <v>6320</v>
      </c>
    </row>
    <row r="286" spans="7:22" x14ac:dyDescent="0.25">
      <c r="G286" s="39" t="s">
        <v>54</v>
      </c>
      <c r="H286" s="39" t="s">
        <v>977</v>
      </c>
      <c r="I286" s="39" t="s">
        <v>978</v>
      </c>
      <c r="J286" s="37">
        <v>90</v>
      </c>
      <c r="K286" s="37">
        <v>90</v>
      </c>
      <c r="L286" s="37">
        <v>90</v>
      </c>
      <c r="M286" s="37">
        <v>90</v>
      </c>
      <c r="N286" s="37">
        <v>90</v>
      </c>
      <c r="O286" s="37">
        <v>90</v>
      </c>
      <c r="P286" s="37">
        <v>90</v>
      </c>
      <c r="Q286" s="37">
        <v>90</v>
      </c>
      <c r="R286" s="37">
        <v>90</v>
      </c>
      <c r="S286" s="37">
        <v>90</v>
      </c>
      <c r="T286" s="37">
        <v>90</v>
      </c>
      <c r="U286" s="37">
        <v>90</v>
      </c>
      <c r="V286" s="37">
        <v>1080</v>
      </c>
    </row>
    <row r="287" spans="7:22" x14ac:dyDescent="0.25">
      <c r="G287" s="39" t="s">
        <v>54</v>
      </c>
      <c r="H287" s="39" t="s">
        <v>989</v>
      </c>
      <c r="I287" s="39" t="s">
        <v>990</v>
      </c>
      <c r="J287" s="37">
        <v>1800</v>
      </c>
      <c r="K287" s="37">
        <v>1800</v>
      </c>
      <c r="L287" s="37">
        <v>1800</v>
      </c>
      <c r="M287" s="37">
        <v>1800</v>
      </c>
      <c r="N287" s="37">
        <v>1800</v>
      </c>
      <c r="O287" s="37">
        <v>1800</v>
      </c>
      <c r="P287" s="37">
        <v>1800</v>
      </c>
      <c r="Q287" s="37">
        <v>1800</v>
      </c>
      <c r="R287" s="37">
        <v>1800</v>
      </c>
      <c r="S287" s="37">
        <v>1800</v>
      </c>
      <c r="T287" s="37">
        <v>1800</v>
      </c>
      <c r="U287" s="37">
        <v>1800</v>
      </c>
      <c r="V287" s="37">
        <v>21600</v>
      </c>
    </row>
    <row r="288" spans="7:22" x14ac:dyDescent="0.25">
      <c r="G288" s="39" t="s">
        <v>54</v>
      </c>
      <c r="H288" s="39" t="s">
        <v>991</v>
      </c>
      <c r="I288" s="39" t="s">
        <v>992</v>
      </c>
      <c r="J288" s="37">
        <v>680</v>
      </c>
      <c r="K288" s="37">
        <v>680</v>
      </c>
      <c r="L288" s="37">
        <v>680</v>
      </c>
      <c r="M288" s="37">
        <v>680</v>
      </c>
      <c r="N288" s="37">
        <v>680</v>
      </c>
      <c r="O288" s="37">
        <v>680</v>
      </c>
      <c r="P288" s="37">
        <v>680</v>
      </c>
      <c r="Q288" s="37">
        <v>680</v>
      </c>
      <c r="R288" s="37">
        <v>680</v>
      </c>
      <c r="S288" s="37">
        <v>680</v>
      </c>
      <c r="T288" s="37">
        <v>680</v>
      </c>
      <c r="U288" s="37">
        <v>680</v>
      </c>
      <c r="V288" s="37">
        <v>8160</v>
      </c>
    </row>
    <row r="289" spans="7:22" x14ac:dyDescent="0.25">
      <c r="G289" s="39" t="s">
        <v>54</v>
      </c>
      <c r="H289" s="39" t="s">
        <v>993</v>
      </c>
      <c r="I289" s="39" t="s">
        <v>994</v>
      </c>
      <c r="J289" s="37">
        <v>5415</v>
      </c>
      <c r="K289" s="37">
        <v>5560</v>
      </c>
      <c r="L289" s="37">
        <v>5850</v>
      </c>
      <c r="M289" s="37">
        <v>5464</v>
      </c>
      <c r="N289" s="37">
        <v>5560</v>
      </c>
      <c r="O289" s="37">
        <v>5800</v>
      </c>
      <c r="P289" s="37">
        <v>5459</v>
      </c>
      <c r="Q289" s="37">
        <v>5465</v>
      </c>
      <c r="R289" s="37">
        <v>5850</v>
      </c>
      <c r="S289" s="37">
        <v>5530</v>
      </c>
      <c r="T289" s="37">
        <v>5560</v>
      </c>
      <c r="U289" s="37">
        <v>5734</v>
      </c>
      <c r="V289" s="37">
        <v>67247</v>
      </c>
    </row>
    <row r="290" spans="7:22" x14ac:dyDescent="0.25">
      <c r="G290" s="39" t="s">
        <v>54</v>
      </c>
      <c r="H290" s="39" t="s">
        <v>995</v>
      </c>
      <c r="I290" s="39" t="s">
        <v>996</v>
      </c>
      <c r="J290" s="37">
        <v>430</v>
      </c>
      <c r="K290" s="37">
        <v>430</v>
      </c>
      <c r="L290" s="37">
        <v>430</v>
      </c>
      <c r="M290" s="37">
        <v>430</v>
      </c>
      <c r="N290" s="37">
        <v>430</v>
      </c>
      <c r="O290" s="37">
        <v>430</v>
      </c>
      <c r="P290" s="37">
        <v>430</v>
      </c>
      <c r="Q290" s="37">
        <v>430</v>
      </c>
      <c r="R290" s="37">
        <v>430</v>
      </c>
      <c r="S290" s="37">
        <v>430</v>
      </c>
      <c r="T290" s="37">
        <v>430</v>
      </c>
      <c r="U290" s="37">
        <v>430</v>
      </c>
      <c r="V290" s="37">
        <v>5160</v>
      </c>
    </row>
    <row r="291" spans="7:22" x14ac:dyDescent="0.25">
      <c r="G291" s="39" t="s">
        <v>54</v>
      </c>
      <c r="H291" s="39" t="s">
        <v>997</v>
      </c>
      <c r="I291" s="39" t="s">
        <v>998</v>
      </c>
      <c r="J291" s="37">
        <v>60</v>
      </c>
      <c r="K291" s="37">
        <v>60</v>
      </c>
      <c r="L291" s="37">
        <v>60</v>
      </c>
      <c r="M291" s="37">
        <v>60</v>
      </c>
      <c r="N291" s="37">
        <v>60</v>
      </c>
      <c r="O291" s="37">
        <v>60</v>
      </c>
      <c r="P291" s="37">
        <v>60</v>
      </c>
      <c r="Q291" s="37">
        <v>60</v>
      </c>
      <c r="R291" s="37">
        <v>60</v>
      </c>
      <c r="S291" s="37">
        <v>60</v>
      </c>
      <c r="T291" s="37">
        <v>60</v>
      </c>
      <c r="U291" s="37">
        <v>60</v>
      </c>
      <c r="V291" s="37">
        <v>720</v>
      </c>
    </row>
    <row r="292" spans="7:22" x14ac:dyDescent="0.25">
      <c r="G292" s="39" t="s">
        <v>54</v>
      </c>
      <c r="H292" s="39" t="s">
        <v>999</v>
      </c>
      <c r="I292" s="39" t="s">
        <v>1000</v>
      </c>
      <c r="J292" s="37">
        <v>51269</v>
      </c>
      <c r="K292" s="37">
        <v>51258</v>
      </c>
      <c r="L292" s="37">
        <v>51252</v>
      </c>
      <c r="M292" s="37">
        <v>51261</v>
      </c>
      <c r="N292" s="37">
        <v>51261</v>
      </c>
      <c r="O292" s="37">
        <v>51261</v>
      </c>
      <c r="P292" s="37">
        <v>51261</v>
      </c>
      <c r="Q292" s="37">
        <v>51261</v>
      </c>
      <c r="R292" s="37">
        <v>51261</v>
      </c>
      <c r="S292" s="37">
        <v>51261</v>
      </c>
      <c r="T292" s="37">
        <v>51252</v>
      </c>
      <c r="U292" s="37">
        <v>51252</v>
      </c>
      <c r="V292" s="37">
        <v>615110</v>
      </c>
    </row>
    <row r="293" spans="7:22" x14ac:dyDescent="0.25">
      <c r="G293" s="39" t="s">
        <v>54</v>
      </c>
      <c r="H293" s="39" t="s">
        <v>1001</v>
      </c>
      <c r="I293" s="39" t="s">
        <v>1002</v>
      </c>
      <c r="J293" s="37">
        <v>4754</v>
      </c>
      <c r="K293" s="37">
        <v>4764</v>
      </c>
      <c r="L293" s="37">
        <v>4795</v>
      </c>
      <c r="M293" s="37">
        <v>4754</v>
      </c>
      <c r="N293" s="37">
        <v>5134</v>
      </c>
      <c r="O293" s="37">
        <v>4754</v>
      </c>
      <c r="P293" s="37">
        <v>4754</v>
      </c>
      <c r="Q293" s="37">
        <v>4754</v>
      </c>
      <c r="R293" s="37">
        <v>4807</v>
      </c>
      <c r="S293" s="37">
        <v>4754</v>
      </c>
      <c r="T293" s="37">
        <v>4754</v>
      </c>
      <c r="U293" s="37">
        <v>4754</v>
      </c>
      <c r="V293" s="37">
        <v>57532</v>
      </c>
    </row>
    <row r="294" spans="7:22" x14ac:dyDescent="0.25">
      <c r="G294" s="39" t="s">
        <v>54</v>
      </c>
      <c r="H294" s="39" t="s">
        <v>1003</v>
      </c>
      <c r="I294" s="39" t="s">
        <v>1004</v>
      </c>
      <c r="J294" s="37">
        <v>9850</v>
      </c>
      <c r="K294" s="37">
        <v>9850</v>
      </c>
      <c r="L294" s="37">
        <v>10170</v>
      </c>
      <c r="M294" s="37">
        <v>9850</v>
      </c>
      <c r="N294" s="37">
        <v>9850</v>
      </c>
      <c r="O294" s="37">
        <v>10170</v>
      </c>
      <c r="P294" s="37">
        <v>9850</v>
      </c>
      <c r="Q294" s="37">
        <v>9850</v>
      </c>
      <c r="R294" s="37">
        <v>10170</v>
      </c>
      <c r="S294" s="37">
        <v>9850</v>
      </c>
      <c r="T294" s="37">
        <v>9850</v>
      </c>
      <c r="U294" s="37">
        <v>10170</v>
      </c>
      <c r="V294" s="37">
        <v>119480</v>
      </c>
    </row>
    <row r="295" spans="7:22" x14ac:dyDescent="0.25">
      <c r="G295" s="39" t="s">
        <v>54</v>
      </c>
      <c r="H295" s="39" t="s">
        <v>1005</v>
      </c>
      <c r="I295" s="39" t="s">
        <v>1006</v>
      </c>
      <c r="J295" s="37">
        <v>60</v>
      </c>
      <c r="K295" s="37">
        <v>60</v>
      </c>
      <c r="L295" s="37">
        <v>60</v>
      </c>
      <c r="M295" s="37">
        <v>60</v>
      </c>
      <c r="N295" s="37">
        <v>60</v>
      </c>
      <c r="O295" s="37">
        <v>60</v>
      </c>
      <c r="P295" s="37">
        <v>60</v>
      </c>
      <c r="Q295" s="37">
        <v>60</v>
      </c>
      <c r="R295" s="37">
        <v>60</v>
      </c>
      <c r="S295" s="37">
        <v>60</v>
      </c>
      <c r="T295" s="37">
        <v>60</v>
      </c>
      <c r="U295" s="37">
        <v>60</v>
      </c>
      <c r="V295" s="37">
        <v>720</v>
      </c>
    </row>
    <row r="296" spans="7:22" x14ac:dyDescent="0.25">
      <c r="G296" s="39" t="s">
        <v>54</v>
      </c>
      <c r="H296" s="39" t="s">
        <v>1007</v>
      </c>
      <c r="I296" s="39" t="s">
        <v>1008</v>
      </c>
      <c r="J296" s="37">
        <v>290</v>
      </c>
      <c r="K296" s="37">
        <v>290</v>
      </c>
      <c r="L296" s="37">
        <v>290</v>
      </c>
      <c r="M296" s="37">
        <v>290</v>
      </c>
      <c r="N296" s="37">
        <v>290</v>
      </c>
      <c r="O296" s="37">
        <v>290</v>
      </c>
      <c r="P296" s="37">
        <v>290</v>
      </c>
      <c r="Q296" s="37">
        <v>290</v>
      </c>
      <c r="R296" s="37">
        <v>290</v>
      </c>
      <c r="S296" s="37">
        <v>290</v>
      </c>
      <c r="T296" s="37">
        <v>290</v>
      </c>
      <c r="U296" s="37">
        <v>290</v>
      </c>
      <c r="V296" s="37">
        <v>3480</v>
      </c>
    </row>
    <row r="297" spans="7:22" x14ac:dyDescent="0.25">
      <c r="G297" s="39" t="s">
        <v>54</v>
      </c>
      <c r="H297" s="39" t="s">
        <v>1119</v>
      </c>
      <c r="I297" s="39" t="s">
        <v>1120</v>
      </c>
      <c r="J297" s="37">
        <v>8453</v>
      </c>
      <c r="K297" s="37">
        <v>8833</v>
      </c>
      <c r="L297" s="37">
        <v>8510</v>
      </c>
      <c r="M297" s="37">
        <v>8625</v>
      </c>
      <c r="N297" s="37">
        <v>8535</v>
      </c>
      <c r="O297" s="37">
        <v>7942</v>
      </c>
      <c r="P297" s="37">
        <v>8172</v>
      </c>
      <c r="Q297" s="37">
        <v>9026</v>
      </c>
      <c r="R297" s="37">
        <v>8110</v>
      </c>
      <c r="S297" s="37">
        <v>7896</v>
      </c>
      <c r="T297" s="37">
        <v>8590</v>
      </c>
      <c r="U297" s="37">
        <v>7978</v>
      </c>
      <c r="V297" s="37">
        <v>100670</v>
      </c>
    </row>
    <row r="298" spans="7:22" x14ac:dyDescent="0.25">
      <c r="G298" s="39" t="s">
        <v>54</v>
      </c>
      <c r="H298" s="39" t="s">
        <v>1009</v>
      </c>
      <c r="I298" s="39" t="s">
        <v>1010</v>
      </c>
      <c r="J298" s="37">
        <v>6130</v>
      </c>
      <c r="K298" s="37">
        <v>6130</v>
      </c>
      <c r="L298" s="37">
        <v>6130</v>
      </c>
      <c r="M298" s="37">
        <v>6130</v>
      </c>
      <c r="N298" s="37">
        <v>6130</v>
      </c>
      <c r="O298" s="37">
        <v>6130</v>
      </c>
      <c r="P298" s="37">
        <v>6130</v>
      </c>
      <c r="Q298" s="37">
        <v>6130</v>
      </c>
      <c r="R298" s="37">
        <v>6130</v>
      </c>
      <c r="S298" s="37">
        <v>6130</v>
      </c>
      <c r="T298" s="37">
        <v>6130</v>
      </c>
      <c r="U298" s="37">
        <v>6130</v>
      </c>
      <c r="V298" s="37">
        <v>73560</v>
      </c>
    </row>
    <row r="299" spans="7:22" x14ac:dyDescent="0.25">
      <c r="G299" s="39" t="s">
        <v>54</v>
      </c>
      <c r="H299" s="39" t="s">
        <v>1011</v>
      </c>
      <c r="I299" s="39" t="s">
        <v>1012</v>
      </c>
      <c r="J299" s="37">
        <v>11413</v>
      </c>
      <c r="K299" s="37">
        <v>11413</v>
      </c>
      <c r="L299" s="37">
        <v>11413</v>
      </c>
      <c r="M299" s="37">
        <v>11530</v>
      </c>
      <c r="N299" s="37">
        <v>11413</v>
      </c>
      <c r="O299" s="37">
        <v>11413</v>
      </c>
      <c r="P299" s="37">
        <v>11662</v>
      </c>
      <c r="Q299" s="37">
        <v>11413</v>
      </c>
      <c r="R299" s="37">
        <v>11413</v>
      </c>
      <c r="S299" s="37">
        <v>11545</v>
      </c>
      <c r="T299" s="37">
        <v>11626</v>
      </c>
      <c r="U299" s="37">
        <v>11413</v>
      </c>
      <c r="V299" s="37">
        <v>137667</v>
      </c>
    </row>
    <row r="300" spans="7:22" x14ac:dyDescent="0.25">
      <c r="G300" s="39" t="s">
        <v>54</v>
      </c>
      <c r="H300" s="39" t="s">
        <v>1013</v>
      </c>
      <c r="I300" s="39" t="s">
        <v>1014</v>
      </c>
      <c r="J300" s="37">
        <v>12137</v>
      </c>
      <c r="K300" s="37">
        <v>12137</v>
      </c>
      <c r="L300" s="37">
        <v>13485</v>
      </c>
      <c r="M300" s="37">
        <v>12137</v>
      </c>
      <c r="N300" s="37">
        <v>12137</v>
      </c>
      <c r="O300" s="37">
        <v>13485</v>
      </c>
      <c r="P300" s="37">
        <v>12137</v>
      </c>
      <c r="Q300" s="37">
        <v>12137</v>
      </c>
      <c r="R300" s="37">
        <v>13485</v>
      </c>
      <c r="S300" s="37">
        <v>12137</v>
      </c>
      <c r="T300" s="37">
        <v>12137</v>
      </c>
      <c r="U300" s="37">
        <v>13483</v>
      </c>
      <c r="V300" s="37">
        <v>151034</v>
      </c>
    </row>
    <row r="301" spans="7:22" x14ac:dyDescent="0.25">
      <c r="G301" s="39" t="s">
        <v>54</v>
      </c>
      <c r="H301" s="39" t="s">
        <v>1015</v>
      </c>
      <c r="I301" s="39" t="s">
        <v>1016</v>
      </c>
      <c r="J301" s="37">
        <v>11259</v>
      </c>
      <c r="K301" s="37">
        <v>11160</v>
      </c>
      <c r="L301" s="37">
        <v>11266</v>
      </c>
      <c r="M301" s="37">
        <v>11122</v>
      </c>
      <c r="N301" s="37">
        <v>11122</v>
      </c>
      <c r="O301" s="37">
        <v>11228</v>
      </c>
      <c r="P301" s="37">
        <v>11122</v>
      </c>
      <c r="Q301" s="37">
        <v>11122</v>
      </c>
      <c r="R301" s="37">
        <v>11228</v>
      </c>
      <c r="S301" s="37">
        <v>11122</v>
      </c>
      <c r="T301" s="37">
        <v>11160</v>
      </c>
      <c r="U301" s="37">
        <v>11266</v>
      </c>
      <c r="V301" s="37">
        <v>134177</v>
      </c>
    </row>
    <row r="302" spans="7:22" x14ac:dyDescent="0.25">
      <c r="G302" s="39" t="s">
        <v>54</v>
      </c>
      <c r="H302" s="39" t="s">
        <v>1017</v>
      </c>
      <c r="I302" s="39" t="s">
        <v>1018</v>
      </c>
      <c r="J302" s="37">
        <v>4542</v>
      </c>
      <c r="K302" s="37">
        <v>4514</v>
      </c>
      <c r="L302" s="37">
        <v>4514</v>
      </c>
      <c r="M302" s="37">
        <v>4571</v>
      </c>
      <c r="N302" s="37">
        <v>4571</v>
      </c>
      <c r="O302" s="37">
        <v>4742</v>
      </c>
      <c r="P302" s="37">
        <v>4742</v>
      </c>
      <c r="Q302" s="37">
        <v>4742</v>
      </c>
      <c r="R302" s="37">
        <v>4799</v>
      </c>
      <c r="S302" s="37">
        <v>4799</v>
      </c>
      <c r="T302" s="37">
        <v>4799</v>
      </c>
      <c r="U302" s="37">
        <v>4856</v>
      </c>
      <c r="V302" s="37">
        <v>56191</v>
      </c>
    </row>
    <row r="303" spans="7:22" x14ac:dyDescent="0.25">
      <c r="G303" s="39" t="s">
        <v>54</v>
      </c>
      <c r="H303" s="39" t="s">
        <v>1019</v>
      </c>
      <c r="I303" s="39" t="s">
        <v>1020</v>
      </c>
      <c r="J303" s="37">
        <v>3645</v>
      </c>
      <c r="K303" s="37">
        <v>3644</v>
      </c>
      <c r="L303" s="37">
        <v>3644</v>
      </c>
      <c r="M303" s="37">
        <v>3649</v>
      </c>
      <c r="N303" s="37">
        <v>3644</v>
      </c>
      <c r="O303" s="37">
        <v>3658</v>
      </c>
      <c r="P303" s="37">
        <v>3644</v>
      </c>
      <c r="Q303" s="37">
        <v>3644</v>
      </c>
      <c r="R303" s="37">
        <v>3666</v>
      </c>
      <c r="S303" s="37">
        <v>3644</v>
      </c>
      <c r="T303" s="37">
        <v>3645</v>
      </c>
      <c r="U303" s="37">
        <v>3666</v>
      </c>
      <c r="V303" s="37">
        <v>43793</v>
      </c>
    </row>
    <row r="304" spans="7:22" x14ac:dyDescent="0.25">
      <c r="G304" s="39" t="s">
        <v>54</v>
      </c>
      <c r="H304" s="39" t="s">
        <v>1021</v>
      </c>
      <c r="I304" s="39" t="s">
        <v>1022</v>
      </c>
      <c r="J304" s="37">
        <v>3835</v>
      </c>
      <c r="K304" s="37">
        <v>3845</v>
      </c>
      <c r="L304" s="37">
        <v>3849</v>
      </c>
      <c r="M304" s="37">
        <v>3849</v>
      </c>
      <c r="N304" s="37">
        <v>3838</v>
      </c>
      <c r="O304" s="37">
        <v>3835</v>
      </c>
      <c r="P304" s="37">
        <v>3835</v>
      </c>
      <c r="Q304" s="37">
        <v>3835</v>
      </c>
      <c r="R304" s="37">
        <v>3906</v>
      </c>
      <c r="S304" s="37">
        <v>3906</v>
      </c>
      <c r="T304" s="37">
        <v>3906</v>
      </c>
      <c r="U304" s="37">
        <v>3835</v>
      </c>
      <c r="V304" s="37">
        <v>46274</v>
      </c>
    </row>
    <row r="305" spans="7:22" x14ac:dyDescent="0.25">
      <c r="G305" s="39" t="s">
        <v>54</v>
      </c>
      <c r="H305" s="39" t="s">
        <v>1023</v>
      </c>
      <c r="I305" s="39" t="s">
        <v>1024</v>
      </c>
      <c r="J305" s="37">
        <v>700</v>
      </c>
      <c r="K305" s="37">
        <v>700</v>
      </c>
      <c r="L305" s="37">
        <v>1000</v>
      </c>
      <c r="M305" s="37">
        <v>800</v>
      </c>
      <c r="N305" s="37">
        <v>700</v>
      </c>
      <c r="O305" s="37">
        <v>900</v>
      </c>
      <c r="P305" s="37">
        <v>900</v>
      </c>
      <c r="Q305" s="37">
        <v>900</v>
      </c>
      <c r="R305" s="37">
        <v>700</v>
      </c>
      <c r="S305" s="37">
        <v>600</v>
      </c>
      <c r="T305" s="37">
        <v>600</v>
      </c>
      <c r="U305" s="37">
        <v>700</v>
      </c>
      <c r="V305" s="37">
        <v>9200</v>
      </c>
    </row>
    <row r="306" spans="7:22" x14ac:dyDescent="0.25">
      <c r="G306" s="39" t="s">
        <v>54</v>
      </c>
      <c r="H306" s="39" t="s">
        <v>1025</v>
      </c>
      <c r="I306" s="39" t="s">
        <v>1026</v>
      </c>
      <c r="J306" s="37">
        <v>2546</v>
      </c>
      <c r="K306" s="37">
        <v>2346</v>
      </c>
      <c r="L306" s="37">
        <v>2178</v>
      </c>
      <c r="M306" s="37">
        <v>2505</v>
      </c>
      <c r="N306" s="37">
        <v>2220</v>
      </c>
      <c r="O306" s="37">
        <v>2871</v>
      </c>
      <c r="P306" s="37">
        <v>2304</v>
      </c>
      <c r="Q306" s="37">
        <v>2914</v>
      </c>
      <c r="R306" s="37">
        <v>2327</v>
      </c>
      <c r="S306" s="37">
        <v>2588</v>
      </c>
      <c r="T306" s="37">
        <v>2326</v>
      </c>
      <c r="U306" s="37">
        <v>2226</v>
      </c>
      <c r="V306" s="37">
        <v>29351</v>
      </c>
    </row>
    <row r="307" spans="7:22" x14ac:dyDescent="0.25">
      <c r="G307" s="39" t="s">
        <v>54</v>
      </c>
      <c r="H307" s="39" t="s">
        <v>1027</v>
      </c>
      <c r="I307" s="39" t="s">
        <v>1028</v>
      </c>
      <c r="J307" s="37">
        <v>374</v>
      </c>
      <c r="K307" s="37">
        <v>374</v>
      </c>
      <c r="L307" s="37">
        <v>374</v>
      </c>
      <c r="M307" s="37">
        <v>374</v>
      </c>
      <c r="N307" s="37">
        <v>374</v>
      </c>
      <c r="O307" s="37">
        <v>374</v>
      </c>
      <c r="P307" s="37">
        <v>374</v>
      </c>
      <c r="Q307" s="37">
        <v>374</v>
      </c>
      <c r="R307" s="37">
        <v>374</v>
      </c>
      <c r="S307" s="37">
        <v>374</v>
      </c>
      <c r="T307" s="37">
        <v>374</v>
      </c>
      <c r="U307" s="37">
        <v>374</v>
      </c>
      <c r="V307" s="37">
        <v>4488</v>
      </c>
    </row>
    <row r="308" spans="7:22" x14ac:dyDescent="0.25">
      <c r="G308" s="39" t="s">
        <v>54</v>
      </c>
      <c r="H308" s="39" t="s">
        <v>1029</v>
      </c>
      <c r="I308" s="39" t="s">
        <v>1030</v>
      </c>
      <c r="J308" s="37">
        <v>274</v>
      </c>
      <c r="K308" s="37">
        <v>274</v>
      </c>
      <c r="L308" s="37">
        <v>274</v>
      </c>
      <c r="M308" s="37">
        <v>274</v>
      </c>
      <c r="N308" s="37">
        <v>274</v>
      </c>
      <c r="O308" s="37">
        <v>274</v>
      </c>
      <c r="P308" s="37">
        <v>274</v>
      </c>
      <c r="Q308" s="37">
        <v>274</v>
      </c>
      <c r="R308" s="37">
        <v>274</v>
      </c>
      <c r="S308" s="37">
        <v>274</v>
      </c>
      <c r="T308" s="37">
        <v>274</v>
      </c>
      <c r="U308" s="37">
        <v>274</v>
      </c>
      <c r="V308" s="37">
        <v>3288</v>
      </c>
    </row>
    <row r="309" spans="7:22" x14ac:dyDescent="0.25">
      <c r="G309" s="39" t="s">
        <v>54</v>
      </c>
      <c r="H309" s="39" t="s">
        <v>1031</v>
      </c>
      <c r="I309" s="39" t="s">
        <v>1032</v>
      </c>
      <c r="J309" s="37">
        <v>33378</v>
      </c>
      <c r="K309" s="37">
        <v>33442</v>
      </c>
      <c r="L309" s="37">
        <v>33419</v>
      </c>
      <c r="M309" s="37">
        <v>33454</v>
      </c>
      <c r="N309" s="37">
        <v>33423</v>
      </c>
      <c r="O309" s="37">
        <v>33400</v>
      </c>
      <c r="P309" s="37">
        <v>33411</v>
      </c>
      <c r="Q309" s="37">
        <v>33421</v>
      </c>
      <c r="R309" s="37">
        <v>33397</v>
      </c>
      <c r="S309" s="37">
        <v>33454</v>
      </c>
      <c r="T309" s="37">
        <v>33396</v>
      </c>
      <c r="U309" s="37">
        <v>33362</v>
      </c>
      <c r="V309" s="37">
        <v>400957</v>
      </c>
    </row>
    <row r="310" spans="7:22" x14ac:dyDescent="0.25">
      <c r="G310" s="39" t="s">
        <v>54</v>
      </c>
      <c r="H310" s="39" t="s">
        <v>1033</v>
      </c>
      <c r="I310" s="39" t="s">
        <v>1034</v>
      </c>
      <c r="J310" s="37">
        <v>560</v>
      </c>
      <c r="K310" s="37">
        <v>606</v>
      </c>
      <c r="L310" s="37">
        <v>560</v>
      </c>
      <c r="M310" s="37">
        <v>606</v>
      </c>
      <c r="N310" s="37">
        <v>560</v>
      </c>
      <c r="O310" s="37">
        <v>560</v>
      </c>
      <c r="P310" s="37">
        <v>560</v>
      </c>
      <c r="Q310" s="37">
        <v>560</v>
      </c>
      <c r="R310" s="37">
        <v>560</v>
      </c>
      <c r="S310" s="37">
        <v>560</v>
      </c>
      <c r="T310" s="37">
        <v>560</v>
      </c>
      <c r="U310" s="37">
        <v>560</v>
      </c>
      <c r="V310" s="37">
        <v>6812</v>
      </c>
    </row>
    <row r="311" spans="7:22" x14ac:dyDescent="0.25">
      <c r="G311" s="39" t="s">
        <v>54</v>
      </c>
      <c r="H311" s="39" t="s">
        <v>1035</v>
      </c>
      <c r="I311" s="39" t="s">
        <v>1036</v>
      </c>
      <c r="J311" s="37">
        <v>35030</v>
      </c>
      <c r="K311" s="37">
        <v>35030</v>
      </c>
      <c r="L311" s="37">
        <v>34730</v>
      </c>
      <c r="M311" s="37">
        <v>35030</v>
      </c>
      <c r="N311" s="37">
        <v>33230</v>
      </c>
      <c r="O311" s="37">
        <v>35100</v>
      </c>
      <c r="P311" s="37">
        <v>35030</v>
      </c>
      <c r="Q311" s="37">
        <v>36030</v>
      </c>
      <c r="R311" s="37">
        <v>35130</v>
      </c>
      <c r="S311" s="37">
        <v>34630</v>
      </c>
      <c r="T311" s="37">
        <v>34360</v>
      </c>
      <c r="U311" s="37">
        <v>35030</v>
      </c>
      <c r="V311" s="37">
        <v>418360</v>
      </c>
    </row>
    <row r="312" spans="7:22" x14ac:dyDescent="0.25">
      <c r="G312" s="39" t="s">
        <v>54</v>
      </c>
      <c r="H312" s="39" t="s">
        <v>1037</v>
      </c>
      <c r="I312" s="39" t="s">
        <v>1038</v>
      </c>
      <c r="J312" s="37">
        <v>25810</v>
      </c>
      <c r="K312" s="37">
        <v>25980</v>
      </c>
      <c r="L312" s="37">
        <v>25875</v>
      </c>
      <c r="M312" s="37">
        <v>25950</v>
      </c>
      <c r="N312" s="37">
        <v>26000</v>
      </c>
      <c r="O312" s="37">
        <v>26950</v>
      </c>
      <c r="P312" s="37">
        <v>25890</v>
      </c>
      <c r="Q312" s="37">
        <v>25880</v>
      </c>
      <c r="R312" s="37">
        <v>25930</v>
      </c>
      <c r="S312" s="37">
        <v>25880</v>
      </c>
      <c r="T312" s="37">
        <v>25980</v>
      </c>
      <c r="U312" s="37">
        <v>26050</v>
      </c>
      <c r="V312" s="37">
        <v>312175</v>
      </c>
    </row>
    <row r="313" spans="7:22" x14ac:dyDescent="0.25">
      <c r="G313" s="39" t="s">
        <v>54</v>
      </c>
      <c r="H313" s="39" t="s">
        <v>1039</v>
      </c>
      <c r="I313" s="39" t="s">
        <v>1040</v>
      </c>
      <c r="J313" s="37">
        <v>5990</v>
      </c>
      <c r="K313" s="37">
        <v>5889</v>
      </c>
      <c r="L313" s="37">
        <v>6091</v>
      </c>
      <c r="M313" s="37">
        <v>5889</v>
      </c>
      <c r="N313" s="37">
        <v>5889</v>
      </c>
      <c r="O313" s="37">
        <v>5891</v>
      </c>
      <c r="P313" s="37">
        <v>5990</v>
      </c>
      <c r="Q313" s="37">
        <v>5891</v>
      </c>
      <c r="R313" s="37">
        <v>5889</v>
      </c>
      <c r="S313" s="37">
        <v>5890</v>
      </c>
      <c r="T313" s="37">
        <v>5991</v>
      </c>
      <c r="U313" s="37">
        <v>5891</v>
      </c>
      <c r="V313" s="37">
        <v>71181</v>
      </c>
    </row>
    <row r="314" spans="7:22" x14ac:dyDescent="0.25">
      <c r="G314" s="39" t="s">
        <v>54</v>
      </c>
      <c r="H314" s="39" t="s">
        <v>1041</v>
      </c>
      <c r="I314" s="39" t="s">
        <v>1042</v>
      </c>
      <c r="J314" s="37">
        <v>33042</v>
      </c>
      <c r="K314" s="37">
        <v>32942</v>
      </c>
      <c r="L314" s="37">
        <v>33072</v>
      </c>
      <c r="M314" s="37">
        <v>32942</v>
      </c>
      <c r="N314" s="37">
        <v>32942</v>
      </c>
      <c r="O314" s="37">
        <v>32942</v>
      </c>
      <c r="P314" s="37">
        <v>32942</v>
      </c>
      <c r="Q314" s="37">
        <v>32962</v>
      </c>
      <c r="R314" s="37">
        <v>32942</v>
      </c>
      <c r="S314" s="37">
        <v>32952</v>
      </c>
      <c r="T314" s="37">
        <v>32962</v>
      </c>
      <c r="U314" s="37">
        <v>32962</v>
      </c>
      <c r="V314" s="37">
        <v>395604</v>
      </c>
    </row>
    <row r="315" spans="7:22" x14ac:dyDescent="0.25">
      <c r="G315" s="39" t="s">
        <v>54</v>
      </c>
      <c r="H315" s="39" t="s">
        <v>1043</v>
      </c>
      <c r="I315" s="39" t="s">
        <v>1044</v>
      </c>
      <c r="J315" s="37">
        <v>2462</v>
      </c>
      <c r="K315" s="37">
        <v>2126</v>
      </c>
      <c r="L315" s="37">
        <v>2246</v>
      </c>
      <c r="M315" s="37">
        <v>2212</v>
      </c>
      <c r="N315" s="37">
        <v>2212</v>
      </c>
      <c r="O315" s="37">
        <v>2214</v>
      </c>
      <c r="P315" s="37">
        <v>2262</v>
      </c>
      <c r="Q315" s="37">
        <v>2264</v>
      </c>
      <c r="R315" s="37">
        <v>2262</v>
      </c>
      <c r="S315" s="37">
        <v>2319</v>
      </c>
      <c r="T315" s="37">
        <v>2347</v>
      </c>
      <c r="U315" s="37">
        <v>2347</v>
      </c>
      <c r="V315" s="37">
        <v>27273</v>
      </c>
    </row>
    <row r="316" spans="7:22" x14ac:dyDescent="0.25">
      <c r="G316" s="39" t="s">
        <v>54</v>
      </c>
      <c r="H316" s="39" t="s">
        <v>1045</v>
      </c>
      <c r="I316" s="39" t="s">
        <v>1046</v>
      </c>
      <c r="J316" s="37">
        <v>1400</v>
      </c>
      <c r="K316" s="37">
        <v>1400</v>
      </c>
      <c r="L316" s="37">
        <v>1400</v>
      </c>
      <c r="M316" s="37">
        <v>1400</v>
      </c>
      <c r="N316" s="37">
        <v>1400</v>
      </c>
      <c r="O316" s="37">
        <v>1400</v>
      </c>
      <c r="P316" s="37">
        <v>1400</v>
      </c>
      <c r="Q316" s="37">
        <v>1400</v>
      </c>
      <c r="R316" s="37">
        <v>1400</v>
      </c>
      <c r="S316" s="37">
        <v>1400</v>
      </c>
      <c r="T316" s="37">
        <v>1400</v>
      </c>
      <c r="U316" s="37">
        <v>1400</v>
      </c>
      <c r="V316" s="37">
        <v>16800</v>
      </c>
    </row>
    <row r="317" spans="7:22" x14ac:dyDescent="0.25">
      <c r="G317" s="39" t="s">
        <v>54</v>
      </c>
      <c r="H317" s="39" t="s">
        <v>1047</v>
      </c>
      <c r="I317" s="39" t="s">
        <v>1048</v>
      </c>
      <c r="J317" s="37">
        <v>90</v>
      </c>
      <c r="K317" s="37">
        <v>97</v>
      </c>
      <c r="L317" s="37">
        <v>68</v>
      </c>
      <c r="M317" s="37">
        <v>47</v>
      </c>
      <c r="N317" s="37">
        <v>47</v>
      </c>
      <c r="O317" s="37">
        <v>47</v>
      </c>
      <c r="P317" s="37">
        <v>47</v>
      </c>
      <c r="Q317" s="37">
        <v>26</v>
      </c>
      <c r="R317" s="37">
        <v>26</v>
      </c>
      <c r="S317" s="37">
        <v>43</v>
      </c>
      <c r="T317" s="37">
        <v>29</v>
      </c>
      <c r="U317" s="37">
        <v>26</v>
      </c>
      <c r="V317" s="37">
        <v>593</v>
      </c>
    </row>
    <row r="318" spans="7:22" x14ac:dyDescent="0.25">
      <c r="G318" s="39" t="s">
        <v>54</v>
      </c>
      <c r="H318" s="39" t="s">
        <v>1049</v>
      </c>
      <c r="I318" s="39" t="s">
        <v>1050</v>
      </c>
      <c r="J318" s="37">
        <v>14570</v>
      </c>
      <c r="K318" s="37">
        <v>14570</v>
      </c>
      <c r="L318" s="37">
        <v>14570</v>
      </c>
      <c r="M318" s="37">
        <v>14570</v>
      </c>
      <c r="N318" s="37">
        <v>14570</v>
      </c>
      <c r="O318" s="37">
        <v>14570</v>
      </c>
      <c r="P318" s="37">
        <v>14570</v>
      </c>
      <c r="Q318" s="37">
        <v>14570</v>
      </c>
      <c r="R318" s="37">
        <v>14570</v>
      </c>
      <c r="S318" s="37">
        <v>14570</v>
      </c>
      <c r="T318" s="37">
        <v>14570</v>
      </c>
      <c r="U318" s="37">
        <v>14570</v>
      </c>
      <c r="V318" s="37">
        <v>174840</v>
      </c>
    </row>
    <row r="319" spans="7:22" x14ac:dyDescent="0.25">
      <c r="G319" s="39" t="s">
        <v>54</v>
      </c>
      <c r="H319" s="39" t="s">
        <v>1051</v>
      </c>
      <c r="I319" s="39" t="s">
        <v>1052</v>
      </c>
      <c r="J319" s="37">
        <v>9636</v>
      </c>
      <c r="K319" s="37">
        <v>9636</v>
      </c>
      <c r="L319" s="37">
        <v>9656</v>
      </c>
      <c r="M319" s="37">
        <v>9656</v>
      </c>
      <c r="N319" s="37">
        <v>9689</v>
      </c>
      <c r="O319" s="37">
        <v>9679</v>
      </c>
      <c r="P319" s="37">
        <v>9679</v>
      </c>
      <c r="Q319" s="37">
        <v>9636</v>
      </c>
      <c r="R319" s="37">
        <v>9636</v>
      </c>
      <c r="S319" s="37">
        <v>9636</v>
      </c>
      <c r="T319" s="37">
        <v>9636</v>
      </c>
      <c r="U319" s="37">
        <v>9636</v>
      </c>
      <c r="V319" s="37">
        <v>115811</v>
      </c>
    </row>
    <row r="320" spans="7:22" x14ac:dyDescent="0.25">
      <c r="G320" s="39" t="s">
        <v>54</v>
      </c>
      <c r="H320" s="39" t="s">
        <v>1121</v>
      </c>
      <c r="I320" s="39" t="s">
        <v>1122</v>
      </c>
      <c r="J320" s="37">
        <v>4858</v>
      </c>
      <c r="K320" s="37">
        <v>4302</v>
      </c>
      <c r="L320" s="37">
        <v>4352</v>
      </c>
      <c r="M320" s="37">
        <v>4121</v>
      </c>
      <c r="N320" s="37">
        <v>4261</v>
      </c>
      <c r="O320" s="37">
        <v>3836</v>
      </c>
      <c r="P320" s="37">
        <v>4272</v>
      </c>
      <c r="Q320" s="37">
        <v>4355</v>
      </c>
      <c r="R320" s="37">
        <v>3990</v>
      </c>
      <c r="S320" s="37">
        <v>4587</v>
      </c>
      <c r="T320" s="37">
        <v>3849</v>
      </c>
      <c r="U320" s="37">
        <v>3594</v>
      </c>
      <c r="V320" s="37">
        <v>50377</v>
      </c>
    </row>
    <row r="321" spans="7:22" x14ac:dyDescent="0.25">
      <c r="G321" s="39" t="s">
        <v>54</v>
      </c>
      <c r="H321" s="39" t="s">
        <v>1053</v>
      </c>
      <c r="I321" s="39" t="s">
        <v>1054</v>
      </c>
      <c r="J321" s="37">
        <v>5</v>
      </c>
      <c r="K321" s="37">
        <v>5</v>
      </c>
      <c r="L321" s="37">
        <v>5</v>
      </c>
      <c r="M321" s="37">
        <v>5</v>
      </c>
      <c r="N321" s="37">
        <v>5</v>
      </c>
      <c r="O321" s="37">
        <v>5</v>
      </c>
      <c r="P321" s="37">
        <v>5</v>
      </c>
      <c r="Q321" s="37">
        <v>5</v>
      </c>
      <c r="R321" s="37">
        <v>5</v>
      </c>
      <c r="S321" s="37">
        <v>5</v>
      </c>
      <c r="T321" s="37">
        <v>5</v>
      </c>
      <c r="U321" s="37">
        <v>5</v>
      </c>
      <c r="V321" s="37">
        <v>60</v>
      </c>
    </row>
    <row r="322" spans="7:22" x14ac:dyDescent="0.25">
      <c r="G322" s="39" t="s">
        <v>54</v>
      </c>
      <c r="H322" s="39" t="s">
        <v>1059</v>
      </c>
      <c r="I322" s="39" t="s">
        <v>1060</v>
      </c>
      <c r="J322" s="37">
        <v>2785</v>
      </c>
      <c r="K322" s="37">
        <v>2785</v>
      </c>
      <c r="L322" s="37">
        <v>2785</v>
      </c>
      <c r="M322" s="37">
        <v>2785</v>
      </c>
      <c r="N322" s="37">
        <v>2785</v>
      </c>
      <c r="O322" s="37">
        <v>2785</v>
      </c>
      <c r="P322" s="37">
        <v>2785</v>
      </c>
      <c r="Q322" s="37">
        <v>2785</v>
      </c>
      <c r="R322" s="37">
        <v>2785</v>
      </c>
      <c r="S322" s="37">
        <v>2785</v>
      </c>
      <c r="T322" s="37">
        <v>2785</v>
      </c>
      <c r="U322" s="37">
        <v>2785</v>
      </c>
      <c r="V322" s="37">
        <v>33420</v>
      </c>
    </row>
    <row r="323" spans="7:22" x14ac:dyDescent="0.25">
      <c r="G323" s="39" t="s">
        <v>54</v>
      </c>
      <c r="H323" s="39" t="s">
        <v>1061</v>
      </c>
      <c r="I323" s="39" t="s">
        <v>1062</v>
      </c>
      <c r="J323" s="37">
        <v>480</v>
      </c>
      <c r="K323" s="37">
        <v>480</v>
      </c>
      <c r="L323" s="37">
        <v>480</v>
      </c>
      <c r="M323" s="37">
        <v>480</v>
      </c>
      <c r="N323" s="37">
        <v>480</v>
      </c>
      <c r="O323" s="37">
        <v>480</v>
      </c>
      <c r="P323" s="37">
        <v>480</v>
      </c>
      <c r="Q323" s="37">
        <v>480</v>
      </c>
      <c r="R323" s="37">
        <v>480</v>
      </c>
      <c r="S323" s="37">
        <v>480</v>
      </c>
      <c r="T323" s="37">
        <v>480</v>
      </c>
      <c r="U323" s="37">
        <v>480</v>
      </c>
      <c r="V323" s="37">
        <v>5760</v>
      </c>
    </row>
    <row r="324" spans="7:22" x14ac:dyDescent="0.25">
      <c r="G324" s="39" t="s">
        <v>54</v>
      </c>
      <c r="H324" s="39" t="s">
        <v>1063</v>
      </c>
      <c r="I324" s="39" t="s">
        <v>1064</v>
      </c>
      <c r="J324" s="37">
        <v>18977</v>
      </c>
      <c r="K324" s="37">
        <v>18977</v>
      </c>
      <c r="L324" s="37">
        <v>18977</v>
      </c>
      <c r="M324" s="37">
        <v>18977</v>
      </c>
      <c r="N324" s="37">
        <v>18977</v>
      </c>
      <c r="O324" s="37">
        <v>18977</v>
      </c>
      <c r="P324" s="37">
        <v>18977</v>
      </c>
      <c r="Q324" s="37">
        <v>18977</v>
      </c>
      <c r="R324" s="37">
        <v>18977</v>
      </c>
      <c r="S324" s="37">
        <v>18977</v>
      </c>
      <c r="T324" s="37">
        <v>18977</v>
      </c>
      <c r="U324" s="37">
        <v>18977</v>
      </c>
      <c r="V324" s="37">
        <v>227724</v>
      </c>
    </row>
    <row r="325" spans="7:22" x14ac:dyDescent="0.25">
      <c r="G325" s="39" t="s">
        <v>54</v>
      </c>
      <c r="H325" s="39" t="s">
        <v>1065</v>
      </c>
      <c r="I325" s="39" t="s">
        <v>1066</v>
      </c>
      <c r="J325" s="37">
        <v>5497</v>
      </c>
      <c r="K325" s="37">
        <v>5497</v>
      </c>
      <c r="L325" s="37">
        <v>5497</v>
      </c>
      <c r="M325" s="37">
        <v>5497</v>
      </c>
      <c r="N325" s="37">
        <v>5497</v>
      </c>
      <c r="O325" s="37">
        <v>5497</v>
      </c>
      <c r="P325" s="37">
        <v>5497</v>
      </c>
      <c r="Q325" s="37">
        <v>5497</v>
      </c>
      <c r="R325" s="37">
        <v>5497</v>
      </c>
      <c r="S325" s="37">
        <v>5497</v>
      </c>
      <c r="T325" s="37">
        <v>5497</v>
      </c>
      <c r="U325" s="37">
        <v>5497</v>
      </c>
      <c r="V325" s="37">
        <v>65964</v>
      </c>
    </row>
    <row r="326" spans="7:22" x14ac:dyDescent="0.25">
      <c r="G326" s="39" t="s">
        <v>54</v>
      </c>
      <c r="H326" s="39" t="s">
        <v>1067</v>
      </c>
      <c r="I326" s="39" t="s">
        <v>1068</v>
      </c>
      <c r="J326" s="37">
        <v>38812</v>
      </c>
      <c r="K326" s="37">
        <v>38812</v>
      </c>
      <c r="L326" s="37">
        <v>38812</v>
      </c>
      <c r="M326" s="37">
        <v>38812</v>
      </c>
      <c r="N326" s="37">
        <v>38812</v>
      </c>
      <c r="O326" s="37">
        <v>38812</v>
      </c>
      <c r="P326" s="37">
        <v>38812</v>
      </c>
      <c r="Q326" s="37">
        <v>38812</v>
      </c>
      <c r="R326" s="37">
        <v>38812</v>
      </c>
      <c r="S326" s="37">
        <v>38812</v>
      </c>
      <c r="T326" s="37">
        <v>38812</v>
      </c>
      <c r="U326" s="37">
        <v>38812</v>
      </c>
      <c r="V326" s="37">
        <v>465744</v>
      </c>
    </row>
    <row r="327" spans="7:22" x14ac:dyDescent="0.25">
      <c r="G327" s="39" t="s">
        <v>54</v>
      </c>
      <c r="H327" s="39" t="s">
        <v>1069</v>
      </c>
      <c r="I327" s="39" t="s">
        <v>1070</v>
      </c>
      <c r="J327" s="37">
        <v>8201</v>
      </c>
      <c r="K327" s="37">
        <v>8201</v>
      </c>
      <c r="L327" s="37">
        <v>8201</v>
      </c>
      <c r="M327" s="37">
        <v>8201</v>
      </c>
      <c r="N327" s="37">
        <v>8201</v>
      </c>
      <c r="O327" s="37">
        <v>8201</v>
      </c>
      <c r="P327" s="37">
        <v>8201</v>
      </c>
      <c r="Q327" s="37">
        <v>8201</v>
      </c>
      <c r="R327" s="37">
        <v>8201</v>
      </c>
      <c r="S327" s="37">
        <v>8201</v>
      </c>
      <c r="T327" s="37">
        <v>8201</v>
      </c>
      <c r="U327" s="37">
        <v>8201</v>
      </c>
      <c r="V327" s="37">
        <v>98412</v>
      </c>
    </row>
    <row r="328" spans="7:22" x14ac:dyDescent="0.25">
      <c r="G328" s="39" t="s">
        <v>54</v>
      </c>
      <c r="H328" s="39" t="s">
        <v>1071</v>
      </c>
      <c r="I328" s="39" t="s">
        <v>1072</v>
      </c>
      <c r="J328" s="37">
        <v>4429</v>
      </c>
      <c r="K328" s="37">
        <v>4429</v>
      </c>
      <c r="L328" s="37">
        <v>4429</v>
      </c>
      <c r="M328" s="37">
        <v>4429</v>
      </c>
      <c r="N328" s="37">
        <v>4429</v>
      </c>
      <c r="O328" s="37">
        <v>4429</v>
      </c>
      <c r="P328" s="37">
        <v>4429</v>
      </c>
      <c r="Q328" s="37">
        <v>4429</v>
      </c>
      <c r="R328" s="37">
        <v>4429</v>
      </c>
      <c r="S328" s="37">
        <v>4429</v>
      </c>
      <c r="T328" s="37">
        <v>4429</v>
      </c>
      <c r="U328" s="37">
        <v>4429</v>
      </c>
      <c r="V328" s="37">
        <v>53148</v>
      </c>
    </row>
    <row r="329" spans="7:22" x14ac:dyDescent="0.25">
      <c r="G329" s="39" t="s">
        <v>54</v>
      </c>
      <c r="H329" s="39" t="s">
        <v>1073</v>
      </c>
      <c r="I329" s="39" t="s">
        <v>1074</v>
      </c>
      <c r="J329" s="37">
        <v>6072</v>
      </c>
      <c r="K329" s="37">
        <v>6072</v>
      </c>
      <c r="L329" s="37">
        <v>6072</v>
      </c>
      <c r="M329" s="37">
        <v>6072</v>
      </c>
      <c r="N329" s="37">
        <v>6072</v>
      </c>
      <c r="O329" s="37">
        <v>6072</v>
      </c>
      <c r="P329" s="37">
        <v>6072</v>
      </c>
      <c r="Q329" s="37">
        <v>6072</v>
      </c>
      <c r="R329" s="37">
        <v>6072</v>
      </c>
      <c r="S329" s="37">
        <v>6072</v>
      </c>
      <c r="T329" s="37">
        <v>6072</v>
      </c>
      <c r="U329" s="37">
        <v>6072</v>
      </c>
      <c r="V329" s="37">
        <v>72864</v>
      </c>
    </row>
    <row r="330" spans="7:22" x14ac:dyDescent="0.25">
      <c r="G330" s="39" t="s">
        <v>54</v>
      </c>
      <c r="H330" s="39" t="s">
        <v>1083</v>
      </c>
      <c r="I330" s="39" t="s">
        <v>1084</v>
      </c>
      <c r="J330" s="37">
        <v>3398</v>
      </c>
      <c r="K330" s="37">
        <v>4059</v>
      </c>
      <c r="L330" s="37">
        <v>4059</v>
      </c>
      <c r="M330" s="37">
        <v>4059</v>
      </c>
      <c r="N330" s="37">
        <v>4059</v>
      </c>
      <c r="O330" s="37">
        <v>4059</v>
      </c>
      <c r="P330" s="37">
        <v>4059</v>
      </c>
      <c r="Q330" s="37">
        <v>4059</v>
      </c>
      <c r="R330" s="37">
        <v>4059</v>
      </c>
      <c r="S330" s="37">
        <v>4059</v>
      </c>
      <c r="T330" s="37">
        <v>4059</v>
      </c>
      <c r="U330" s="37">
        <v>4059</v>
      </c>
      <c r="V330" s="37">
        <v>48047</v>
      </c>
    </row>
    <row r="331" spans="7:22" x14ac:dyDescent="0.25">
      <c r="G331" s="39" t="s">
        <v>54</v>
      </c>
      <c r="H331" s="39" t="s">
        <v>1085</v>
      </c>
      <c r="I331" s="39" t="s">
        <v>1086</v>
      </c>
      <c r="J331" s="37">
        <v>1208</v>
      </c>
      <c r="K331" s="37">
        <v>1208</v>
      </c>
      <c r="L331" s="37">
        <v>1208</v>
      </c>
      <c r="M331" s="37">
        <v>1208</v>
      </c>
      <c r="N331" s="37">
        <v>1208</v>
      </c>
      <c r="O331" s="37">
        <v>1208</v>
      </c>
      <c r="P331" s="37">
        <v>1208</v>
      </c>
      <c r="Q331" s="37">
        <v>1208</v>
      </c>
      <c r="R331" s="37">
        <v>1208</v>
      </c>
      <c r="S331" s="37">
        <v>1208</v>
      </c>
      <c r="T331" s="37">
        <v>1208</v>
      </c>
      <c r="U331" s="37">
        <v>1208</v>
      </c>
      <c r="V331" s="37">
        <v>14496</v>
      </c>
    </row>
    <row r="332" spans="7:22" x14ac:dyDescent="0.25">
      <c r="G332" s="39" t="s">
        <v>54</v>
      </c>
      <c r="H332" s="39" t="s">
        <v>1087</v>
      </c>
      <c r="I332" s="39" t="s">
        <v>1088</v>
      </c>
      <c r="J332" s="37">
        <v>3920</v>
      </c>
      <c r="K332" s="37">
        <v>3920</v>
      </c>
      <c r="L332" s="37">
        <v>3920</v>
      </c>
      <c r="M332" s="37">
        <v>3920</v>
      </c>
      <c r="N332" s="37">
        <v>3920</v>
      </c>
      <c r="O332" s="37">
        <v>3920</v>
      </c>
      <c r="P332" s="37">
        <v>3920</v>
      </c>
      <c r="Q332" s="37">
        <v>3920</v>
      </c>
      <c r="R332" s="37">
        <v>3920</v>
      </c>
      <c r="S332" s="37">
        <v>3920</v>
      </c>
      <c r="T332" s="37">
        <v>3920</v>
      </c>
      <c r="U332" s="37">
        <v>3920</v>
      </c>
      <c r="V332" s="37">
        <v>47040</v>
      </c>
    </row>
    <row r="333" spans="7:22" x14ac:dyDescent="0.25">
      <c r="G333" s="39" t="s">
        <v>54</v>
      </c>
      <c r="H333" s="39" t="s">
        <v>1089</v>
      </c>
      <c r="I333" s="39" t="s">
        <v>1090</v>
      </c>
      <c r="J333" s="37">
        <v>200</v>
      </c>
      <c r="K333" s="37">
        <v>200</v>
      </c>
      <c r="L333" s="37">
        <v>200</v>
      </c>
      <c r="M333" s="37">
        <v>200</v>
      </c>
      <c r="N333" s="37">
        <v>200</v>
      </c>
      <c r="O333" s="37">
        <v>200</v>
      </c>
      <c r="P333" s="37">
        <v>200</v>
      </c>
      <c r="Q333" s="37">
        <v>200</v>
      </c>
      <c r="R333" s="37">
        <v>200</v>
      </c>
      <c r="S333" s="37">
        <v>200</v>
      </c>
      <c r="T333" s="37">
        <v>200</v>
      </c>
      <c r="U333" s="37">
        <v>200</v>
      </c>
      <c r="V333" s="37">
        <v>2400</v>
      </c>
    </row>
    <row r="334" spans="7:22" x14ac:dyDescent="0.25">
      <c r="G334" s="39" t="s">
        <v>54</v>
      </c>
      <c r="H334" s="39" t="s">
        <v>1075</v>
      </c>
      <c r="I334" s="39" t="s">
        <v>1076</v>
      </c>
      <c r="J334" s="37">
        <v>1448</v>
      </c>
      <c r="K334" s="37">
        <v>1448</v>
      </c>
      <c r="L334" s="37">
        <v>1450</v>
      </c>
      <c r="M334" s="37">
        <v>1448</v>
      </c>
      <c r="N334" s="37">
        <v>1448</v>
      </c>
      <c r="O334" s="37">
        <v>1450</v>
      </c>
      <c r="P334" s="37">
        <v>1448</v>
      </c>
      <c r="Q334" s="37">
        <v>1448</v>
      </c>
      <c r="R334" s="37">
        <v>1450</v>
      </c>
      <c r="S334" s="37">
        <v>1448</v>
      </c>
      <c r="T334" s="37">
        <v>1448</v>
      </c>
      <c r="U334" s="37">
        <v>1448</v>
      </c>
      <c r="V334" s="37">
        <v>17382</v>
      </c>
    </row>
    <row r="335" spans="7:22" x14ac:dyDescent="0.25">
      <c r="G335" s="39" t="s">
        <v>54</v>
      </c>
      <c r="H335" s="39" t="s">
        <v>1077</v>
      </c>
      <c r="I335" s="39" t="s">
        <v>1078</v>
      </c>
      <c r="J335" s="37">
        <v>224</v>
      </c>
      <c r="K335" s="37">
        <v>224</v>
      </c>
      <c r="L335" s="37">
        <v>210</v>
      </c>
      <c r="M335" s="37">
        <v>215</v>
      </c>
      <c r="N335" s="37">
        <v>218</v>
      </c>
      <c r="O335" s="37">
        <v>226</v>
      </c>
      <c r="P335" s="37">
        <v>214</v>
      </c>
      <c r="Q335" s="37">
        <v>211</v>
      </c>
      <c r="R335" s="37">
        <v>204</v>
      </c>
      <c r="S335" s="37">
        <v>214</v>
      </c>
      <c r="T335" s="37">
        <v>207</v>
      </c>
      <c r="U335" s="37">
        <v>204</v>
      </c>
      <c r="V335" s="37">
        <v>2571</v>
      </c>
    </row>
    <row r="336" spans="7:22" x14ac:dyDescent="0.25">
      <c r="G336" s="39" t="s">
        <v>54</v>
      </c>
      <c r="H336" s="39" t="s">
        <v>1079</v>
      </c>
      <c r="I336" s="39" t="s">
        <v>1080</v>
      </c>
      <c r="J336" s="37">
        <v>2080</v>
      </c>
      <c r="K336" s="37">
        <v>2080</v>
      </c>
      <c r="L336" s="37">
        <v>2080</v>
      </c>
      <c r="M336" s="37">
        <v>2080</v>
      </c>
      <c r="N336" s="37">
        <v>2080</v>
      </c>
      <c r="O336" s="37">
        <v>2080</v>
      </c>
      <c r="P336" s="37">
        <v>2080</v>
      </c>
      <c r="Q336" s="37">
        <v>2080</v>
      </c>
      <c r="R336" s="37">
        <v>2080</v>
      </c>
      <c r="S336" s="37">
        <v>2080</v>
      </c>
      <c r="T336" s="37">
        <v>2080</v>
      </c>
      <c r="U336" s="37">
        <v>2080</v>
      </c>
      <c r="V336" s="37">
        <v>24960</v>
      </c>
    </row>
    <row r="337" spans="7:22" x14ac:dyDescent="0.25">
      <c r="G337" s="39" t="s">
        <v>54</v>
      </c>
      <c r="H337" s="39" t="s">
        <v>1081</v>
      </c>
      <c r="I337" s="39" t="s">
        <v>1082</v>
      </c>
      <c r="J337" s="37">
        <v>2742</v>
      </c>
      <c r="K337" s="37">
        <v>2784</v>
      </c>
      <c r="L337" s="37">
        <v>2742</v>
      </c>
      <c r="M337" s="37">
        <v>2742</v>
      </c>
      <c r="N337" s="37">
        <v>2770</v>
      </c>
      <c r="O337" s="37">
        <v>2739</v>
      </c>
      <c r="P337" s="37">
        <v>2736</v>
      </c>
      <c r="Q337" s="37">
        <v>2774</v>
      </c>
      <c r="R337" s="37">
        <v>2714</v>
      </c>
      <c r="S337" s="37">
        <v>2728</v>
      </c>
      <c r="T337" s="37">
        <v>2766</v>
      </c>
      <c r="U337" s="37">
        <v>2724</v>
      </c>
      <c r="V337" s="37">
        <v>32961</v>
      </c>
    </row>
    <row r="338" spans="7:22" x14ac:dyDescent="0.25">
      <c r="G338" s="39" t="s">
        <v>54</v>
      </c>
      <c r="H338" s="39" t="s">
        <v>1107</v>
      </c>
      <c r="I338" s="39" t="s">
        <v>1108</v>
      </c>
      <c r="J338" s="37">
        <v>19399</v>
      </c>
      <c r="K338" s="37">
        <v>19399</v>
      </c>
      <c r="L338" s="37">
        <v>19399</v>
      </c>
      <c r="M338" s="37">
        <v>19398</v>
      </c>
      <c r="N338" s="37">
        <v>19398</v>
      </c>
      <c r="O338" s="37">
        <v>19398</v>
      </c>
      <c r="P338" s="37">
        <v>19398</v>
      </c>
      <c r="Q338" s="37">
        <v>19398</v>
      </c>
      <c r="R338" s="37">
        <v>19398</v>
      </c>
      <c r="S338" s="37">
        <v>19398</v>
      </c>
      <c r="T338" s="37">
        <v>19399</v>
      </c>
      <c r="U338" s="37">
        <v>19399</v>
      </c>
      <c r="V338" s="37">
        <v>232781</v>
      </c>
    </row>
    <row r="339" spans="7:22" x14ac:dyDescent="0.25">
      <c r="G339" s="39" t="s">
        <v>54</v>
      </c>
      <c r="H339" s="39" t="s">
        <v>1109</v>
      </c>
      <c r="I339" s="39" t="s">
        <v>1110</v>
      </c>
      <c r="J339" s="37">
        <v>27156</v>
      </c>
      <c r="K339" s="37">
        <v>27156</v>
      </c>
      <c r="L339" s="37">
        <v>27156</v>
      </c>
      <c r="M339" s="37">
        <v>27156</v>
      </c>
      <c r="N339" s="37">
        <v>27156</v>
      </c>
      <c r="O339" s="37">
        <v>27156</v>
      </c>
      <c r="P339" s="37">
        <v>27156</v>
      </c>
      <c r="Q339" s="37">
        <v>27156</v>
      </c>
      <c r="R339" s="37">
        <v>27156</v>
      </c>
      <c r="S339" s="37">
        <v>27156</v>
      </c>
      <c r="T339" s="37">
        <v>27156</v>
      </c>
      <c r="U339" s="37">
        <v>27156</v>
      </c>
      <c r="V339" s="37">
        <v>325872</v>
      </c>
    </row>
    <row r="340" spans="7:22" x14ac:dyDescent="0.25">
      <c r="G340" s="39" t="s">
        <v>54</v>
      </c>
      <c r="H340" s="39" t="s">
        <v>1111</v>
      </c>
      <c r="I340" s="39" t="s">
        <v>1112</v>
      </c>
      <c r="J340" s="37">
        <v>9813</v>
      </c>
      <c r="K340" s="37">
        <v>9813</v>
      </c>
      <c r="L340" s="37">
        <v>9813</v>
      </c>
      <c r="M340" s="37">
        <v>9813</v>
      </c>
      <c r="N340" s="37">
        <v>9813</v>
      </c>
      <c r="O340" s="37">
        <v>9813</v>
      </c>
      <c r="P340" s="37">
        <v>9813</v>
      </c>
      <c r="Q340" s="37">
        <v>9813</v>
      </c>
      <c r="R340" s="37">
        <v>9813</v>
      </c>
      <c r="S340" s="37">
        <v>9813</v>
      </c>
      <c r="T340" s="37">
        <v>9813</v>
      </c>
      <c r="U340" s="37">
        <v>9813</v>
      </c>
      <c r="V340" s="37">
        <v>117756</v>
      </c>
    </row>
    <row r="341" spans="7:22" x14ac:dyDescent="0.25">
      <c r="G341" s="39" t="s">
        <v>54</v>
      </c>
      <c r="H341" s="39" t="s">
        <v>1113</v>
      </c>
      <c r="I341" s="39" t="s">
        <v>1114</v>
      </c>
      <c r="J341" s="37">
        <v>1200</v>
      </c>
      <c r="K341" s="37">
        <v>1200</v>
      </c>
      <c r="L341" s="37">
        <v>1200</v>
      </c>
      <c r="M341" s="37">
        <v>1200</v>
      </c>
      <c r="N341" s="37">
        <v>1200</v>
      </c>
      <c r="O341" s="37">
        <v>1200</v>
      </c>
      <c r="P341" s="37">
        <v>1200</v>
      </c>
      <c r="Q341" s="37">
        <v>1200</v>
      </c>
      <c r="R341" s="37">
        <v>1200</v>
      </c>
      <c r="S341" s="37">
        <v>1200</v>
      </c>
      <c r="T341" s="37">
        <v>1200</v>
      </c>
      <c r="U341" s="37">
        <v>1200</v>
      </c>
      <c r="V341" s="37">
        <v>14400</v>
      </c>
    </row>
    <row r="342" spans="7:22" x14ac:dyDescent="0.25">
      <c r="G342" s="39" t="s">
        <v>54</v>
      </c>
      <c r="H342" s="39" t="s">
        <v>1115</v>
      </c>
      <c r="I342" s="39" t="s">
        <v>1116</v>
      </c>
      <c r="J342" s="37">
        <v>1540</v>
      </c>
      <c r="K342" s="37">
        <v>1540</v>
      </c>
      <c r="L342" s="37">
        <v>1540</v>
      </c>
      <c r="M342" s="37">
        <v>1540</v>
      </c>
      <c r="N342" s="37">
        <v>1540</v>
      </c>
      <c r="O342" s="37">
        <v>1540</v>
      </c>
      <c r="P342" s="37">
        <v>1540</v>
      </c>
      <c r="Q342" s="37">
        <v>1540</v>
      </c>
      <c r="R342" s="37">
        <v>1540</v>
      </c>
      <c r="S342" s="37">
        <v>1540</v>
      </c>
      <c r="T342" s="37">
        <v>1540</v>
      </c>
      <c r="U342" s="37">
        <v>1540</v>
      </c>
      <c r="V342" s="37">
        <v>18480</v>
      </c>
    </row>
    <row r="343" spans="7:22" x14ac:dyDescent="0.25">
      <c r="G343" s="39" t="s">
        <v>54</v>
      </c>
      <c r="H343" s="39" t="s">
        <v>1091</v>
      </c>
      <c r="I343" s="39" t="s">
        <v>1092</v>
      </c>
      <c r="J343" s="37">
        <v>130</v>
      </c>
      <c r="K343" s="37">
        <v>130</v>
      </c>
      <c r="L343" s="37">
        <v>130</v>
      </c>
      <c r="M343" s="37">
        <v>130</v>
      </c>
      <c r="N343" s="37">
        <v>130</v>
      </c>
      <c r="O343" s="37">
        <v>130</v>
      </c>
      <c r="P343" s="37">
        <v>130</v>
      </c>
      <c r="Q343" s="37">
        <v>130</v>
      </c>
      <c r="R343" s="37">
        <v>130</v>
      </c>
      <c r="S343" s="37">
        <v>130</v>
      </c>
      <c r="T343" s="37">
        <v>130</v>
      </c>
      <c r="U343" s="37">
        <v>130</v>
      </c>
      <c r="V343" s="37">
        <v>1560</v>
      </c>
    </row>
    <row r="344" spans="7:22" x14ac:dyDescent="0.25">
      <c r="G344" s="39" t="s">
        <v>54</v>
      </c>
      <c r="H344" s="39" t="s">
        <v>1093</v>
      </c>
      <c r="I344" s="39" t="s">
        <v>1094</v>
      </c>
      <c r="J344" s="37">
        <v>660</v>
      </c>
      <c r="K344" s="37">
        <v>1520</v>
      </c>
      <c r="L344" s="37">
        <v>42130</v>
      </c>
      <c r="M344" s="37">
        <v>750</v>
      </c>
      <c r="N344" s="37">
        <v>2180</v>
      </c>
      <c r="O344" s="37">
        <v>1200</v>
      </c>
      <c r="P344" s="37">
        <v>800</v>
      </c>
      <c r="Q344" s="37">
        <v>1360</v>
      </c>
      <c r="R344" s="37">
        <v>2876</v>
      </c>
      <c r="S344" s="37">
        <v>562</v>
      </c>
      <c r="T344" s="37">
        <v>970</v>
      </c>
      <c r="U344" s="37">
        <v>2888</v>
      </c>
      <c r="V344" s="37">
        <v>57896</v>
      </c>
    </row>
    <row r="345" spans="7:22" x14ac:dyDescent="0.25">
      <c r="G345" s="39" t="s">
        <v>54</v>
      </c>
      <c r="H345" s="39" t="s">
        <v>1095</v>
      </c>
      <c r="I345" s="39" t="s">
        <v>1096</v>
      </c>
      <c r="J345" s="37">
        <v>16700</v>
      </c>
      <c r="K345" s="37">
        <v>16700</v>
      </c>
      <c r="L345" s="37">
        <v>16700</v>
      </c>
      <c r="M345" s="37">
        <v>16700</v>
      </c>
      <c r="N345" s="37">
        <v>16700</v>
      </c>
      <c r="O345" s="37">
        <v>16700</v>
      </c>
      <c r="P345" s="37">
        <v>16700</v>
      </c>
      <c r="Q345" s="37">
        <v>16700</v>
      </c>
      <c r="R345" s="37">
        <v>16700</v>
      </c>
      <c r="S345" s="37">
        <v>16700</v>
      </c>
      <c r="T345" s="37">
        <v>16700</v>
      </c>
      <c r="U345" s="37">
        <v>16700</v>
      </c>
      <c r="V345" s="37">
        <v>200400</v>
      </c>
    </row>
    <row r="346" spans="7:22" x14ac:dyDescent="0.25">
      <c r="G346" s="39" t="s">
        <v>54</v>
      </c>
      <c r="H346" s="39" t="s">
        <v>1097</v>
      </c>
      <c r="I346" s="39" t="s">
        <v>1098</v>
      </c>
      <c r="J346" s="37">
        <v>3250</v>
      </c>
      <c r="K346" s="37">
        <v>3250</v>
      </c>
      <c r="L346" s="37">
        <v>3250</v>
      </c>
      <c r="M346" s="37">
        <v>3250</v>
      </c>
      <c r="N346" s="37">
        <v>3250</v>
      </c>
      <c r="O346" s="37">
        <v>3250</v>
      </c>
      <c r="P346" s="37">
        <v>3250</v>
      </c>
      <c r="Q346" s="37">
        <v>3250</v>
      </c>
      <c r="R346" s="37">
        <v>3250</v>
      </c>
      <c r="S346" s="37">
        <v>3250</v>
      </c>
      <c r="T346" s="37">
        <v>3250</v>
      </c>
      <c r="U346" s="37">
        <v>3250</v>
      </c>
      <c r="V346" s="37">
        <v>39000</v>
      </c>
    </row>
    <row r="347" spans="7:22" x14ac:dyDescent="0.25">
      <c r="G347" s="39" t="s">
        <v>54</v>
      </c>
      <c r="H347" s="39" t="s">
        <v>1099</v>
      </c>
      <c r="I347" s="39" t="s">
        <v>1100</v>
      </c>
      <c r="J347" s="37">
        <v>480</v>
      </c>
      <c r="K347" s="37">
        <v>480</v>
      </c>
      <c r="L347" s="37">
        <v>480</v>
      </c>
      <c r="M347" s="37">
        <v>480</v>
      </c>
      <c r="N347" s="37">
        <v>480</v>
      </c>
      <c r="O347" s="37">
        <v>480</v>
      </c>
      <c r="P347" s="37">
        <v>480</v>
      </c>
      <c r="Q347" s="37">
        <v>480</v>
      </c>
      <c r="R347" s="37">
        <v>480</v>
      </c>
      <c r="S347" s="37">
        <v>480</v>
      </c>
      <c r="T347" s="37">
        <v>480</v>
      </c>
      <c r="U347" s="37">
        <v>480</v>
      </c>
      <c r="V347" s="37">
        <v>5760</v>
      </c>
    </row>
    <row r="348" spans="7:22" x14ac:dyDescent="0.25">
      <c r="G348" s="39" t="s">
        <v>54</v>
      </c>
      <c r="H348" s="39" t="s">
        <v>1101</v>
      </c>
      <c r="I348" s="39" t="s">
        <v>1102</v>
      </c>
      <c r="J348" s="37">
        <v>7442</v>
      </c>
      <c r="K348" s="37">
        <v>7442</v>
      </c>
      <c r="L348" s="37">
        <v>7442</v>
      </c>
      <c r="M348" s="37">
        <v>7442</v>
      </c>
      <c r="N348" s="37">
        <v>7442</v>
      </c>
      <c r="O348" s="37">
        <v>7442</v>
      </c>
      <c r="P348" s="37">
        <v>7442</v>
      </c>
      <c r="Q348" s="37">
        <v>7442</v>
      </c>
      <c r="R348" s="37">
        <v>7442</v>
      </c>
      <c r="S348" s="37">
        <v>7442</v>
      </c>
      <c r="T348" s="37">
        <v>7442</v>
      </c>
      <c r="U348" s="37">
        <v>7442</v>
      </c>
      <c r="V348" s="37">
        <v>89304</v>
      </c>
    </row>
    <row r="349" spans="7:22" x14ac:dyDescent="0.25">
      <c r="G349" s="39" t="s">
        <v>54</v>
      </c>
      <c r="H349" s="39" t="s">
        <v>1103</v>
      </c>
      <c r="I349" s="39" t="s">
        <v>1104</v>
      </c>
      <c r="J349" s="37">
        <v>252</v>
      </c>
      <c r="K349" s="37">
        <v>252</v>
      </c>
      <c r="L349" s="37">
        <v>252</v>
      </c>
      <c r="M349" s="37">
        <v>252</v>
      </c>
      <c r="N349" s="37">
        <v>252</v>
      </c>
      <c r="O349" s="37">
        <v>252</v>
      </c>
      <c r="P349" s="37">
        <v>252</v>
      </c>
      <c r="Q349" s="37">
        <v>252</v>
      </c>
      <c r="R349" s="37">
        <v>252</v>
      </c>
      <c r="S349" s="37">
        <v>252</v>
      </c>
      <c r="T349" s="37">
        <v>252</v>
      </c>
      <c r="U349" s="37">
        <v>252</v>
      </c>
      <c r="V349" s="37">
        <v>3024</v>
      </c>
    </row>
    <row r="350" spans="7:22" x14ac:dyDescent="0.25">
      <c r="G350" s="39" t="s">
        <v>54</v>
      </c>
      <c r="H350" s="39" t="s">
        <v>1132</v>
      </c>
      <c r="I350" s="39" t="s">
        <v>1133</v>
      </c>
      <c r="J350" s="37">
        <v>15041</v>
      </c>
      <c r="K350" s="37">
        <v>19194</v>
      </c>
      <c r="L350" s="37">
        <v>27903</v>
      </c>
      <c r="M350" s="37">
        <v>22005</v>
      </c>
      <c r="N350" s="37">
        <v>22814</v>
      </c>
      <c r="O350" s="37">
        <v>22971</v>
      </c>
      <c r="P350" s="37">
        <v>4982</v>
      </c>
      <c r="Q350" s="37">
        <v>5702</v>
      </c>
      <c r="R350" s="37">
        <v>4392</v>
      </c>
      <c r="S350" s="37">
        <v>6064</v>
      </c>
      <c r="T350" s="37">
        <v>9570</v>
      </c>
      <c r="U350" s="37">
        <v>9322</v>
      </c>
      <c r="V350" s="37">
        <v>169960</v>
      </c>
    </row>
    <row r="351" spans="7:22" x14ac:dyDescent="0.25">
      <c r="G351" s="39" t="s">
        <v>54</v>
      </c>
      <c r="H351" s="39" t="s">
        <v>1105</v>
      </c>
      <c r="I351" s="39" t="s">
        <v>1106</v>
      </c>
      <c r="J351" s="37">
        <v>270</v>
      </c>
      <c r="K351" s="37">
        <v>270</v>
      </c>
      <c r="L351" s="37">
        <v>270</v>
      </c>
      <c r="M351" s="37">
        <v>270</v>
      </c>
      <c r="N351" s="37">
        <v>270</v>
      </c>
      <c r="O351" s="37">
        <v>270</v>
      </c>
      <c r="P351" s="37">
        <v>270</v>
      </c>
      <c r="Q351" s="37">
        <v>270</v>
      </c>
      <c r="R351" s="37">
        <v>270</v>
      </c>
      <c r="S351" s="37">
        <v>270</v>
      </c>
      <c r="T351" s="37">
        <v>270</v>
      </c>
      <c r="U351" s="37">
        <v>270</v>
      </c>
      <c r="V351" s="37">
        <v>3240</v>
      </c>
    </row>
    <row r="352" spans="7:22" x14ac:dyDescent="0.25">
      <c r="G352" s="39" t="s">
        <v>54</v>
      </c>
      <c r="H352" s="39" t="s">
        <v>1123</v>
      </c>
      <c r="I352" s="39" t="s">
        <v>1124</v>
      </c>
      <c r="J352" s="37">
        <v>57220</v>
      </c>
      <c r="K352" s="37">
        <v>57220</v>
      </c>
      <c r="L352" s="37">
        <v>57220</v>
      </c>
      <c r="M352" s="37">
        <v>57220</v>
      </c>
      <c r="N352" s="37">
        <v>57220</v>
      </c>
      <c r="O352" s="37">
        <v>57220</v>
      </c>
      <c r="P352" s="37">
        <v>57220</v>
      </c>
      <c r="Q352" s="37">
        <v>57220</v>
      </c>
      <c r="R352" s="37">
        <v>57220</v>
      </c>
      <c r="S352" s="37">
        <v>57220</v>
      </c>
      <c r="T352" s="37">
        <v>57220</v>
      </c>
      <c r="U352" s="37">
        <v>57220</v>
      </c>
      <c r="V352" s="37">
        <v>686640</v>
      </c>
    </row>
    <row r="353" spans="7:22" x14ac:dyDescent="0.25">
      <c r="G353" s="39" t="s">
        <v>54</v>
      </c>
      <c r="H353" s="39" t="s">
        <v>1127</v>
      </c>
      <c r="I353" s="39" t="s">
        <v>1128</v>
      </c>
      <c r="J353" s="37">
        <v>3150</v>
      </c>
      <c r="K353" s="37">
        <v>3150</v>
      </c>
      <c r="L353" s="37">
        <v>3150</v>
      </c>
      <c r="M353" s="37">
        <v>3150</v>
      </c>
      <c r="N353" s="37">
        <v>3150</v>
      </c>
      <c r="O353" s="37">
        <v>3150</v>
      </c>
      <c r="P353" s="37">
        <v>3150</v>
      </c>
      <c r="Q353" s="37">
        <v>3150</v>
      </c>
      <c r="R353" s="37">
        <v>3150</v>
      </c>
      <c r="S353" s="37">
        <v>3150</v>
      </c>
      <c r="T353" s="37">
        <v>3150</v>
      </c>
      <c r="U353" s="37">
        <v>3150</v>
      </c>
      <c r="V353" s="37">
        <v>37800</v>
      </c>
    </row>
    <row r="354" spans="7:22" x14ac:dyDescent="0.25">
      <c r="G354" s="39" t="s">
        <v>54</v>
      </c>
      <c r="H354" s="39" t="s">
        <v>1129</v>
      </c>
      <c r="I354" s="39" t="s">
        <v>1130</v>
      </c>
      <c r="J354" s="37">
        <v>4735</v>
      </c>
      <c r="K354" s="37">
        <v>4735</v>
      </c>
      <c r="L354" s="37">
        <v>4787</v>
      </c>
      <c r="M354" s="37">
        <v>4728</v>
      </c>
      <c r="N354" s="37">
        <v>4728</v>
      </c>
      <c r="O354" s="37">
        <v>4792</v>
      </c>
      <c r="P354" s="37">
        <v>4728</v>
      </c>
      <c r="Q354" s="37">
        <v>4728</v>
      </c>
      <c r="R354" s="37">
        <v>4788</v>
      </c>
      <c r="S354" s="37">
        <v>4728</v>
      </c>
      <c r="T354" s="37">
        <v>4728</v>
      </c>
      <c r="U354" s="37">
        <v>4788</v>
      </c>
      <c r="V354" s="37">
        <v>56993</v>
      </c>
    </row>
    <row r="355" spans="7:22" x14ac:dyDescent="0.25">
      <c r="G355" s="39" t="s">
        <v>54</v>
      </c>
      <c r="H355" s="39" t="s">
        <v>1138</v>
      </c>
      <c r="I355" s="39" t="s">
        <v>1139</v>
      </c>
      <c r="J355" s="37">
        <v>248350</v>
      </c>
      <c r="K355" s="37">
        <v>248350</v>
      </c>
      <c r="L355" s="37">
        <v>248350</v>
      </c>
      <c r="M355" s="37">
        <v>248350</v>
      </c>
      <c r="N355" s="37">
        <v>248350</v>
      </c>
      <c r="O355" s="37">
        <v>248350</v>
      </c>
      <c r="P355" s="37">
        <v>248350</v>
      </c>
      <c r="Q355" s="37">
        <v>248350</v>
      </c>
      <c r="R355" s="37">
        <v>248350</v>
      </c>
      <c r="S355" s="37">
        <v>248350</v>
      </c>
      <c r="T355" s="37">
        <v>248350</v>
      </c>
      <c r="U355" s="37">
        <v>248350</v>
      </c>
      <c r="V355" s="37">
        <v>2980200</v>
      </c>
    </row>
    <row r="356" spans="7:22" x14ac:dyDescent="0.25">
      <c r="G356" s="39" t="s">
        <v>54</v>
      </c>
      <c r="H356" s="39" t="s">
        <v>961</v>
      </c>
      <c r="I356" s="39" t="s">
        <v>962</v>
      </c>
      <c r="J356" s="37">
        <v>68140</v>
      </c>
      <c r="K356" s="37">
        <v>65661</v>
      </c>
      <c r="L356" s="37">
        <v>75961</v>
      </c>
      <c r="M356" s="37">
        <v>71813</v>
      </c>
      <c r="N356" s="37">
        <v>68859</v>
      </c>
      <c r="O356" s="37">
        <v>71246</v>
      </c>
      <c r="P356" s="37">
        <v>71596</v>
      </c>
      <c r="Q356" s="37">
        <v>72714</v>
      </c>
      <c r="R356" s="37">
        <v>72071</v>
      </c>
      <c r="S356" s="37">
        <v>69710</v>
      </c>
      <c r="T356" s="37">
        <v>72931</v>
      </c>
      <c r="U356" s="37">
        <v>75658</v>
      </c>
      <c r="V356" s="37">
        <v>856360</v>
      </c>
    </row>
    <row r="357" spans="7:22" x14ac:dyDescent="0.25">
      <c r="G357" s="39" t="s">
        <v>54</v>
      </c>
      <c r="H357" s="39" t="s">
        <v>963</v>
      </c>
      <c r="I357" s="39" t="s">
        <v>964</v>
      </c>
      <c r="J357" s="37">
        <v>4930</v>
      </c>
      <c r="K357" s="37">
        <v>4346</v>
      </c>
      <c r="L357" s="37">
        <v>4760</v>
      </c>
      <c r="M357" s="37">
        <v>3775</v>
      </c>
      <c r="N357" s="37">
        <v>3578</v>
      </c>
      <c r="O357" s="37">
        <v>3731</v>
      </c>
      <c r="P357" s="37">
        <v>3734</v>
      </c>
      <c r="Q357" s="37">
        <v>3727</v>
      </c>
      <c r="R357" s="37">
        <v>3718</v>
      </c>
      <c r="S357" s="37">
        <v>3569</v>
      </c>
      <c r="T357" s="37">
        <v>3718</v>
      </c>
      <c r="U357" s="37">
        <v>3855</v>
      </c>
      <c r="V357" s="37">
        <v>47441</v>
      </c>
    </row>
    <row r="358" spans="7:22" x14ac:dyDescent="0.25">
      <c r="G358" s="39" t="s">
        <v>54</v>
      </c>
      <c r="H358" s="39" t="s">
        <v>1140</v>
      </c>
      <c r="I358" s="39" t="s">
        <v>1141</v>
      </c>
      <c r="J358" s="37">
        <v>83</v>
      </c>
      <c r="K358" s="37">
        <v>83</v>
      </c>
      <c r="L358" s="37">
        <v>83</v>
      </c>
      <c r="M358" s="37">
        <v>83</v>
      </c>
      <c r="N358" s="37">
        <v>83</v>
      </c>
      <c r="O358" s="37">
        <v>83</v>
      </c>
      <c r="P358" s="37">
        <v>83</v>
      </c>
      <c r="Q358" s="37">
        <v>83</v>
      </c>
      <c r="R358" s="37">
        <v>84</v>
      </c>
      <c r="S358" s="37">
        <v>84</v>
      </c>
      <c r="T358" s="37">
        <v>84</v>
      </c>
      <c r="U358" s="37">
        <v>84</v>
      </c>
      <c r="V358" s="37">
        <v>1000</v>
      </c>
    </row>
    <row r="359" spans="7:22" x14ac:dyDescent="0.25">
      <c r="G359" s="39" t="s">
        <v>54</v>
      </c>
      <c r="H359" s="39" t="s">
        <v>1134</v>
      </c>
      <c r="I359" s="39" t="s">
        <v>1135</v>
      </c>
      <c r="J359" s="37">
        <v>11004</v>
      </c>
      <c r="K359" s="37">
        <v>8057</v>
      </c>
      <c r="L359" s="37">
        <v>8692</v>
      </c>
      <c r="M359" s="37">
        <v>8316</v>
      </c>
      <c r="N359" s="37">
        <v>8031</v>
      </c>
      <c r="O359" s="37">
        <v>9083</v>
      </c>
      <c r="P359" s="37">
        <v>7759</v>
      </c>
      <c r="Q359" s="37">
        <v>10757</v>
      </c>
      <c r="R359" s="37">
        <v>8717</v>
      </c>
      <c r="S359" s="37">
        <v>7801</v>
      </c>
      <c r="T359" s="37">
        <v>7812</v>
      </c>
      <c r="U359" s="37">
        <v>8842</v>
      </c>
      <c r="V359" s="37">
        <v>104871</v>
      </c>
    </row>
    <row r="360" spans="7:22" x14ac:dyDescent="0.25">
      <c r="G360" s="39" t="s">
        <v>54</v>
      </c>
      <c r="H360" s="39" t="s">
        <v>1136</v>
      </c>
      <c r="I360" s="39" t="s">
        <v>1137</v>
      </c>
      <c r="J360" s="37">
        <v>-17510</v>
      </c>
      <c r="K360" s="37">
        <v>-17510</v>
      </c>
      <c r="L360" s="37">
        <v>-17510</v>
      </c>
      <c r="M360" s="37">
        <v>-17510</v>
      </c>
      <c r="N360" s="37">
        <v>-17510</v>
      </c>
      <c r="O360" s="37">
        <v>-17510</v>
      </c>
      <c r="P360" s="37">
        <v>-17510</v>
      </c>
      <c r="Q360" s="37">
        <v>-17510</v>
      </c>
      <c r="R360" s="37">
        <v>-17510</v>
      </c>
      <c r="S360" s="37">
        <v>-17510</v>
      </c>
      <c r="T360" s="37">
        <v>-17510</v>
      </c>
      <c r="U360" s="37">
        <v>-17510</v>
      </c>
      <c r="V360" s="37">
        <v>-210120</v>
      </c>
    </row>
    <row r="361" spans="7:22" x14ac:dyDescent="0.25">
      <c r="G361" s="39" t="s">
        <v>54</v>
      </c>
      <c r="H361" s="39" t="s">
        <v>1142</v>
      </c>
      <c r="I361" s="39" t="s">
        <v>1143</v>
      </c>
      <c r="J361" s="37">
        <v>300</v>
      </c>
      <c r="K361" s="37">
        <v>300</v>
      </c>
      <c r="L361" s="37">
        <v>300</v>
      </c>
      <c r="M361" s="37">
        <v>300</v>
      </c>
      <c r="N361" s="37">
        <v>300</v>
      </c>
      <c r="O361" s="37">
        <v>300</v>
      </c>
      <c r="P361" s="37">
        <v>300</v>
      </c>
      <c r="Q361" s="37">
        <v>300</v>
      </c>
      <c r="R361" s="37">
        <v>321</v>
      </c>
      <c r="S361" s="37">
        <v>300</v>
      </c>
      <c r="T361" s="37">
        <v>300</v>
      </c>
      <c r="U361" s="37">
        <v>300</v>
      </c>
      <c r="V361" s="37">
        <v>3621</v>
      </c>
    </row>
    <row r="362" spans="7:22" x14ac:dyDescent="0.25">
      <c r="G362" s="39" t="s">
        <v>54</v>
      </c>
      <c r="H362" s="39" t="s">
        <v>1144</v>
      </c>
      <c r="I362" s="39" t="s">
        <v>1145</v>
      </c>
      <c r="J362" s="37">
        <v>565</v>
      </c>
      <c r="K362" s="37">
        <v>565</v>
      </c>
      <c r="L362" s="37">
        <v>565</v>
      </c>
      <c r="M362" s="37">
        <v>565</v>
      </c>
      <c r="N362" s="37">
        <v>565</v>
      </c>
      <c r="O362" s="37">
        <v>565</v>
      </c>
      <c r="P362" s="37">
        <v>565</v>
      </c>
      <c r="Q362" s="37">
        <v>565</v>
      </c>
      <c r="R362" s="37">
        <v>565</v>
      </c>
      <c r="S362" s="37">
        <v>565</v>
      </c>
      <c r="T362" s="37">
        <v>565</v>
      </c>
      <c r="U362" s="37">
        <v>565</v>
      </c>
      <c r="V362" s="37">
        <v>6780</v>
      </c>
    </row>
    <row r="363" spans="7:22" x14ac:dyDescent="0.25">
      <c r="G363" s="39" t="s">
        <v>54</v>
      </c>
      <c r="H363" s="39" t="s">
        <v>1146</v>
      </c>
      <c r="I363" s="39" t="s">
        <v>1147</v>
      </c>
      <c r="J363" s="37">
        <v>4040</v>
      </c>
      <c r="K363" s="37">
        <v>4040</v>
      </c>
      <c r="L363" s="37">
        <v>4040</v>
      </c>
      <c r="M363" s="37">
        <v>4040</v>
      </c>
      <c r="N363" s="37">
        <v>4040</v>
      </c>
      <c r="O363" s="37">
        <v>4040</v>
      </c>
      <c r="P363" s="37">
        <v>4040</v>
      </c>
      <c r="Q363" s="37">
        <v>4040</v>
      </c>
      <c r="R363" s="37">
        <v>10110</v>
      </c>
      <c r="S363" s="37">
        <v>4040</v>
      </c>
      <c r="T363" s="37">
        <v>4040</v>
      </c>
      <c r="U363" s="37">
        <v>4040</v>
      </c>
      <c r="V363" s="37">
        <v>54550</v>
      </c>
    </row>
    <row r="364" spans="7:22" x14ac:dyDescent="0.25">
      <c r="G364" s="39" t="s">
        <v>54</v>
      </c>
      <c r="H364" s="39" t="s">
        <v>1148</v>
      </c>
      <c r="I364" s="39" t="s">
        <v>1149</v>
      </c>
      <c r="J364" s="37">
        <v>151</v>
      </c>
      <c r="K364" s="37">
        <v>151</v>
      </c>
      <c r="L364" s="37">
        <v>150</v>
      </c>
      <c r="M364" s="37">
        <v>150</v>
      </c>
      <c r="N364" s="37">
        <v>151</v>
      </c>
      <c r="O364" s="37">
        <v>150</v>
      </c>
      <c r="P364" s="37">
        <v>150</v>
      </c>
      <c r="Q364" s="37">
        <v>151</v>
      </c>
      <c r="R364" s="37">
        <v>150</v>
      </c>
      <c r="S364" s="37">
        <v>150</v>
      </c>
      <c r="T364" s="37">
        <v>151</v>
      </c>
      <c r="U364" s="37">
        <v>150</v>
      </c>
      <c r="V364" s="37">
        <v>1805</v>
      </c>
    </row>
    <row r="365" spans="7:22" x14ac:dyDescent="0.25">
      <c r="G365" s="39" t="s">
        <v>54</v>
      </c>
      <c r="H365" s="39" t="s">
        <v>1150</v>
      </c>
      <c r="I365" s="39" t="s">
        <v>1151</v>
      </c>
      <c r="J365" s="37">
        <v>-42243</v>
      </c>
      <c r="K365" s="37">
        <v>-42244</v>
      </c>
      <c r="L365" s="37">
        <v>-42243</v>
      </c>
      <c r="M365" s="37">
        <v>-42245</v>
      </c>
      <c r="N365" s="37">
        <v>-42243</v>
      </c>
      <c r="O365" s="37">
        <v>-42244</v>
      </c>
      <c r="P365" s="37">
        <v>-42243</v>
      </c>
      <c r="Q365" s="37">
        <v>-42245</v>
      </c>
      <c r="R365" s="37">
        <v>-42243</v>
      </c>
      <c r="S365" s="37">
        <v>-42244</v>
      </c>
      <c r="T365" s="37">
        <v>-42243</v>
      </c>
      <c r="U365" s="37">
        <v>-42245</v>
      </c>
      <c r="V365" s="37">
        <v>-506925</v>
      </c>
    </row>
    <row r="366" spans="7:22" x14ac:dyDescent="0.25">
      <c r="G366" s="39" t="s">
        <v>54</v>
      </c>
      <c r="H366" s="39" t="s">
        <v>965</v>
      </c>
      <c r="I366" s="39" t="s">
        <v>966</v>
      </c>
      <c r="J366" s="37">
        <v>-131836</v>
      </c>
      <c r="K366" s="37">
        <v>-124729</v>
      </c>
      <c r="L366" s="37">
        <v>-149219</v>
      </c>
      <c r="M366" s="37">
        <v>-142044</v>
      </c>
      <c r="N366" s="37">
        <v>-135733</v>
      </c>
      <c r="O366" s="37">
        <v>-140603</v>
      </c>
      <c r="P366" s="37">
        <v>-140801</v>
      </c>
      <c r="Q366" s="37">
        <v>-145301</v>
      </c>
      <c r="R366" s="37">
        <v>-146753</v>
      </c>
      <c r="S366" s="37">
        <v>-143254</v>
      </c>
      <c r="T366" s="37">
        <v>-148198</v>
      </c>
      <c r="U366" s="37">
        <v>-153829</v>
      </c>
      <c r="V366" s="37">
        <v>-1702300</v>
      </c>
    </row>
    <row r="367" spans="7:22" x14ac:dyDescent="0.25">
      <c r="G367" s="39" t="s">
        <v>54</v>
      </c>
      <c r="H367" s="39" t="s">
        <v>1125</v>
      </c>
      <c r="I367" s="39" t="s">
        <v>1126</v>
      </c>
      <c r="J367" s="37">
        <v>-11174</v>
      </c>
      <c r="K367" s="37">
        <v>-11057</v>
      </c>
      <c r="L367" s="37">
        <v>-11061</v>
      </c>
      <c r="M367" s="37">
        <v>-11012</v>
      </c>
      <c r="N367" s="37">
        <v>-11043</v>
      </c>
      <c r="O367" s="37">
        <v>-10951</v>
      </c>
      <c r="P367" s="37">
        <v>-11046</v>
      </c>
      <c r="Q367" s="37">
        <v>-11064</v>
      </c>
      <c r="R367" s="37">
        <v>-10982</v>
      </c>
      <c r="S367" s="37">
        <v>-11123</v>
      </c>
      <c r="T367" s="37">
        <v>-10961</v>
      </c>
      <c r="U367" s="37">
        <v>-10899</v>
      </c>
      <c r="V367" s="37">
        <v>-132373</v>
      </c>
    </row>
    <row r="368" spans="7:22" x14ac:dyDescent="0.25">
      <c r="G368" s="39" t="s">
        <v>54</v>
      </c>
      <c r="H368" s="39" t="s">
        <v>1055</v>
      </c>
      <c r="I368" s="39" t="s">
        <v>1056</v>
      </c>
      <c r="J368" s="37">
        <v>-18330</v>
      </c>
      <c r="K368" s="37">
        <v>-18330</v>
      </c>
      <c r="L368" s="37">
        <v>-18330</v>
      </c>
      <c r="M368" s="37">
        <v>-18330</v>
      </c>
      <c r="N368" s="37">
        <v>-18330</v>
      </c>
      <c r="O368" s="37">
        <v>-18330</v>
      </c>
      <c r="P368" s="37">
        <v>-18330</v>
      </c>
      <c r="Q368" s="37">
        <v>-18330</v>
      </c>
      <c r="R368" s="37">
        <v>-18330</v>
      </c>
      <c r="S368" s="37">
        <v>-18330</v>
      </c>
      <c r="T368" s="37">
        <v>-18330</v>
      </c>
      <c r="U368" s="37">
        <v>-18330</v>
      </c>
      <c r="V368" s="37">
        <v>-219960</v>
      </c>
    </row>
    <row r="369" spans="7:22" x14ac:dyDescent="0.25">
      <c r="G369" s="39" t="s">
        <v>54</v>
      </c>
      <c r="H369" s="39" t="s">
        <v>1057</v>
      </c>
      <c r="I369" s="39" t="s">
        <v>1058</v>
      </c>
      <c r="J369" s="37">
        <v>-21670</v>
      </c>
      <c r="K369" s="37">
        <v>-21670</v>
      </c>
      <c r="L369" s="37">
        <v>-21670</v>
      </c>
      <c r="M369" s="37">
        <v>-21670</v>
      </c>
      <c r="N369" s="37">
        <v>-21670</v>
      </c>
      <c r="O369" s="37">
        <v>-21670</v>
      </c>
      <c r="P369" s="37">
        <v>-21670</v>
      </c>
      <c r="Q369" s="37">
        <v>-21670</v>
      </c>
      <c r="R369" s="37">
        <v>-21670</v>
      </c>
      <c r="S369" s="37">
        <v>-21670</v>
      </c>
      <c r="T369" s="37">
        <v>-21670</v>
      </c>
      <c r="U369" s="37">
        <v>-21670</v>
      </c>
      <c r="V369" s="37">
        <v>-260040</v>
      </c>
    </row>
    <row r="370" spans="7:22" x14ac:dyDescent="0.25">
      <c r="G370" s="39" t="s">
        <v>54</v>
      </c>
      <c r="H370" s="39" t="s">
        <v>1117</v>
      </c>
      <c r="I370" s="39" t="s">
        <v>1118</v>
      </c>
      <c r="J370" s="37">
        <v>-182565</v>
      </c>
      <c r="K370" s="37">
        <v>-182633</v>
      </c>
      <c r="L370" s="37">
        <v>-182768</v>
      </c>
      <c r="M370" s="37">
        <v>-182768</v>
      </c>
      <c r="N370" s="37">
        <v>-182768</v>
      </c>
      <c r="O370" s="37">
        <v>-182768</v>
      </c>
      <c r="P370" s="37">
        <v>-182735</v>
      </c>
      <c r="Q370" s="37">
        <v>-182768</v>
      </c>
      <c r="R370" s="37">
        <v>-182768</v>
      </c>
      <c r="S370" s="37">
        <v>-182768</v>
      </c>
      <c r="T370" s="37">
        <v>-182667</v>
      </c>
      <c r="U370" s="37">
        <v>-182565</v>
      </c>
      <c r="V370" s="37">
        <v>-2192541</v>
      </c>
    </row>
    <row r="371" spans="7:22" x14ac:dyDescent="0.25">
      <c r="G371" s="39" t="s">
        <v>54</v>
      </c>
      <c r="H371" s="39" t="s">
        <v>1131</v>
      </c>
      <c r="I371" s="39" t="s">
        <v>854</v>
      </c>
      <c r="J371" s="37">
        <v>-91810</v>
      </c>
      <c r="K371" s="37">
        <v>-91810</v>
      </c>
      <c r="L371" s="37">
        <v>-91810</v>
      </c>
      <c r="M371" s="37">
        <v>-91810</v>
      </c>
      <c r="N371" s="37">
        <v>-91810</v>
      </c>
      <c r="O371" s="37">
        <v>-91810</v>
      </c>
      <c r="P371" s="37">
        <v>-91810</v>
      </c>
      <c r="Q371" s="37">
        <v>-91810</v>
      </c>
      <c r="R371" s="37">
        <v>-91810</v>
      </c>
      <c r="S371" s="37">
        <v>-91810</v>
      </c>
      <c r="T371" s="37">
        <v>-91810</v>
      </c>
      <c r="U371" s="37">
        <v>-91810</v>
      </c>
      <c r="V371" s="37">
        <v>-1101720</v>
      </c>
    </row>
  </sheetData>
  <mergeCells count="1">
    <mergeCell ref="X12:AE1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4"/>
  <sheetViews>
    <sheetView zoomScale="120" zoomScaleNormal="120" workbookViewId="0">
      <pane xSplit="2" ySplit="4" topLeftCell="H30" activePane="bottomRight" state="frozen"/>
      <selection pane="topRight" activeCell="C1" sqref="C1"/>
      <selection pane="bottomLeft" activeCell="A5" sqref="A5"/>
      <selection pane="bottomRight" activeCell="B53" sqref="B53:B59"/>
    </sheetView>
  </sheetViews>
  <sheetFormatPr defaultRowHeight="12.75" customHeight="1" x14ac:dyDescent="0.2"/>
  <cols>
    <col min="1" max="1" width="16.28515625" style="70" bestFit="1" customWidth="1"/>
    <col min="2" max="2" width="46.7109375" style="70" bestFit="1" customWidth="1"/>
    <col min="3" max="3" width="9.85546875" style="70" bestFit="1" customWidth="1"/>
    <col min="4" max="4" width="14.85546875" style="70" customWidth="1"/>
    <col min="5" max="5" width="22.28515625" style="70" customWidth="1"/>
    <col min="6" max="7" width="9.85546875" style="70" bestFit="1" customWidth="1"/>
    <col min="8" max="9" width="11.140625" style="70" bestFit="1" customWidth="1"/>
    <col min="10" max="14" width="9.85546875" style="70" bestFit="1" customWidth="1"/>
    <col min="15" max="15" width="11.140625" style="70" bestFit="1" customWidth="1"/>
    <col min="16" max="27" width="9.85546875" style="70" bestFit="1" customWidth="1"/>
    <col min="28" max="28" width="11.140625" style="70" bestFit="1" customWidth="1"/>
    <col min="29" max="16384" width="9.140625" style="70"/>
  </cols>
  <sheetData>
    <row r="1" spans="1:29" ht="12.75" customHeight="1" x14ac:dyDescent="0.2">
      <c r="A1" s="123" t="s">
        <v>483</v>
      </c>
    </row>
    <row r="2" spans="1:29" ht="12.75" customHeight="1" thickBot="1" x14ac:dyDescent="0.25"/>
    <row r="3" spans="1:29" ht="12.75" customHeight="1" thickBot="1" x14ac:dyDescent="0.25">
      <c r="A3" s="509" t="s">
        <v>424</v>
      </c>
      <c r="B3" s="510"/>
      <c r="C3" s="511" t="s">
        <v>425</v>
      </c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3"/>
      <c r="O3" s="71"/>
      <c r="P3" s="514" t="s">
        <v>426</v>
      </c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</row>
    <row r="4" spans="1:29" ht="12.75" customHeight="1" thickBot="1" x14ac:dyDescent="0.25">
      <c r="A4" s="510"/>
      <c r="B4" s="510"/>
      <c r="C4" s="72" t="s">
        <v>427</v>
      </c>
      <c r="D4" s="72" t="s">
        <v>428</v>
      </c>
      <c r="E4" s="72" t="s">
        <v>429</v>
      </c>
      <c r="F4" s="72" t="s">
        <v>430</v>
      </c>
      <c r="G4" s="72" t="s">
        <v>431</v>
      </c>
      <c r="H4" s="72" t="s">
        <v>432</v>
      </c>
      <c r="I4" s="72" t="s">
        <v>433</v>
      </c>
      <c r="J4" s="72" t="s">
        <v>434</v>
      </c>
      <c r="K4" s="72" t="s">
        <v>435</v>
      </c>
      <c r="L4" s="72" t="s">
        <v>436</v>
      </c>
      <c r="M4" s="72" t="s">
        <v>437</v>
      </c>
      <c r="N4" s="72" t="s">
        <v>438</v>
      </c>
      <c r="O4" s="72" t="s">
        <v>29</v>
      </c>
      <c r="P4" s="72" t="s">
        <v>427</v>
      </c>
      <c r="Q4" s="72" t="s">
        <v>428</v>
      </c>
      <c r="R4" s="72" t="s">
        <v>429</v>
      </c>
      <c r="S4" s="72" t="s">
        <v>430</v>
      </c>
      <c r="T4" s="72" t="s">
        <v>431</v>
      </c>
      <c r="U4" s="72" t="s">
        <v>432</v>
      </c>
      <c r="V4" s="72" t="s">
        <v>433</v>
      </c>
      <c r="W4" s="72" t="s">
        <v>434</v>
      </c>
      <c r="X4" s="72" t="s">
        <v>435</v>
      </c>
      <c r="Y4" s="72" t="s">
        <v>436</v>
      </c>
      <c r="Z4" s="72" t="s">
        <v>437</v>
      </c>
      <c r="AA4" s="72" t="s">
        <v>438</v>
      </c>
      <c r="AB4" s="72" t="s">
        <v>29</v>
      </c>
    </row>
    <row r="5" spans="1:29" ht="12.75" customHeight="1" thickBot="1" x14ac:dyDescent="0.25">
      <c r="A5" s="72" t="s">
        <v>439</v>
      </c>
      <c r="B5" s="72" t="s">
        <v>440</v>
      </c>
      <c r="C5" s="73">
        <v>2262.0100000000002</v>
      </c>
      <c r="D5" s="73">
        <v>1407.35</v>
      </c>
      <c r="E5" s="73">
        <v>1678.77</v>
      </c>
      <c r="F5" s="73">
        <v>1675.94</v>
      </c>
      <c r="G5" s="73">
        <v>2564.39</v>
      </c>
      <c r="H5" s="73">
        <v>1882.37</v>
      </c>
      <c r="I5" s="73">
        <v>2529.71</v>
      </c>
      <c r="J5" s="73">
        <v>1976.89</v>
      </c>
      <c r="K5" s="73">
        <v>2025.22</v>
      </c>
      <c r="L5" s="73">
        <v>2256.88</v>
      </c>
      <c r="M5" s="73">
        <v>2461.5</v>
      </c>
      <c r="N5" s="73">
        <v>2154.88</v>
      </c>
      <c r="O5" s="73">
        <f>SUM(C5:N5)</f>
        <v>24875.91</v>
      </c>
      <c r="P5" s="73">
        <v>1927.71</v>
      </c>
      <c r="Q5" s="73">
        <v>2098.9699999999998</v>
      </c>
      <c r="R5" s="73">
        <v>2202.08</v>
      </c>
      <c r="S5" s="73">
        <v>2028.15</v>
      </c>
      <c r="T5" s="73">
        <v>3425.28</v>
      </c>
      <c r="U5" s="73">
        <v>2417.25</v>
      </c>
      <c r="V5" s="73">
        <v>2251.84</v>
      </c>
      <c r="W5" s="73">
        <v>2873.27</v>
      </c>
      <c r="X5" s="73">
        <v>2318.73</v>
      </c>
      <c r="Y5" s="73">
        <v>2630.03</v>
      </c>
      <c r="Z5" s="73">
        <v>2410.5300000000002</v>
      </c>
      <c r="AA5" s="73">
        <v>1897.11</v>
      </c>
      <c r="AB5" s="73">
        <f>SUM(P5:AA5)</f>
        <v>28480.949999999997</v>
      </c>
      <c r="AC5" s="74"/>
    </row>
    <row r="6" spans="1:29" ht="12.75" customHeight="1" thickBot="1" x14ac:dyDescent="0.25">
      <c r="A6" s="72" t="s">
        <v>441</v>
      </c>
      <c r="B6" s="72" t="s">
        <v>442</v>
      </c>
      <c r="C6" s="73">
        <v>5658.49</v>
      </c>
      <c r="D6" s="73">
        <v>6152.64</v>
      </c>
      <c r="E6" s="73">
        <v>5143.96</v>
      </c>
      <c r="F6" s="73">
        <v>3592.5</v>
      </c>
      <c r="G6" s="73">
        <v>2723.94</v>
      </c>
      <c r="H6" s="73">
        <v>4115.12</v>
      </c>
      <c r="I6" s="73">
        <v>3555.75</v>
      </c>
      <c r="J6" s="73">
        <v>5350.08</v>
      </c>
      <c r="K6" s="73">
        <v>4683.2299999999996</v>
      </c>
      <c r="L6" s="73">
        <v>5409.02</v>
      </c>
      <c r="M6" s="73">
        <v>2810.28</v>
      </c>
      <c r="N6" s="73">
        <v>6237.15</v>
      </c>
      <c r="O6" s="73">
        <f t="shared" ref="O6:O23" si="0">SUM(C6:N6)</f>
        <v>55432.159999999996</v>
      </c>
      <c r="P6" s="73">
        <v>6065.65</v>
      </c>
      <c r="Q6" s="73">
        <v>5921.58</v>
      </c>
      <c r="R6" s="73">
        <v>7335.16</v>
      </c>
      <c r="S6" s="73">
        <v>4482.03</v>
      </c>
      <c r="T6" s="73">
        <v>2741.85</v>
      </c>
      <c r="U6" s="73">
        <v>3655.3</v>
      </c>
      <c r="V6" s="73">
        <v>3542.38</v>
      </c>
      <c r="W6" s="73">
        <v>4532.82</v>
      </c>
      <c r="X6" s="73">
        <v>3724.65</v>
      </c>
      <c r="Y6" s="73">
        <v>4898.1899999999996</v>
      </c>
      <c r="Z6" s="73">
        <v>3961.46</v>
      </c>
      <c r="AA6" s="73">
        <v>7628.55</v>
      </c>
      <c r="AB6" s="73">
        <f t="shared" ref="AB6:AB23" si="1">SUM(P6:AA6)</f>
        <v>58489.62</v>
      </c>
      <c r="AC6" s="74"/>
    </row>
    <row r="7" spans="1:29" ht="12.75" customHeight="1" thickBot="1" x14ac:dyDescent="0.25">
      <c r="A7" s="72" t="s">
        <v>443</v>
      </c>
      <c r="B7" s="72" t="s">
        <v>444</v>
      </c>
      <c r="C7" s="73">
        <v>5196.99</v>
      </c>
      <c r="D7" s="73">
        <v>3004.1</v>
      </c>
      <c r="E7" s="73">
        <v>3328.42</v>
      </c>
      <c r="F7" s="73">
        <v>2725.27</v>
      </c>
      <c r="G7" s="73">
        <v>1623.04</v>
      </c>
      <c r="H7" s="73">
        <v>3087.37</v>
      </c>
      <c r="I7" s="73">
        <v>1705.31</v>
      </c>
      <c r="J7" s="73">
        <v>1614.3</v>
      </c>
      <c r="K7" s="73">
        <v>4144.16</v>
      </c>
      <c r="L7" s="73">
        <v>2603.04</v>
      </c>
      <c r="M7" s="73">
        <v>2678.52</v>
      </c>
      <c r="N7" s="73">
        <v>3985.64</v>
      </c>
      <c r="O7" s="73">
        <f t="shared" si="0"/>
        <v>35696.160000000003</v>
      </c>
      <c r="P7" s="73">
        <v>4888.46</v>
      </c>
      <c r="Q7" s="73">
        <v>5363.82</v>
      </c>
      <c r="R7" s="73">
        <v>4539.6400000000003</v>
      </c>
      <c r="S7" s="73">
        <v>2645.52</v>
      </c>
      <c r="T7" s="73">
        <v>1403.23</v>
      </c>
      <c r="U7" s="73">
        <v>1752.13</v>
      </c>
      <c r="V7" s="73">
        <v>1772.79</v>
      </c>
      <c r="W7" s="73">
        <v>2317.37</v>
      </c>
      <c r="X7" s="73">
        <v>1944.89</v>
      </c>
      <c r="Y7" s="73">
        <v>1541.5</v>
      </c>
      <c r="Z7" s="73">
        <v>1230.9000000000001</v>
      </c>
      <c r="AA7" s="73">
        <v>3481.32</v>
      </c>
      <c r="AB7" s="73">
        <f t="shared" si="1"/>
        <v>32881.57</v>
      </c>
      <c r="AC7" s="74"/>
    </row>
    <row r="8" spans="1:29" ht="12.75" customHeight="1" thickBot="1" x14ac:dyDescent="0.25">
      <c r="A8" s="72" t="s">
        <v>445</v>
      </c>
      <c r="B8" s="72" t="s">
        <v>446</v>
      </c>
      <c r="C8" s="73">
        <v>11499.56</v>
      </c>
      <c r="D8" s="73">
        <v>13588.85</v>
      </c>
      <c r="E8" s="73">
        <v>12781.09</v>
      </c>
      <c r="F8" s="73">
        <v>17019.91</v>
      </c>
      <c r="G8" s="73">
        <v>7491.64</v>
      </c>
      <c r="H8" s="73">
        <v>4186.07</v>
      </c>
      <c r="I8" s="73">
        <v>3670.24</v>
      </c>
      <c r="J8" s="73">
        <v>4312.26</v>
      </c>
      <c r="K8" s="73">
        <v>2528.11</v>
      </c>
      <c r="L8" s="73">
        <v>1331.15</v>
      </c>
      <c r="M8" s="73">
        <v>2740.02</v>
      </c>
      <c r="N8" s="73">
        <v>8534.27</v>
      </c>
      <c r="O8" s="73">
        <f t="shared" si="0"/>
        <v>89683.17</v>
      </c>
      <c r="P8" s="73">
        <v>11625.49</v>
      </c>
      <c r="Q8" s="73">
        <v>5113.51</v>
      </c>
      <c r="R8" s="73">
        <v>5178.93</v>
      </c>
      <c r="S8" s="73">
        <v>4464.3100000000004</v>
      </c>
      <c r="T8" s="73">
        <v>2378.19</v>
      </c>
      <c r="U8" s="73">
        <v>1434.6</v>
      </c>
      <c r="V8" s="73">
        <v>2090.3000000000002</v>
      </c>
      <c r="W8" s="73">
        <v>2055.83</v>
      </c>
      <c r="X8" s="73">
        <v>1432.59</v>
      </c>
      <c r="Y8" s="73">
        <v>1436.37</v>
      </c>
      <c r="Z8" s="73">
        <v>3268.12</v>
      </c>
      <c r="AA8" s="73">
        <v>5284.71</v>
      </c>
      <c r="AB8" s="73">
        <f t="shared" si="1"/>
        <v>45762.95</v>
      </c>
      <c r="AC8" s="74"/>
    </row>
    <row r="9" spans="1:29" ht="12.75" customHeight="1" thickBot="1" x14ac:dyDescent="0.25">
      <c r="A9" s="72" t="s">
        <v>447</v>
      </c>
      <c r="B9" s="72" t="s">
        <v>448</v>
      </c>
      <c r="C9" s="73">
        <v>1135.55</v>
      </c>
      <c r="D9" s="73">
        <v>1577.11</v>
      </c>
      <c r="E9" s="73">
        <v>2498.2600000000002</v>
      </c>
      <c r="F9" s="73">
        <v>2146.9699999999998</v>
      </c>
      <c r="G9" s="73">
        <v>2512.14</v>
      </c>
      <c r="H9" s="73">
        <v>1823.73</v>
      </c>
      <c r="I9" s="73">
        <v>1945.37</v>
      </c>
      <c r="J9" s="73">
        <v>2142.3000000000002</v>
      </c>
      <c r="K9" s="73">
        <v>1643.18</v>
      </c>
      <c r="L9" s="73">
        <v>1329.47</v>
      </c>
      <c r="M9" s="73">
        <v>1496.16</v>
      </c>
      <c r="N9" s="73">
        <v>1375.3</v>
      </c>
      <c r="O9" s="73">
        <f t="shared" si="0"/>
        <v>21625.539999999997</v>
      </c>
      <c r="P9" s="73">
        <v>1542.17</v>
      </c>
      <c r="Q9" s="73">
        <v>1648.4</v>
      </c>
      <c r="R9" s="73">
        <v>1229.3599999999999</v>
      </c>
      <c r="S9" s="73">
        <v>1914.07</v>
      </c>
      <c r="T9" s="73">
        <v>2335.0100000000002</v>
      </c>
      <c r="U9" s="73">
        <v>2224.9</v>
      </c>
      <c r="V9" s="73">
        <v>2004.1</v>
      </c>
      <c r="W9" s="73">
        <v>1636.81</v>
      </c>
      <c r="X9" s="73">
        <v>2906.91</v>
      </c>
      <c r="Y9" s="73">
        <v>2895.9</v>
      </c>
      <c r="Z9" s="73">
        <v>2355.1</v>
      </c>
      <c r="AA9" s="73">
        <v>1901.89</v>
      </c>
      <c r="AB9" s="73">
        <f t="shared" si="1"/>
        <v>24594.62</v>
      </c>
      <c r="AC9" s="74"/>
    </row>
    <row r="10" spans="1:29" ht="12.75" customHeight="1" thickBot="1" x14ac:dyDescent="0.25">
      <c r="A10" s="72" t="s">
        <v>449</v>
      </c>
      <c r="B10" s="72" t="s">
        <v>450</v>
      </c>
      <c r="C10" s="73">
        <v>1120.02</v>
      </c>
      <c r="D10" s="73">
        <v>1319.51</v>
      </c>
      <c r="E10" s="73">
        <v>3840.45</v>
      </c>
      <c r="F10" s="73">
        <v>1804.51</v>
      </c>
      <c r="G10" s="73">
        <v>1899.4</v>
      </c>
      <c r="H10" s="73">
        <v>1677.49</v>
      </c>
      <c r="I10" s="73">
        <v>2316.2800000000002</v>
      </c>
      <c r="J10" s="73">
        <v>1260.95</v>
      </c>
      <c r="K10" s="73">
        <v>705.82</v>
      </c>
      <c r="L10" s="73">
        <v>665.77</v>
      </c>
      <c r="M10" s="73">
        <v>1872.88</v>
      </c>
      <c r="N10" s="73">
        <v>364.21</v>
      </c>
      <c r="O10" s="73">
        <f t="shared" si="0"/>
        <v>18847.29</v>
      </c>
      <c r="P10" s="73">
        <v>982.3</v>
      </c>
      <c r="Q10" s="73">
        <v>823.67</v>
      </c>
      <c r="R10" s="73">
        <v>640.92999999999995</v>
      </c>
      <c r="S10" s="73">
        <v>1790.42</v>
      </c>
      <c r="T10" s="73">
        <v>2007.59</v>
      </c>
      <c r="U10" s="73">
        <v>1255.18</v>
      </c>
      <c r="V10" s="73">
        <v>1837.77</v>
      </c>
      <c r="W10" s="73">
        <v>306.60000000000002</v>
      </c>
      <c r="X10" s="73">
        <v>1126.48</v>
      </c>
      <c r="Y10" s="73">
        <v>550.91999999999996</v>
      </c>
      <c r="Z10" s="73">
        <v>485.89</v>
      </c>
      <c r="AA10" s="75"/>
      <c r="AB10" s="73">
        <f t="shared" si="1"/>
        <v>11807.75</v>
      </c>
      <c r="AC10" s="74"/>
    </row>
    <row r="11" spans="1:29" ht="12.75" customHeight="1" thickBot="1" x14ac:dyDescent="0.25">
      <c r="A11" s="72" t="s">
        <v>451</v>
      </c>
      <c r="B11" s="72" t="s">
        <v>452</v>
      </c>
      <c r="C11" s="73">
        <v>2022.55</v>
      </c>
      <c r="D11" s="73">
        <v>2512.69</v>
      </c>
      <c r="E11" s="73">
        <v>1206.3699999999999</v>
      </c>
      <c r="F11" s="73">
        <v>1801.9</v>
      </c>
      <c r="G11" s="73">
        <v>1116.22</v>
      </c>
      <c r="H11" s="73">
        <v>2277.48</v>
      </c>
      <c r="I11" s="73">
        <v>2195.81</v>
      </c>
      <c r="J11" s="73">
        <v>3045.11</v>
      </c>
      <c r="K11" s="73">
        <v>1278.8399999999999</v>
      </c>
      <c r="L11" s="73">
        <v>1030.19</v>
      </c>
      <c r="M11" s="73">
        <v>1189</v>
      </c>
      <c r="N11" s="73">
        <v>2660.36</v>
      </c>
      <c r="O11" s="73">
        <f t="shared" si="0"/>
        <v>22336.519999999997</v>
      </c>
      <c r="P11" s="73">
        <v>1628.19</v>
      </c>
      <c r="Q11" s="73">
        <v>1182.5</v>
      </c>
      <c r="R11" s="73">
        <v>1438.47</v>
      </c>
      <c r="S11" s="73">
        <v>2434</v>
      </c>
      <c r="T11" s="73">
        <v>2561.85</v>
      </c>
      <c r="U11" s="73">
        <v>668.59</v>
      </c>
      <c r="V11" s="73">
        <v>2088.69</v>
      </c>
      <c r="W11" s="73">
        <v>1603.25</v>
      </c>
      <c r="X11" s="73">
        <v>1275.1600000000001</v>
      </c>
      <c r="Y11" s="73">
        <v>995.71</v>
      </c>
      <c r="Z11" s="73">
        <v>1051.5</v>
      </c>
      <c r="AA11" s="73">
        <v>2520.9699999999998</v>
      </c>
      <c r="AB11" s="73">
        <f t="shared" si="1"/>
        <v>19448.88</v>
      </c>
      <c r="AC11" s="74"/>
    </row>
    <row r="12" spans="1:29" ht="12.75" customHeight="1" thickBot="1" x14ac:dyDescent="0.25">
      <c r="A12" s="72" t="s">
        <v>453</v>
      </c>
      <c r="B12" s="72" t="s">
        <v>454</v>
      </c>
      <c r="C12" s="73">
        <v>2931.1</v>
      </c>
      <c r="D12" s="73">
        <v>2685.37</v>
      </c>
      <c r="E12" s="73">
        <v>994.11</v>
      </c>
      <c r="F12" s="73">
        <v>3074.61</v>
      </c>
      <c r="G12" s="73">
        <v>2103.88</v>
      </c>
      <c r="H12" s="73">
        <v>2436.1799999999998</v>
      </c>
      <c r="I12" s="73">
        <v>4837.59</v>
      </c>
      <c r="J12" s="73">
        <v>6495.84</v>
      </c>
      <c r="K12" s="73">
        <v>3439.1</v>
      </c>
      <c r="L12" s="73">
        <v>1844.22</v>
      </c>
      <c r="M12" s="73">
        <v>6323.93</v>
      </c>
      <c r="N12" s="73">
        <v>1424.23</v>
      </c>
      <c r="O12" s="73">
        <f t="shared" si="0"/>
        <v>38590.160000000003</v>
      </c>
      <c r="P12" s="73">
        <v>2018.36</v>
      </c>
      <c r="Q12" s="73">
        <v>1679.63</v>
      </c>
      <c r="R12" s="73">
        <v>3657.69</v>
      </c>
      <c r="S12" s="73">
        <v>2486.8000000000002</v>
      </c>
      <c r="T12" s="73">
        <v>3685.09</v>
      </c>
      <c r="U12" s="73">
        <v>8811.52</v>
      </c>
      <c r="V12" s="73">
        <v>7485.78</v>
      </c>
      <c r="W12" s="73">
        <v>4769.9399999999996</v>
      </c>
      <c r="X12" s="73">
        <v>5465.99</v>
      </c>
      <c r="Y12" s="73">
        <v>4553.49</v>
      </c>
      <c r="Z12" s="73">
        <v>1192.1500000000001</v>
      </c>
      <c r="AA12" s="73">
        <v>4439.05</v>
      </c>
      <c r="AB12" s="73">
        <f t="shared" si="1"/>
        <v>50245.49</v>
      </c>
      <c r="AC12" s="74"/>
    </row>
    <row r="13" spans="1:29" ht="12.75" customHeight="1" thickBot="1" x14ac:dyDescent="0.25">
      <c r="A13" s="72" t="s">
        <v>455</v>
      </c>
      <c r="B13" s="72" t="s">
        <v>456</v>
      </c>
      <c r="C13" s="73">
        <v>1084.1099999999999</v>
      </c>
      <c r="D13" s="73">
        <v>282.12</v>
      </c>
      <c r="E13" s="73">
        <v>662.97</v>
      </c>
      <c r="F13" s="73">
        <v>916.77</v>
      </c>
      <c r="G13" s="73">
        <v>1228.81</v>
      </c>
      <c r="H13" s="73">
        <v>546.27</v>
      </c>
      <c r="I13" s="73">
        <v>1415.29</v>
      </c>
      <c r="J13" s="73">
        <v>840.96</v>
      </c>
      <c r="K13" s="73">
        <v>522.27</v>
      </c>
      <c r="L13" s="73">
        <v>1621.65</v>
      </c>
      <c r="M13" s="73">
        <v>1519.31</v>
      </c>
      <c r="N13" s="73">
        <v>498.76</v>
      </c>
      <c r="O13" s="73">
        <f t="shared" si="0"/>
        <v>11139.29</v>
      </c>
      <c r="P13" s="73">
        <v>512.51</v>
      </c>
      <c r="Q13" s="73">
        <v>868.26</v>
      </c>
      <c r="R13" s="73">
        <v>1233.3499999999999</v>
      </c>
      <c r="S13" s="73">
        <v>1095.08</v>
      </c>
      <c r="T13" s="73">
        <v>685.95</v>
      </c>
      <c r="U13" s="73">
        <v>1228.26</v>
      </c>
      <c r="V13" s="73">
        <v>608.22</v>
      </c>
      <c r="W13" s="73">
        <v>690.15</v>
      </c>
      <c r="X13" s="73">
        <v>549.64</v>
      </c>
      <c r="Y13" s="73">
        <v>2708.09</v>
      </c>
      <c r="Z13" s="73">
        <v>2152.9499999999998</v>
      </c>
      <c r="AA13" s="73">
        <v>1023.49</v>
      </c>
      <c r="AB13" s="73">
        <f t="shared" si="1"/>
        <v>13355.949999999999</v>
      </c>
      <c r="AC13" s="74"/>
    </row>
    <row r="14" spans="1:29" ht="12.75" customHeight="1" thickBot="1" x14ac:dyDescent="0.25">
      <c r="A14" s="72" t="s">
        <v>457</v>
      </c>
      <c r="B14" s="72" t="s">
        <v>458</v>
      </c>
      <c r="C14" s="73">
        <v>2663.28</v>
      </c>
      <c r="D14" s="73">
        <v>2941.96</v>
      </c>
      <c r="E14" s="73">
        <v>3870.94</v>
      </c>
      <c r="F14" s="73">
        <v>2206.44</v>
      </c>
      <c r="G14" s="73">
        <v>2451.77</v>
      </c>
      <c r="H14" s="73">
        <v>2986.28</v>
      </c>
      <c r="I14" s="73">
        <v>2750.11</v>
      </c>
      <c r="J14" s="73">
        <v>3137.2</v>
      </c>
      <c r="K14" s="73">
        <v>1676.17</v>
      </c>
      <c r="L14" s="73">
        <v>1345.24</v>
      </c>
      <c r="M14" s="73">
        <v>3098.54</v>
      </c>
      <c r="N14" s="73">
        <v>2680.65</v>
      </c>
      <c r="O14" s="73">
        <f t="shared" si="0"/>
        <v>31808.580000000005</v>
      </c>
      <c r="P14" s="73">
        <v>2860.41</v>
      </c>
      <c r="Q14" s="73">
        <v>1963.48</v>
      </c>
      <c r="R14" s="73">
        <v>4058.2</v>
      </c>
      <c r="S14" s="73">
        <v>2133.1</v>
      </c>
      <c r="T14" s="73">
        <v>2793.59</v>
      </c>
      <c r="U14" s="73">
        <v>3585.31</v>
      </c>
      <c r="V14" s="73">
        <v>3055.73</v>
      </c>
      <c r="W14" s="73">
        <v>2870.69</v>
      </c>
      <c r="X14" s="73">
        <v>2295.5300000000002</v>
      </c>
      <c r="Y14" s="73">
        <v>2534.02</v>
      </c>
      <c r="Z14" s="73">
        <v>2050.44</v>
      </c>
      <c r="AA14" s="73">
        <v>2343.84</v>
      </c>
      <c r="AB14" s="73">
        <f t="shared" si="1"/>
        <v>32544.339999999997</v>
      </c>
      <c r="AC14" s="74"/>
    </row>
    <row r="15" spans="1:29" ht="12.75" customHeight="1" thickBot="1" x14ac:dyDescent="0.25">
      <c r="A15" s="72" t="s">
        <v>459</v>
      </c>
      <c r="B15" s="72" t="s">
        <v>460</v>
      </c>
      <c r="C15" s="73">
        <v>252869.43</v>
      </c>
      <c r="D15" s="73">
        <v>250948.37</v>
      </c>
      <c r="E15" s="73">
        <v>255891.29</v>
      </c>
      <c r="F15" s="73">
        <v>240247.36</v>
      </c>
      <c r="G15" s="73">
        <v>236948.75</v>
      </c>
      <c r="H15" s="73">
        <v>250530.49</v>
      </c>
      <c r="I15" s="73">
        <v>251473.38</v>
      </c>
      <c r="J15" s="73">
        <v>276301.99</v>
      </c>
      <c r="K15" s="73">
        <v>246490.14</v>
      </c>
      <c r="L15" s="73">
        <v>249717.82</v>
      </c>
      <c r="M15" s="73">
        <v>230669.91</v>
      </c>
      <c r="N15" s="73">
        <v>211327.69</v>
      </c>
      <c r="O15" s="73">
        <f t="shared" si="0"/>
        <v>2953416.6199999996</v>
      </c>
      <c r="P15" s="73">
        <v>280521.90000000002</v>
      </c>
      <c r="Q15" s="73">
        <v>286860.78999999998</v>
      </c>
      <c r="R15" s="73">
        <v>269630.90999999997</v>
      </c>
      <c r="S15" s="73">
        <v>260540.92</v>
      </c>
      <c r="T15" s="73">
        <v>237097.15</v>
      </c>
      <c r="U15" s="73">
        <v>259600.23</v>
      </c>
      <c r="V15" s="73">
        <v>247892.32</v>
      </c>
      <c r="W15" s="73">
        <v>278675.18</v>
      </c>
      <c r="X15" s="73">
        <v>270423.74</v>
      </c>
      <c r="Y15" s="73">
        <v>268551.31</v>
      </c>
      <c r="Z15" s="73">
        <v>219506.92</v>
      </c>
      <c r="AA15" s="73">
        <v>228218.02</v>
      </c>
      <c r="AB15" s="73">
        <f t="shared" si="1"/>
        <v>3107519.3899999997</v>
      </c>
      <c r="AC15" s="74"/>
    </row>
    <row r="16" spans="1:29" ht="12.75" customHeight="1" thickBot="1" x14ac:dyDescent="0.25">
      <c r="A16" s="72" t="s">
        <v>461</v>
      </c>
      <c r="B16" s="72" t="s">
        <v>462</v>
      </c>
      <c r="C16" s="73">
        <v>32831.74</v>
      </c>
      <c r="D16" s="73">
        <v>35305.620000000003</v>
      </c>
      <c r="E16" s="73">
        <v>35723.32</v>
      </c>
      <c r="F16" s="73">
        <v>34327.53</v>
      </c>
      <c r="G16" s="73">
        <v>32376.66</v>
      </c>
      <c r="H16" s="73">
        <v>36473.78</v>
      </c>
      <c r="I16" s="73">
        <v>38323.32</v>
      </c>
      <c r="J16" s="73">
        <v>37525.69</v>
      </c>
      <c r="K16" s="73">
        <v>37668.11</v>
      </c>
      <c r="L16" s="73">
        <v>41619.03</v>
      </c>
      <c r="M16" s="73">
        <v>35410.370000000003</v>
      </c>
      <c r="N16" s="73">
        <v>37432.67</v>
      </c>
      <c r="O16" s="73">
        <f t="shared" si="0"/>
        <v>435017.84</v>
      </c>
      <c r="P16" s="73">
        <v>36521.629999999997</v>
      </c>
      <c r="Q16" s="73">
        <v>36925.06</v>
      </c>
      <c r="R16" s="73">
        <v>37216.879999999997</v>
      </c>
      <c r="S16" s="73">
        <v>37920.339999999997</v>
      </c>
      <c r="T16" s="73">
        <v>35054.68</v>
      </c>
      <c r="U16" s="73">
        <v>35491.68</v>
      </c>
      <c r="V16" s="73">
        <v>35913.019999999997</v>
      </c>
      <c r="W16" s="73">
        <v>36465.019999999997</v>
      </c>
      <c r="X16" s="73">
        <v>37005.56</v>
      </c>
      <c r="Y16" s="73">
        <v>35593.74</v>
      </c>
      <c r="Z16" s="73">
        <v>35884.449999999997</v>
      </c>
      <c r="AA16" s="73">
        <v>39533.410000000003</v>
      </c>
      <c r="AB16" s="73">
        <f t="shared" si="1"/>
        <v>439525.47</v>
      </c>
      <c r="AC16" s="74"/>
    </row>
    <row r="17" spans="1:29" ht="12.75" customHeight="1" thickBot="1" x14ac:dyDescent="0.25">
      <c r="A17" s="72" t="s">
        <v>463</v>
      </c>
      <c r="B17" s="72" t="s">
        <v>464</v>
      </c>
      <c r="C17" s="73">
        <v>256031.76</v>
      </c>
      <c r="D17" s="73">
        <v>257364.98</v>
      </c>
      <c r="E17" s="73">
        <v>257007.02</v>
      </c>
      <c r="F17" s="73">
        <v>256893.44</v>
      </c>
      <c r="G17" s="73">
        <v>257641.07</v>
      </c>
      <c r="H17" s="73">
        <v>264364.95</v>
      </c>
      <c r="I17" s="73">
        <v>260495.56</v>
      </c>
      <c r="J17" s="73">
        <v>259965.2</v>
      </c>
      <c r="K17" s="73">
        <v>268771.51</v>
      </c>
      <c r="L17" s="73">
        <v>251991.7</v>
      </c>
      <c r="M17" s="73">
        <v>262831.55</v>
      </c>
      <c r="N17" s="73">
        <v>241308.1</v>
      </c>
      <c r="O17" s="73">
        <f t="shared" si="0"/>
        <v>3094666.8400000003</v>
      </c>
      <c r="P17" s="73">
        <v>243093.19</v>
      </c>
      <c r="Q17" s="73">
        <v>243844.07</v>
      </c>
      <c r="R17" s="73">
        <v>243659.82</v>
      </c>
      <c r="S17" s="73">
        <v>245213.45</v>
      </c>
      <c r="T17" s="73">
        <v>246509.67</v>
      </c>
      <c r="U17" s="73">
        <v>265230.99</v>
      </c>
      <c r="V17" s="73">
        <v>247023.44</v>
      </c>
      <c r="W17" s="73">
        <v>246518.15</v>
      </c>
      <c r="X17" s="73">
        <v>349509.41</v>
      </c>
      <c r="Y17" s="73">
        <v>188627.95</v>
      </c>
      <c r="Z17" s="73">
        <v>191603.81</v>
      </c>
      <c r="AA17" s="73">
        <v>193216.13</v>
      </c>
      <c r="AB17" s="73">
        <f t="shared" si="1"/>
        <v>2904050.08</v>
      </c>
      <c r="AC17" s="74"/>
    </row>
    <row r="18" spans="1:29" ht="12.75" customHeight="1" thickBot="1" x14ac:dyDescent="0.25">
      <c r="A18" s="72" t="s">
        <v>465</v>
      </c>
      <c r="B18" s="72" t="s">
        <v>466</v>
      </c>
      <c r="C18" s="73">
        <v>45714.44</v>
      </c>
      <c r="D18" s="73">
        <v>27726.39</v>
      </c>
      <c r="E18" s="73">
        <v>114529.16</v>
      </c>
      <c r="F18" s="73">
        <v>50045.51</v>
      </c>
      <c r="G18" s="73">
        <v>53354.83</v>
      </c>
      <c r="H18" s="73">
        <v>65399.75</v>
      </c>
      <c r="I18" s="73">
        <v>57232.53</v>
      </c>
      <c r="J18" s="73">
        <v>29139.33</v>
      </c>
      <c r="K18" s="73">
        <v>77595.91</v>
      </c>
      <c r="L18" s="73">
        <v>42336.42</v>
      </c>
      <c r="M18" s="73">
        <v>86196.41</v>
      </c>
      <c r="N18" s="73">
        <v>-44527.040000000001</v>
      </c>
      <c r="O18" s="73">
        <f t="shared" si="0"/>
        <v>604743.64</v>
      </c>
      <c r="P18" s="73">
        <v>57746.720000000001</v>
      </c>
      <c r="Q18" s="73">
        <v>49366.29</v>
      </c>
      <c r="R18" s="73">
        <v>138115.24</v>
      </c>
      <c r="S18" s="73">
        <v>44529.89</v>
      </c>
      <c r="T18" s="73">
        <v>38441.699999999997</v>
      </c>
      <c r="U18" s="73">
        <v>66292.37</v>
      </c>
      <c r="V18" s="73">
        <v>69063.06</v>
      </c>
      <c r="W18" s="73">
        <v>34339.32</v>
      </c>
      <c r="X18" s="73">
        <v>-38918.61</v>
      </c>
      <c r="Y18" s="73">
        <v>46504.29</v>
      </c>
      <c r="Z18" s="73">
        <v>96522.72</v>
      </c>
      <c r="AA18" s="73">
        <v>51264.99</v>
      </c>
      <c r="AB18" s="73">
        <f t="shared" si="1"/>
        <v>653267.98</v>
      </c>
      <c r="AC18" s="74"/>
    </row>
    <row r="19" spans="1:29" ht="12.75" customHeight="1" thickBot="1" x14ac:dyDescent="0.25">
      <c r="A19" s="72" t="s">
        <v>467</v>
      </c>
      <c r="B19" s="72" t="s">
        <v>468</v>
      </c>
      <c r="C19" s="75"/>
      <c r="D19" s="73">
        <v>194.02</v>
      </c>
      <c r="E19" s="75"/>
      <c r="F19" s="73">
        <v>363.7</v>
      </c>
      <c r="G19" s="75"/>
      <c r="H19" s="73">
        <v>406.65</v>
      </c>
      <c r="I19" s="73">
        <v>0</v>
      </c>
      <c r="J19" s="75"/>
      <c r="K19" s="73">
        <v>56.25</v>
      </c>
      <c r="L19" s="75"/>
      <c r="M19" s="73">
        <v>266.48</v>
      </c>
      <c r="N19" s="75"/>
      <c r="O19" s="73">
        <f t="shared" si="0"/>
        <v>1287.0999999999999</v>
      </c>
      <c r="P19" s="75"/>
      <c r="Q19" s="75"/>
      <c r="R19" s="75"/>
      <c r="S19" s="75"/>
      <c r="T19" s="75"/>
      <c r="U19" s="75"/>
      <c r="V19" s="75"/>
      <c r="W19" s="73">
        <v>402.95</v>
      </c>
      <c r="X19" s="75"/>
      <c r="Y19" s="75"/>
      <c r="Z19" s="75"/>
      <c r="AA19" s="75"/>
      <c r="AB19" s="73">
        <f t="shared" si="1"/>
        <v>402.95</v>
      </c>
      <c r="AC19" s="74"/>
    </row>
    <row r="20" spans="1:29" ht="12.75" customHeight="1" thickBot="1" x14ac:dyDescent="0.25">
      <c r="A20" s="72" t="s">
        <v>469</v>
      </c>
      <c r="B20" s="72" t="s">
        <v>470</v>
      </c>
      <c r="C20" s="75"/>
      <c r="D20" s="73">
        <v>103.87</v>
      </c>
      <c r="E20" s="73">
        <v>21.05</v>
      </c>
      <c r="F20" s="73">
        <v>50.52</v>
      </c>
      <c r="G20" s="73">
        <v>613.78</v>
      </c>
      <c r="H20" s="73">
        <v>286.32</v>
      </c>
      <c r="I20" s="73">
        <v>164.41</v>
      </c>
      <c r="J20" s="73">
        <v>129.44</v>
      </c>
      <c r="K20" s="73">
        <v>281.62</v>
      </c>
      <c r="L20" s="73">
        <v>295.25</v>
      </c>
      <c r="M20" s="73">
        <v>163.79</v>
      </c>
      <c r="N20" s="73">
        <v>78.58</v>
      </c>
      <c r="O20" s="73">
        <f t="shared" si="0"/>
        <v>2188.63</v>
      </c>
      <c r="P20" s="73">
        <v>767.92</v>
      </c>
      <c r="Q20" s="73">
        <v>57.49</v>
      </c>
      <c r="R20" s="75"/>
      <c r="S20" s="73">
        <v>108.81</v>
      </c>
      <c r="T20" s="73">
        <v>286.95999999999998</v>
      </c>
      <c r="U20" s="73">
        <v>994.59</v>
      </c>
      <c r="V20" s="73">
        <v>1648.18</v>
      </c>
      <c r="W20" s="73">
        <v>587.66999999999996</v>
      </c>
      <c r="X20" s="73">
        <v>1448.55</v>
      </c>
      <c r="Y20" s="73">
        <v>526.27</v>
      </c>
      <c r="Z20" s="73">
        <v>110.8</v>
      </c>
      <c r="AA20" s="73">
        <v>90.43</v>
      </c>
      <c r="AB20" s="73">
        <f t="shared" si="1"/>
        <v>6627.670000000001</v>
      </c>
      <c r="AC20" s="74"/>
    </row>
    <row r="21" spans="1:29" ht="12.75" customHeight="1" thickBot="1" x14ac:dyDescent="0.25">
      <c r="A21" s="72" t="s">
        <v>471</v>
      </c>
      <c r="B21" s="72" t="s">
        <v>472</v>
      </c>
      <c r="C21" s="75"/>
      <c r="D21" s="75"/>
      <c r="E21" s="75"/>
      <c r="F21" s="73">
        <v>653.17999999999995</v>
      </c>
      <c r="G21" s="73">
        <v>85.8</v>
      </c>
      <c r="H21" s="75"/>
      <c r="I21" s="73">
        <v>152.27000000000001</v>
      </c>
      <c r="J21" s="75"/>
      <c r="K21" s="73">
        <v>66.05</v>
      </c>
      <c r="L21" s="73">
        <v>82.5</v>
      </c>
      <c r="M21" s="75"/>
      <c r="N21" s="75"/>
      <c r="O21" s="73">
        <f t="shared" si="0"/>
        <v>1039.7999999999997</v>
      </c>
      <c r="P21" s="75"/>
      <c r="Q21" s="73">
        <v>190.34</v>
      </c>
      <c r="R21" s="75"/>
      <c r="S21" s="75"/>
      <c r="T21" s="73">
        <v>1702.23</v>
      </c>
      <c r="U21" s="73">
        <v>295.17</v>
      </c>
      <c r="V21" s="75"/>
      <c r="W21" s="73">
        <v>319.7</v>
      </c>
      <c r="X21" s="75"/>
      <c r="Y21" s="75"/>
      <c r="Z21" s="75"/>
      <c r="AA21" s="75"/>
      <c r="AB21" s="73">
        <f t="shared" si="1"/>
        <v>2507.4399999999996</v>
      </c>
      <c r="AC21" s="74"/>
    </row>
    <row r="22" spans="1:29" ht="12.75" customHeight="1" thickBot="1" x14ac:dyDescent="0.25">
      <c r="A22" s="72" t="s">
        <v>473</v>
      </c>
      <c r="B22" s="72" t="s">
        <v>474</v>
      </c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3">
        <f t="shared" si="0"/>
        <v>0</v>
      </c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3">
        <v>180.83</v>
      </c>
      <c r="AB22" s="73">
        <f t="shared" si="1"/>
        <v>180.83</v>
      </c>
      <c r="AC22" s="74"/>
    </row>
    <row r="23" spans="1:29" ht="12.75" customHeight="1" thickBot="1" x14ac:dyDescent="0.25">
      <c r="C23" s="74">
        <f t="shared" ref="C23:N23" si="2">SUM(C5:C22)</f>
        <v>623021.03</v>
      </c>
      <c r="D23" s="74">
        <f t="shared" si="2"/>
        <v>607114.95000000007</v>
      </c>
      <c r="E23" s="74">
        <f t="shared" si="2"/>
        <v>699177.18</v>
      </c>
      <c r="F23" s="74">
        <f t="shared" si="2"/>
        <v>619546.05999999994</v>
      </c>
      <c r="G23" s="74">
        <f t="shared" si="2"/>
        <v>606736.12</v>
      </c>
      <c r="H23" s="74">
        <f t="shared" si="2"/>
        <v>642480.30000000005</v>
      </c>
      <c r="I23" s="74">
        <f t="shared" si="2"/>
        <v>634762.93000000005</v>
      </c>
      <c r="J23" s="74">
        <f t="shared" si="2"/>
        <v>633237.53999999992</v>
      </c>
      <c r="K23" s="74">
        <f t="shared" si="2"/>
        <v>653575.69000000006</v>
      </c>
      <c r="L23" s="74">
        <f t="shared" si="2"/>
        <v>605479.35</v>
      </c>
      <c r="M23" s="74">
        <f t="shared" si="2"/>
        <v>641728.65</v>
      </c>
      <c r="N23" s="74">
        <f t="shared" si="2"/>
        <v>475535.45000000007</v>
      </c>
      <c r="O23" s="73">
        <f t="shared" si="0"/>
        <v>7442395.2500000009</v>
      </c>
      <c r="P23" s="74">
        <f t="shared" ref="P23:AA23" si="3">SUM(P5:P22)</f>
        <v>652702.61</v>
      </c>
      <c r="Q23" s="74">
        <f t="shared" si="3"/>
        <v>643907.86</v>
      </c>
      <c r="R23" s="74">
        <f t="shared" si="3"/>
        <v>720136.65999999992</v>
      </c>
      <c r="S23" s="74">
        <f t="shared" si="3"/>
        <v>613786.89</v>
      </c>
      <c r="T23" s="74">
        <f t="shared" si="3"/>
        <v>583110.0199999999</v>
      </c>
      <c r="U23" s="74">
        <f t="shared" si="3"/>
        <v>654938.06999999995</v>
      </c>
      <c r="V23" s="74">
        <f t="shared" si="3"/>
        <v>628277.62</v>
      </c>
      <c r="W23" s="74">
        <f t="shared" si="3"/>
        <v>620964.71999999986</v>
      </c>
      <c r="X23" s="74">
        <f t="shared" si="3"/>
        <v>642509.22000000009</v>
      </c>
      <c r="Y23" s="74">
        <f t="shared" si="3"/>
        <v>564547.78</v>
      </c>
      <c r="Z23" s="74">
        <f t="shared" si="3"/>
        <v>563787.74000000011</v>
      </c>
      <c r="AA23" s="74">
        <f t="shared" si="3"/>
        <v>543024.74</v>
      </c>
      <c r="AB23" s="73">
        <f t="shared" si="1"/>
        <v>7431693.9299999997</v>
      </c>
      <c r="AC23" s="74"/>
    </row>
    <row r="24" spans="1:29" ht="12.75" customHeight="1" x14ac:dyDescent="0.2"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12.75" customHeight="1" x14ac:dyDescent="0.2"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12.75" customHeight="1" x14ac:dyDescent="0.2"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2.75" customHeight="1" thickBot="1" x14ac:dyDescent="0.25">
      <c r="B27" s="76" t="s">
        <v>475</v>
      </c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2.75" customHeight="1" thickBot="1" x14ac:dyDescent="0.25">
      <c r="A28" s="72" t="s">
        <v>459</v>
      </c>
      <c r="B28" s="72" t="s">
        <v>460</v>
      </c>
      <c r="C28" s="74">
        <v>339000</v>
      </c>
      <c r="D28" s="74">
        <v>340000</v>
      </c>
      <c r="E28" s="74">
        <v>340000</v>
      </c>
      <c r="F28" s="74">
        <v>340000</v>
      </c>
      <c r="G28" s="74">
        <v>340000</v>
      </c>
      <c r="H28" s="74">
        <v>340000</v>
      </c>
      <c r="I28" s="74">
        <v>340000</v>
      </c>
      <c r="J28" s="74">
        <v>340000</v>
      </c>
      <c r="K28" s="74">
        <v>340000</v>
      </c>
      <c r="L28" s="74">
        <v>340000</v>
      </c>
      <c r="M28" s="74">
        <v>340000</v>
      </c>
      <c r="N28" s="74">
        <v>340000</v>
      </c>
      <c r="O28" s="73">
        <f>SUM(C28:N28)</f>
        <v>4079000</v>
      </c>
      <c r="P28" s="74">
        <v>340000</v>
      </c>
      <c r="Q28" s="74">
        <v>340000</v>
      </c>
      <c r="R28" s="74">
        <v>340000</v>
      </c>
      <c r="S28" s="74">
        <v>340000</v>
      </c>
      <c r="T28" s="74">
        <v>340000</v>
      </c>
      <c r="U28" s="74">
        <v>340000</v>
      </c>
      <c r="V28" s="74">
        <v>350000</v>
      </c>
      <c r="W28" s="74">
        <v>350000</v>
      </c>
      <c r="X28" s="74">
        <v>350000</v>
      </c>
      <c r="Y28" s="74">
        <v>350000</v>
      </c>
      <c r="Z28" s="74">
        <v>350000</v>
      </c>
      <c r="AA28" s="74">
        <v>351000</v>
      </c>
      <c r="AB28" s="73">
        <f>SUM(P28:AA28)</f>
        <v>4141000</v>
      </c>
      <c r="AC28" s="74"/>
    </row>
    <row r="29" spans="1:29" ht="12.75" customHeight="1" thickBot="1" x14ac:dyDescent="0.25">
      <c r="A29" s="72" t="s">
        <v>461</v>
      </c>
      <c r="B29" s="72" t="s">
        <v>462</v>
      </c>
      <c r="C29" s="74">
        <v>36800</v>
      </c>
      <c r="D29" s="74">
        <v>36800</v>
      </c>
      <c r="E29" s="74">
        <v>36800</v>
      </c>
      <c r="F29" s="74">
        <v>36800</v>
      </c>
      <c r="G29" s="74">
        <v>36800</v>
      </c>
      <c r="H29" s="74">
        <v>36800</v>
      </c>
      <c r="I29" s="74">
        <v>38000</v>
      </c>
      <c r="J29" s="74">
        <v>38000</v>
      </c>
      <c r="K29" s="74">
        <v>38000</v>
      </c>
      <c r="L29" s="74">
        <v>38000</v>
      </c>
      <c r="M29" s="74">
        <v>38000</v>
      </c>
      <c r="N29" s="74">
        <v>38000</v>
      </c>
      <c r="O29" s="73">
        <f>SUM(C29:N29)</f>
        <v>448800</v>
      </c>
      <c r="P29" s="74">
        <v>38000</v>
      </c>
      <c r="Q29" s="74">
        <v>38000</v>
      </c>
      <c r="R29" s="74">
        <v>38000</v>
      </c>
      <c r="S29" s="74">
        <v>38000</v>
      </c>
      <c r="T29" s="74">
        <v>38000</v>
      </c>
      <c r="U29" s="74">
        <v>38000</v>
      </c>
      <c r="V29" s="74">
        <v>39000</v>
      </c>
      <c r="W29" s="74">
        <v>39000</v>
      </c>
      <c r="X29" s="74">
        <v>39000</v>
      </c>
      <c r="Y29" s="74">
        <v>39000</v>
      </c>
      <c r="Z29" s="74">
        <v>39000</v>
      </c>
      <c r="AA29" s="74">
        <v>40000</v>
      </c>
      <c r="AB29" s="73">
        <f>SUM(P29:AA29)</f>
        <v>463000</v>
      </c>
      <c r="AC29" s="74"/>
    </row>
    <row r="30" spans="1:29" ht="12.75" customHeight="1" thickBot="1" x14ac:dyDescent="0.25">
      <c r="A30" s="72" t="s">
        <v>463</v>
      </c>
      <c r="B30" s="72" t="s">
        <v>464</v>
      </c>
      <c r="C30" s="74">
        <v>251000</v>
      </c>
      <c r="D30" s="74">
        <v>251000</v>
      </c>
      <c r="E30" s="74">
        <v>251000</v>
      </c>
      <c r="F30" s="74">
        <v>251000</v>
      </c>
      <c r="G30" s="74">
        <v>251000</v>
      </c>
      <c r="H30" s="74">
        <v>251000</v>
      </c>
      <c r="I30" s="74">
        <v>268000</v>
      </c>
      <c r="J30" s="74">
        <v>268000</v>
      </c>
      <c r="K30" s="74">
        <v>268000</v>
      </c>
      <c r="L30" s="74">
        <v>268000</v>
      </c>
      <c r="M30" s="74">
        <v>268000</v>
      </c>
      <c r="N30" s="74">
        <v>268000</v>
      </c>
      <c r="O30" s="73">
        <f>SUM(C30:N30)</f>
        <v>3114000</v>
      </c>
      <c r="P30" s="74">
        <v>268000</v>
      </c>
      <c r="Q30" s="74">
        <v>268000</v>
      </c>
      <c r="R30" s="74">
        <v>268000</v>
      </c>
      <c r="S30" s="74">
        <v>268000</v>
      </c>
      <c r="T30" s="74">
        <v>268000</v>
      </c>
      <c r="U30" s="74">
        <v>268000</v>
      </c>
      <c r="V30" s="74">
        <v>276000</v>
      </c>
      <c r="W30" s="74">
        <v>276000</v>
      </c>
      <c r="X30" s="74">
        <v>276000</v>
      </c>
      <c r="Y30" s="74">
        <v>276000</v>
      </c>
      <c r="Z30" s="74">
        <v>276000</v>
      </c>
      <c r="AA30" s="74">
        <v>276000</v>
      </c>
      <c r="AB30" s="73">
        <f>SUM(P30:AA30)</f>
        <v>3264000</v>
      </c>
      <c r="AC30" s="74"/>
    </row>
    <row r="31" spans="1:29" ht="12.75" customHeight="1" x14ac:dyDescent="0.2"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2.75" customHeight="1" x14ac:dyDescent="0.2">
      <c r="C32" s="74">
        <f>SUM(C28:C31)</f>
        <v>626800</v>
      </c>
      <c r="D32" s="74">
        <f t="shared" ref="D32:AB32" si="4">SUM(D28:D31)</f>
        <v>627800</v>
      </c>
      <c r="E32" s="74">
        <f t="shared" si="4"/>
        <v>627800</v>
      </c>
      <c r="F32" s="74">
        <f t="shared" si="4"/>
        <v>627800</v>
      </c>
      <c r="G32" s="74">
        <f t="shared" si="4"/>
        <v>627800</v>
      </c>
      <c r="H32" s="74">
        <f t="shared" si="4"/>
        <v>627800</v>
      </c>
      <c r="I32" s="74">
        <f t="shared" si="4"/>
        <v>646000</v>
      </c>
      <c r="J32" s="74">
        <f t="shared" si="4"/>
        <v>646000</v>
      </c>
      <c r="K32" s="74">
        <f t="shared" si="4"/>
        <v>646000</v>
      </c>
      <c r="L32" s="74">
        <f t="shared" si="4"/>
        <v>646000</v>
      </c>
      <c r="M32" s="74">
        <f t="shared" si="4"/>
        <v>646000</v>
      </c>
      <c r="N32" s="74">
        <f t="shared" si="4"/>
        <v>646000</v>
      </c>
      <c r="O32" s="74">
        <f t="shared" si="4"/>
        <v>7641800</v>
      </c>
      <c r="P32" s="74">
        <f>SUM(P28:P31)</f>
        <v>646000</v>
      </c>
      <c r="Q32" s="74">
        <f t="shared" si="4"/>
        <v>646000</v>
      </c>
      <c r="R32" s="74">
        <f t="shared" si="4"/>
        <v>646000</v>
      </c>
      <c r="S32" s="74">
        <f t="shared" si="4"/>
        <v>646000</v>
      </c>
      <c r="T32" s="74">
        <f t="shared" si="4"/>
        <v>646000</v>
      </c>
      <c r="U32" s="74">
        <f t="shared" si="4"/>
        <v>646000</v>
      </c>
      <c r="V32" s="165">
        <f t="shared" si="4"/>
        <v>665000</v>
      </c>
      <c r="W32" s="165">
        <f t="shared" si="4"/>
        <v>665000</v>
      </c>
      <c r="X32" s="165">
        <f t="shared" si="4"/>
        <v>665000</v>
      </c>
      <c r="Y32" s="165">
        <f t="shared" si="4"/>
        <v>665000</v>
      </c>
      <c r="Z32" s="165">
        <f t="shared" si="4"/>
        <v>665000</v>
      </c>
      <c r="AA32" s="165">
        <f t="shared" si="4"/>
        <v>667000</v>
      </c>
      <c r="AB32" s="74">
        <f t="shared" si="4"/>
        <v>7868000</v>
      </c>
      <c r="AC32" s="74"/>
    </row>
    <row r="33" spans="1:29" ht="12.75" customHeight="1" x14ac:dyDescent="0.2"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2.75" customHeight="1" x14ac:dyDescent="0.2">
      <c r="A34" s="70" t="s">
        <v>476</v>
      </c>
      <c r="C34" s="74">
        <f>+C32-C23</f>
        <v>3778.9699999999721</v>
      </c>
      <c r="D34" s="74">
        <f t="shared" ref="D34:AB34" si="5">+D32-D23</f>
        <v>20685.04999999993</v>
      </c>
      <c r="E34" s="74">
        <f t="shared" si="5"/>
        <v>-71377.180000000051</v>
      </c>
      <c r="F34" s="74">
        <f t="shared" si="5"/>
        <v>8253.9400000000605</v>
      </c>
      <c r="G34" s="74">
        <f t="shared" si="5"/>
        <v>21063.880000000005</v>
      </c>
      <c r="H34" s="74">
        <f t="shared" si="5"/>
        <v>-14680.300000000047</v>
      </c>
      <c r="I34" s="74">
        <f t="shared" si="5"/>
        <v>11237.069999999949</v>
      </c>
      <c r="J34" s="74">
        <f t="shared" si="5"/>
        <v>12762.460000000079</v>
      </c>
      <c r="K34" s="74">
        <f t="shared" si="5"/>
        <v>-7575.6900000000605</v>
      </c>
      <c r="L34" s="74">
        <f t="shared" si="5"/>
        <v>40520.650000000023</v>
      </c>
      <c r="M34" s="74">
        <f t="shared" si="5"/>
        <v>4271.3499999999767</v>
      </c>
      <c r="N34" s="74">
        <f t="shared" si="5"/>
        <v>170464.54999999993</v>
      </c>
      <c r="O34" s="74">
        <f t="shared" si="5"/>
        <v>199404.74999999907</v>
      </c>
      <c r="P34" s="74">
        <f t="shared" si="5"/>
        <v>-6702.609999999986</v>
      </c>
      <c r="Q34" s="74">
        <f t="shared" si="5"/>
        <v>2092.140000000014</v>
      </c>
      <c r="R34" s="74">
        <f t="shared" si="5"/>
        <v>-74136.659999999916</v>
      </c>
      <c r="S34" s="74">
        <f t="shared" si="5"/>
        <v>32213.109999999986</v>
      </c>
      <c r="T34" s="74">
        <f t="shared" si="5"/>
        <v>62889.980000000098</v>
      </c>
      <c r="U34" s="74">
        <f t="shared" si="5"/>
        <v>-8938.0699999999488</v>
      </c>
      <c r="V34" s="74">
        <f t="shared" si="5"/>
        <v>36722.380000000005</v>
      </c>
      <c r="W34" s="74">
        <f t="shared" si="5"/>
        <v>44035.280000000144</v>
      </c>
      <c r="X34" s="74">
        <f t="shared" si="5"/>
        <v>22490.779999999912</v>
      </c>
      <c r="Y34" s="74">
        <f t="shared" si="5"/>
        <v>100452.21999999997</v>
      </c>
      <c r="Z34" s="74">
        <f t="shared" si="5"/>
        <v>101212.25999999989</v>
      </c>
      <c r="AA34" s="74">
        <f t="shared" si="5"/>
        <v>123975.26000000001</v>
      </c>
      <c r="AB34" s="74">
        <f t="shared" si="5"/>
        <v>436306.0700000003</v>
      </c>
      <c r="AC34" s="74"/>
    </row>
    <row r="35" spans="1:29" ht="12.75" customHeight="1" x14ac:dyDescent="0.2"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2.75" customHeight="1" x14ac:dyDescent="0.2"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2.75" customHeight="1" x14ac:dyDescent="0.2">
      <c r="A37" s="123" t="s">
        <v>477</v>
      </c>
      <c r="B37" s="123"/>
      <c r="C37" s="74">
        <f t="shared" ref="C37:H37" si="6">12+25+28+29+31+24</f>
        <v>149</v>
      </c>
      <c r="D37" s="74">
        <f t="shared" si="6"/>
        <v>149</v>
      </c>
      <c r="E37" s="74">
        <f t="shared" si="6"/>
        <v>149</v>
      </c>
      <c r="F37" s="74">
        <f t="shared" si="6"/>
        <v>149</v>
      </c>
      <c r="G37" s="74">
        <f t="shared" si="6"/>
        <v>149</v>
      </c>
      <c r="H37" s="74">
        <f t="shared" si="6"/>
        <v>149</v>
      </c>
      <c r="I37" s="74">
        <f>27+28+28+28+26+13</f>
        <v>150</v>
      </c>
      <c r="J37" s="74">
        <f t="shared" ref="J37:U37" si="7">27+28+28+28+26+13</f>
        <v>150</v>
      </c>
      <c r="K37" s="74">
        <f t="shared" si="7"/>
        <v>150</v>
      </c>
      <c r="L37" s="74">
        <f t="shared" si="7"/>
        <v>150</v>
      </c>
      <c r="M37" s="74">
        <f t="shared" si="7"/>
        <v>150</v>
      </c>
      <c r="N37" s="74">
        <f t="shared" si="7"/>
        <v>150</v>
      </c>
      <c r="O37" s="74"/>
      <c r="P37" s="154">
        <f t="shared" si="7"/>
        <v>150</v>
      </c>
      <c r="Q37" s="154">
        <f t="shared" si="7"/>
        <v>150</v>
      </c>
      <c r="R37" s="154">
        <f t="shared" si="7"/>
        <v>150</v>
      </c>
      <c r="S37" s="154">
        <f t="shared" si="7"/>
        <v>150</v>
      </c>
      <c r="T37" s="154">
        <f t="shared" si="7"/>
        <v>150</v>
      </c>
      <c r="U37" s="154">
        <f t="shared" si="7"/>
        <v>150</v>
      </c>
      <c r="V37" s="154">
        <v>147</v>
      </c>
      <c r="W37" s="154">
        <v>147</v>
      </c>
      <c r="X37" s="154">
        <v>147</v>
      </c>
      <c r="Y37" s="154">
        <v>147</v>
      </c>
      <c r="Z37" s="154">
        <v>147</v>
      </c>
      <c r="AA37" s="154">
        <v>147</v>
      </c>
      <c r="AB37" s="74"/>
      <c r="AC37" s="74"/>
    </row>
    <row r="38" spans="1:29" s="108" customFormat="1" ht="12.75" customHeight="1" x14ac:dyDescent="0.2"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2.75" customHeight="1" x14ac:dyDescent="0.35">
      <c r="A39" s="134" t="s">
        <v>683</v>
      </c>
      <c r="B39" s="108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135">
        <v>9</v>
      </c>
      <c r="Q39" s="135">
        <v>9</v>
      </c>
      <c r="R39" s="135">
        <v>9</v>
      </c>
      <c r="S39" s="135">
        <v>9</v>
      </c>
      <c r="T39" s="135">
        <v>9</v>
      </c>
      <c r="U39" s="135">
        <v>9</v>
      </c>
      <c r="V39" s="135">
        <v>9</v>
      </c>
      <c r="W39" s="135">
        <v>9</v>
      </c>
      <c r="X39" s="135">
        <v>9</v>
      </c>
      <c r="Y39" s="135">
        <v>9</v>
      </c>
      <c r="Z39" s="135">
        <v>9</v>
      </c>
      <c r="AA39" s="135">
        <v>9</v>
      </c>
      <c r="AB39" s="74"/>
      <c r="AC39" s="74"/>
    </row>
    <row r="40" spans="1:29" ht="12.75" customHeight="1" x14ac:dyDescent="0.2">
      <c r="A40" s="134"/>
      <c r="B40" s="108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>
        <f>SUM(P37:P39)</f>
        <v>159</v>
      </c>
      <c r="Q40" s="74">
        <f t="shared" ref="Q40:AA40" si="8">SUM(Q37:Q39)</f>
        <v>159</v>
      </c>
      <c r="R40" s="74">
        <f t="shared" si="8"/>
        <v>159</v>
      </c>
      <c r="S40" s="74">
        <f t="shared" si="8"/>
        <v>159</v>
      </c>
      <c r="T40" s="74">
        <f t="shared" si="8"/>
        <v>159</v>
      </c>
      <c r="U40" s="74">
        <f t="shared" si="8"/>
        <v>159</v>
      </c>
      <c r="V40" s="74">
        <f t="shared" si="8"/>
        <v>156</v>
      </c>
      <c r="W40" s="74">
        <f t="shared" si="8"/>
        <v>156</v>
      </c>
      <c r="X40" s="74">
        <f t="shared" si="8"/>
        <v>156</v>
      </c>
      <c r="Y40" s="74">
        <f t="shared" si="8"/>
        <v>156</v>
      </c>
      <c r="Z40" s="74">
        <f t="shared" si="8"/>
        <v>156</v>
      </c>
      <c r="AA40" s="74">
        <f t="shared" si="8"/>
        <v>156</v>
      </c>
      <c r="AB40" s="74"/>
      <c r="AC40" s="74"/>
    </row>
    <row r="41" spans="1:29" s="153" customFormat="1" ht="12.75" customHeight="1" x14ac:dyDescent="0.2">
      <c r="A41" s="13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26.25" customHeight="1" x14ac:dyDescent="0.25"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155" t="s">
        <v>689</v>
      </c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2.75" customHeight="1" thickBot="1" x14ac:dyDescent="0.25">
      <c r="A43" s="70" t="s">
        <v>478</v>
      </c>
      <c r="B43" s="70" t="s">
        <v>479</v>
      </c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2.75" customHeight="1" x14ac:dyDescent="0.2">
      <c r="B44" s="70" t="s">
        <v>480</v>
      </c>
      <c r="C44" s="74"/>
      <c r="D44" s="74"/>
      <c r="E44" s="74"/>
      <c r="F44" s="74"/>
      <c r="G44" s="74"/>
      <c r="H44" s="74"/>
      <c r="I44" s="74"/>
      <c r="J44" s="74"/>
      <c r="K44" s="74"/>
      <c r="L44" s="110"/>
      <c r="M44" s="111" t="s">
        <v>631</v>
      </c>
      <c r="N44" s="112">
        <v>2</v>
      </c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2.75" customHeight="1" x14ac:dyDescent="0.2">
      <c r="B45" s="70" t="s">
        <v>481</v>
      </c>
      <c r="C45" s="74"/>
      <c r="D45" s="74"/>
      <c r="E45" s="74"/>
      <c r="F45" s="74"/>
      <c r="G45" s="74"/>
      <c r="H45" s="74"/>
      <c r="I45" s="74"/>
      <c r="J45" s="74"/>
      <c r="K45" s="74"/>
      <c r="L45" s="113"/>
      <c r="M45" s="114"/>
      <c r="N45" s="115">
        <v>3</v>
      </c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2.75" customHeight="1" x14ac:dyDescent="0.2">
      <c r="B46" s="134" t="s">
        <v>684</v>
      </c>
      <c r="L46" s="116"/>
      <c r="M46" s="117"/>
      <c r="N46" s="118">
        <v>14</v>
      </c>
    </row>
    <row r="47" spans="1:29" ht="12.75" customHeight="1" x14ac:dyDescent="0.2">
      <c r="L47" s="116"/>
      <c r="M47" s="117"/>
      <c r="N47" s="119">
        <f>N46+N45+N44</f>
        <v>19</v>
      </c>
    </row>
    <row r="48" spans="1:29" ht="12.75" customHeight="1" x14ac:dyDescent="0.2">
      <c r="F48" s="70" t="s">
        <v>475</v>
      </c>
      <c r="L48" s="116"/>
      <c r="M48" s="117"/>
      <c r="N48" s="115"/>
    </row>
    <row r="49" spans="4:14" ht="12.75" customHeight="1" x14ac:dyDescent="0.2">
      <c r="E49" s="70" t="s">
        <v>737</v>
      </c>
      <c r="F49" s="124">
        <v>158000</v>
      </c>
      <c r="L49" s="116" t="s">
        <v>673</v>
      </c>
      <c r="M49" s="117"/>
      <c r="N49" s="115"/>
    </row>
    <row r="50" spans="4:14" ht="12.75" customHeight="1" x14ac:dyDescent="0.2">
      <c r="E50" s="70" t="s">
        <v>682</v>
      </c>
      <c r="F50" s="139">
        <f>F49/12</f>
        <v>13166.666666666666</v>
      </c>
      <c r="L50" s="116"/>
      <c r="M50" s="117"/>
      <c r="N50" s="115"/>
    </row>
    <row r="51" spans="4:14" ht="12.75" customHeight="1" thickBot="1" x14ac:dyDescent="0.25">
      <c r="G51" s="139"/>
      <c r="H51" s="139"/>
      <c r="L51" s="120"/>
      <c r="M51" s="121"/>
      <c r="N51" s="122"/>
    </row>
    <row r="52" spans="4:14" ht="12.75" customHeight="1" thickBot="1" x14ac:dyDescent="0.25"/>
    <row r="53" spans="4:14" ht="12.75" customHeight="1" x14ac:dyDescent="0.2">
      <c r="E53" s="125"/>
      <c r="F53" s="217">
        <v>0.82</v>
      </c>
      <c r="G53" s="217">
        <v>0.18</v>
      </c>
      <c r="H53" s="126"/>
      <c r="I53" s="126"/>
      <c r="J53" s="126"/>
      <c r="K53" s="126"/>
      <c r="L53" s="126"/>
      <c r="M53" s="112"/>
    </row>
    <row r="54" spans="4:14" ht="12.75" customHeight="1" x14ac:dyDescent="0.2">
      <c r="E54" s="116"/>
      <c r="F54" s="117" t="s">
        <v>713</v>
      </c>
      <c r="G54" s="117" t="s">
        <v>707</v>
      </c>
      <c r="H54" s="127"/>
      <c r="I54" s="128"/>
      <c r="J54" s="117"/>
      <c r="K54" s="117"/>
      <c r="L54" s="117"/>
      <c r="M54" s="115"/>
    </row>
    <row r="55" spans="4:14" ht="12" customHeight="1" x14ac:dyDescent="0.2">
      <c r="E55" s="116" t="s">
        <v>712</v>
      </c>
      <c r="F55" s="129">
        <f>204000*0.92</f>
        <v>187680</v>
      </c>
      <c r="G55" s="133">
        <f>204000-F55</f>
        <v>16320</v>
      </c>
      <c r="H55" s="130"/>
      <c r="I55" s="129"/>
      <c r="J55" s="131"/>
      <c r="K55" s="117"/>
      <c r="L55" s="117"/>
      <c r="M55" s="115"/>
    </row>
    <row r="56" spans="4:14" ht="12.75" customHeight="1" x14ac:dyDescent="0.2">
      <c r="E56" s="116" t="s">
        <v>674</v>
      </c>
      <c r="F56" s="133">
        <f>F55/12</f>
        <v>15640</v>
      </c>
      <c r="G56" s="133">
        <f>G55/12</f>
        <v>1360</v>
      </c>
      <c r="H56" s="129"/>
      <c r="I56" s="132" t="s">
        <v>714</v>
      </c>
      <c r="J56" s="117"/>
      <c r="K56" s="117"/>
      <c r="L56" s="117"/>
      <c r="M56" s="115"/>
    </row>
    <row r="57" spans="4:14" ht="12.75" customHeight="1" thickBot="1" x14ac:dyDescent="0.25">
      <c r="E57" s="120"/>
      <c r="F57" s="121"/>
      <c r="G57" s="121"/>
      <c r="H57" s="121"/>
      <c r="I57" s="121"/>
      <c r="J57" s="121"/>
      <c r="K57" s="121"/>
      <c r="L57" s="121"/>
      <c r="M57" s="122"/>
    </row>
    <row r="59" spans="4:14" ht="36.75" customHeight="1" x14ac:dyDescent="0.25">
      <c r="D59" s="156" t="s">
        <v>690</v>
      </c>
    </row>
    <row r="68" spans="1:2" ht="12.75" customHeight="1" x14ac:dyDescent="0.2">
      <c r="A68" s="249" t="s">
        <v>822</v>
      </c>
      <c r="B68" s="124">
        <v>8652000</v>
      </c>
    </row>
    <row r="69" spans="1:2" s="222" customFormat="1" ht="12.75" customHeight="1" x14ac:dyDescent="0.2">
      <c r="A69" s="250" t="s">
        <v>826</v>
      </c>
      <c r="B69" s="124">
        <v>-900000</v>
      </c>
    </row>
    <row r="70" spans="1:2" ht="12.75" customHeight="1" x14ac:dyDescent="0.2">
      <c r="A70" s="250" t="s">
        <v>823</v>
      </c>
      <c r="B70" s="124">
        <f>-F55</f>
        <v>-187680</v>
      </c>
    </row>
    <row r="71" spans="1:2" ht="12.75" customHeight="1" x14ac:dyDescent="0.2">
      <c r="A71" s="250" t="s">
        <v>824</v>
      </c>
      <c r="B71" s="251">
        <f>-F49</f>
        <v>-158000</v>
      </c>
    </row>
    <row r="72" spans="1:2" ht="12.75" customHeight="1" thickBot="1" x14ac:dyDescent="0.25">
      <c r="A72" s="249"/>
      <c r="B72" s="252">
        <f>SUM(B68:B71)</f>
        <v>7406320</v>
      </c>
    </row>
    <row r="73" spans="1:2" ht="12.75" customHeight="1" thickTop="1" x14ac:dyDescent="0.2">
      <c r="A73" s="70" t="s">
        <v>825</v>
      </c>
      <c r="B73" s="253">
        <f>B72/12</f>
        <v>617193.33333333337</v>
      </c>
    </row>
    <row r="92" spans="5:18" ht="12.75" customHeight="1" x14ac:dyDescent="0.2">
      <c r="E92" s="70" t="s">
        <v>736</v>
      </c>
    </row>
    <row r="93" spans="5:18" ht="12.75" customHeight="1" x14ac:dyDescent="0.2">
      <c r="Q93" s="70">
        <v>900000</v>
      </c>
      <c r="R93" s="215">
        <f>Q93/Q95</f>
        <v>0.18072289156626506</v>
      </c>
    </row>
    <row r="94" spans="5:18" ht="12.75" customHeight="1" x14ac:dyDescent="0.2">
      <c r="Q94" s="70">
        <v>4080000</v>
      </c>
    </row>
    <row r="95" spans="5:18" ht="12.75" customHeight="1" x14ac:dyDescent="0.2">
      <c r="Q95" s="216">
        <f>Q93+Q94</f>
        <v>4980000</v>
      </c>
    </row>
    <row r="124" spans="2:2" ht="12.75" customHeight="1" x14ac:dyDescent="0.2">
      <c r="B124" s="70" t="s">
        <v>743</v>
      </c>
    </row>
  </sheetData>
  <mergeCells count="3">
    <mergeCell ref="A3:B4"/>
    <mergeCell ref="C3:N3"/>
    <mergeCell ref="P3:AB3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p p l i c a t i o n   x m l n s = " h t t p : / / w w w . s a p . c o m / i p / b i / b e x a n a l y z e r / e x c e l / a p p l i c a t i o n " > H 4 s I A A A A A A A E A O 2 9 B 2 A c S Z Y l J i 9 t y n t / S v V K 1 + B 0 o Q i A Y B M k 2 J B A E O z B i M 3 m k u w d a U c j K a s q g c p l V m V d Z h Z A z O 2 d v P f e e + + 9 9 9 5 7 7 7 3 3 u j u d T i f 3 3 / 8 / X G Z k A W z 2 z k r a y Z 4 h g K r I H z 9 + f B 8 / I h 7 / H u 8 W Z X q Z 1 0 1 R L T / 7 a H e 8 8 1 G a L 6 f V r F h e f P b R u j 3 f 3 v 3 0 o 9 / j 6 P H L 4 8 9 P U 2 q 6 b B 6 9 a 4 r P P p q 3 7 e r R 3 b t X V 1 f j q 3 v j q r 6 4 u 7 e z s 3 v 3 9 / 7 i + e v p P F 9 k 2 8 W y a b P l N P / I v j W 7 + a 2 P p K M X X x 7 t P L 6 r v z 3 + y d N X r 8 + + f H G 0 + / i u + f X x q 9 O f P O P f q J 3 9 / f H T 0 9 c n r 8 5 e v s E f r / L L o s l n 6 c v X J + n u 9 r 1 P 0 / S q q t 8 2 8 z x v 0 4 Y 6 m 6 3 L P P 1 O e r k 7 f l c 2 7 x 7 f 9 d 9 9 / O z V l y / e n L 5 4 + v t r h 7 / / 2 Y t n X x 4 9 2 N / Z G e + O C W X 6 / 3 1 C J 9 7 s 8 Z v f / + n x m + O X r 7 7 8 y b O n p 6 / S u / j k 7 M 3 p F 6 / x 6 + v f / y e P X 5 0 d P 3 l + e k I v H 5 + 9 O H 1 1 9 N j + + v t / + / j F 0 + d E 6 a Z 4 t C z K z z 5 q 6 z W R E C B + 7 9 / / y y f f O T 1 5 g / f p / 8 + / O n 0 d a X Y 3 C v / N 7 0 / Y v D x 9 9 e b s 9 D U R 7 9 X v H f x 9 9 v T o + P n z L 7 / 7 + z 9 9 d f z 5 7 0 8 I 0 C 9 f v n x 8 l z 5 / z B 0 d / d 5 E e v 6 F q N 1 5 O Q L s 1 e m z V 6 e v v / 3 7 n / 7 e Z 2 9 + / y + O T 1 5 9 K b B u 8 y 7 9 e X L 6 2 g 3 i 6 2 P x x e n z N x b M 6 6 8 P h / 5 8 A 7 J / 9 8 t X v 9 e T L 7 / 8 v T x I T P B b g D A E + e 6 T 3 5 + Y h L 5 6 8 T W A m P 5 / / 5 f H r 1 / T H 0 9 v T 9 Q 3 3 z 7 9 Q i l 5 m + a v 3 / w + z 0 9 / / 6 9 e E h e f / v 5 f f P k 0 m I S d 9 y L e m 1 f H L 1 4 / I 7 7 + M D A / / u I n / Z f 5 z / d 6 / a v w 9 a / e 6 / U X X / 7 + 3 3 1 1 7 A v E e 8 9 Z Z / i 3 f f / 1 t 0 k q 6 Q M n D x / A y B a Z M 2 W d 9 0 L l 5 f G r 0 x d v P n A e F Q i / 8 T V w e P 3 V y 5 d f v n r z + 7 8 + e / E 5 c e j T l 7 + / S t b X g P X V 6 1 O S x D d n X 5 z 9 1 O n v / / r N l 6 T 6 b q t s 7 o b q F J B O v v z i J S H y G t Y D u v j x 3 e 6 n j 2 X s L 4 6 / Y B T l r z e / z 8 v T o + + S X Z p U 1 d v H d 7 0 P H 7 9 + Y 6 T v i L j V + + s x G 8 a j / w f z 9 x n P u Q c A A A = = < / A p p l i c a t i o n > 
</file>

<file path=customXml/itemProps1.xml><?xml version="1.0" encoding="utf-8"?>
<ds:datastoreItem xmlns:ds="http://schemas.openxmlformats.org/officeDocument/2006/customXml" ds:itemID="{9DBCE025-8DE5-4B27-8131-C1E191CC1825}">
  <ds:schemaRefs>
    <ds:schemaRef ds:uri="http://www.sap.com/ip/bi/bexanalyzer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9</vt:i4>
      </vt:variant>
    </vt:vector>
  </HeadingPairs>
  <TitlesOfParts>
    <vt:vector size="37" baseType="lpstr">
      <vt:lpstr>2018</vt:lpstr>
      <vt:lpstr>2019</vt:lpstr>
      <vt:lpstr>2020</vt:lpstr>
      <vt:lpstr>Base Period ended 083121</vt:lpstr>
      <vt:lpstr>Forecasted Test Period</vt:lpstr>
      <vt:lpstr>Supporting Docs &gt;&gt;&gt;</vt:lpstr>
      <vt:lpstr>Based Period 2</vt:lpstr>
      <vt:lpstr>Based Period</vt:lpstr>
      <vt:lpstr>2017-18 Budget</vt:lpstr>
      <vt:lpstr>BW PKY-2018</vt:lpstr>
      <vt:lpstr>Budget 2019</vt:lpstr>
      <vt:lpstr>BW-PKY-2019</vt:lpstr>
      <vt:lpstr>Budget07012018 DoNotUseFor2019</vt:lpstr>
      <vt:lpstr>Budget 2020</vt:lpstr>
      <vt:lpstr>BW PKY-2020</vt:lpstr>
      <vt:lpstr>2018 Total Labor</vt:lpstr>
      <vt:lpstr>2019 Total Labor</vt:lpstr>
      <vt:lpstr>2020 Total Labor</vt:lpstr>
      <vt:lpstr>2018 Actual HC</vt:lpstr>
      <vt:lpstr>2019 Budgeted HC</vt:lpstr>
      <vt:lpstr>2019 Actual HC</vt:lpstr>
      <vt:lpstr>2020 Actual HC</vt:lpstr>
      <vt:lpstr>2021 Actual HC</vt:lpstr>
      <vt:lpstr>Based Period HC (Plan)</vt:lpstr>
      <vt:lpstr>2020 Budgeted HC</vt:lpstr>
      <vt:lpstr>Revised Forecasted Info</vt:lpstr>
      <vt:lpstr>Forcasted info</vt:lpstr>
      <vt:lpstr>Forecasted Headcount</vt:lpstr>
      <vt:lpstr>'BW PKY-2020'!DF_GRID_1</vt:lpstr>
      <vt:lpstr>'BW PKY-2020'!DF_NAVPANEL_13</vt:lpstr>
      <vt:lpstr>'BW PKY-2020'!DF_NAVPANEL_18</vt:lpstr>
      <vt:lpstr>'2018'!Print_Area</vt:lpstr>
      <vt:lpstr>'2018 Actual HC'!Print_Area</vt:lpstr>
      <vt:lpstr>'2019'!Print_Area</vt:lpstr>
      <vt:lpstr>'2019 Actual HC'!Print_Area</vt:lpstr>
      <vt:lpstr>'2020'!Print_Area</vt:lpstr>
      <vt:lpstr>'BW PKY-2020'!Print_Area</vt:lpstr>
    </vt:vector>
  </TitlesOfParts>
  <Company>Peoples Natural Gas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John Brown</cp:lastModifiedBy>
  <cp:lastPrinted>2021-07-25T17:58:34Z</cp:lastPrinted>
  <dcterms:created xsi:type="dcterms:W3CDTF">2021-06-04T19:48:36Z</dcterms:created>
  <dcterms:modified xsi:type="dcterms:W3CDTF">2021-07-25T17:58:37Z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Revised PSC 1-36  worksheet schedule J v1.xlsx</vt:lpwstr>
  </property>
</Properties>
</file>