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15" windowWidth="28425" windowHeight="12555" activeTab="1"/>
  </bookViews>
  <sheets>
    <sheet name="200912" sheetId="4" r:id="rId1"/>
    <sheet name="Prepaid @ 3.31.21" sheetId="1" r:id="rId2"/>
    <sheet name="Prepaid @ 12.31.16" sheetId="3" r:id="rId3"/>
    <sheet name="13 mths @ 3.31.21" sheetId="5" r:id="rId4"/>
    <sheet name="Prepaid Misc Support  2020" sheetId="2" state="hidden" r:id="rId5"/>
  </sheets>
  <definedNames>
    <definedName name="_xlnm._FilterDatabase" localSheetId="1" hidden="1">'Prepaid @ 3.31.21'!$A$3:$J$10</definedName>
    <definedName name="_xlnm.Print_Area" localSheetId="0">'200912'!$A$2:$V$260</definedName>
    <definedName name="_xlnm.Print_Area" localSheetId="2">'Prepaid @ 12.31.16'!$A$2:$P$128</definedName>
  </definedNames>
  <calcPr calcId="145621"/>
</workbook>
</file>

<file path=xl/calcChain.xml><?xml version="1.0" encoding="utf-8"?>
<calcChain xmlns="http://schemas.openxmlformats.org/spreadsheetml/2006/main">
  <c r="O128" i="3" l="1"/>
  <c r="P102" i="3"/>
  <c r="O19" i="5" l="1"/>
  <c r="N19" i="5"/>
  <c r="N20" i="5" s="1"/>
  <c r="N21" i="5" s="1"/>
  <c r="M19" i="5"/>
  <c r="M20" i="5" s="1"/>
  <c r="M21" i="5" s="1"/>
  <c r="L19" i="5"/>
  <c r="K19" i="5"/>
  <c r="K20" i="5" s="1"/>
  <c r="K21" i="5" s="1"/>
  <c r="J19" i="5"/>
  <c r="J20" i="5" s="1"/>
  <c r="J21" i="5" s="1"/>
  <c r="I19" i="5"/>
  <c r="I20" i="5" s="1"/>
  <c r="I21" i="5" s="1"/>
  <c r="H19" i="5"/>
  <c r="G19" i="5"/>
  <c r="F19" i="5"/>
  <c r="E19" i="5"/>
  <c r="E20" i="5" s="1"/>
  <c r="E21" i="5" s="1"/>
  <c r="D19" i="5"/>
  <c r="P19" i="5" s="1"/>
  <c r="C19" i="5"/>
  <c r="C20" i="5" s="1"/>
  <c r="P18" i="5"/>
  <c r="P17" i="5"/>
  <c r="P16" i="5"/>
  <c r="P15" i="5"/>
  <c r="O14" i="5"/>
  <c r="O20" i="5" s="1"/>
  <c r="O21" i="5" s="1"/>
  <c r="N14" i="5"/>
  <c r="M14" i="5"/>
  <c r="L14" i="5"/>
  <c r="L20" i="5" s="1"/>
  <c r="L21" i="5" s="1"/>
  <c r="K14" i="5"/>
  <c r="J14" i="5"/>
  <c r="I14" i="5"/>
  <c r="H14" i="5"/>
  <c r="H20" i="5" s="1"/>
  <c r="H21" i="5" s="1"/>
  <c r="G14" i="5"/>
  <c r="P14" i="5" s="1"/>
  <c r="F14" i="5"/>
  <c r="E14" i="5"/>
  <c r="D14" i="5"/>
  <c r="D20" i="5" s="1"/>
  <c r="D21" i="5" s="1"/>
  <c r="C14" i="5"/>
  <c r="P13" i="5"/>
  <c r="P12" i="5"/>
  <c r="P11" i="5"/>
  <c r="P10" i="5"/>
  <c r="P9" i="5"/>
  <c r="P8" i="5"/>
  <c r="O7" i="5"/>
  <c r="N7" i="5"/>
  <c r="M7" i="5"/>
  <c r="L7" i="5"/>
  <c r="K7" i="5"/>
  <c r="J7" i="5"/>
  <c r="H7" i="5"/>
  <c r="G7" i="5"/>
  <c r="E7" i="5"/>
  <c r="D7" i="5"/>
  <c r="C7" i="5"/>
  <c r="P7" i="5" s="1"/>
  <c r="O6" i="5"/>
  <c r="I6" i="5"/>
  <c r="F6" i="5"/>
  <c r="P6" i="5" s="1"/>
  <c r="O5" i="5"/>
  <c r="I5" i="5"/>
  <c r="I7" i="5" s="1"/>
  <c r="F5" i="5"/>
  <c r="F7" i="5" s="1"/>
  <c r="P4" i="5"/>
  <c r="E3" i="5"/>
  <c r="F3" i="5" s="1"/>
  <c r="G3" i="5" s="1"/>
  <c r="H3" i="5" s="1"/>
  <c r="I3" i="5" s="1"/>
  <c r="J3" i="5" s="1"/>
  <c r="K3" i="5" s="1"/>
  <c r="L3" i="5" s="1"/>
  <c r="M3" i="5" s="1"/>
  <c r="N3" i="5" s="1"/>
  <c r="O3" i="5" s="1"/>
  <c r="D3" i="5"/>
  <c r="T253" i="4"/>
  <c r="T254" i="4" s="1"/>
  <c r="T256" i="4" s="1"/>
  <c r="T258" i="4" s="1"/>
  <c r="T260" i="4" s="1"/>
  <c r="Q253" i="4"/>
  <c r="P253" i="4"/>
  <c r="P254" i="4" s="1"/>
  <c r="P256" i="4" s="1"/>
  <c r="P258" i="4" s="1"/>
  <c r="P260" i="4" s="1"/>
  <c r="M253" i="4"/>
  <c r="L253" i="4"/>
  <c r="L254" i="4" s="1"/>
  <c r="L256" i="4" s="1"/>
  <c r="L258" i="4" s="1"/>
  <c r="L260" i="4" s="1"/>
  <c r="I253" i="4"/>
  <c r="H253" i="4"/>
  <c r="H254" i="4" s="1"/>
  <c r="H256" i="4" s="1"/>
  <c r="U251" i="4"/>
  <c r="T251" i="4"/>
  <c r="S251" i="4"/>
  <c r="R251" i="4"/>
  <c r="R253" i="4" s="1"/>
  <c r="Q251" i="4"/>
  <c r="Q254" i="4" s="1"/>
  <c r="Q256" i="4" s="1"/>
  <c r="Q258" i="4" s="1"/>
  <c r="Q260" i="4" s="1"/>
  <c r="P251" i="4"/>
  <c r="O251" i="4"/>
  <c r="O253" i="4" s="1"/>
  <c r="O254" i="4" s="1"/>
  <c r="O256" i="4" s="1"/>
  <c r="O258" i="4" s="1"/>
  <c r="O260" i="4" s="1"/>
  <c r="N251" i="4"/>
  <c r="N253" i="4" s="1"/>
  <c r="M251" i="4"/>
  <c r="M254" i="4" s="1"/>
  <c r="M256" i="4" s="1"/>
  <c r="M258" i="4" s="1"/>
  <c r="M260" i="4" s="1"/>
  <c r="L251" i="4"/>
  <c r="K251" i="4"/>
  <c r="J251" i="4"/>
  <c r="J253" i="4" s="1"/>
  <c r="I251" i="4"/>
  <c r="I254" i="4" s="1"/>
  <c r="I256" i="4" s="1"/>
  <c r="I258" i="4" s="1"/>
  <c r="I260" i="4" s="1"/>
  <c r="H25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1" i="4" s="1"/>
  <c r="V241" i="4" s="1"/>
  <c r="H241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U178" i="4" s="1"/>
  <c r="V178" i="4" s="1"/>
  <c r="V126" i="4"/>
  <c r="V60" i="4"/>
  <c r="V59" i="4"/>
  <c r="V58" i="4"/>
  <c r="V57" i="4"/>
  <c r="V56" i="4"/>
  <c r="V55" i="4"/>
  <c r="V54" i="4"/>
  <c r="V53" i="4"/>
  <c r="V52" i="4"/>
  <c r="H258" i="4" l="1"/>
  <c r="C21" i="5"/>
  <c r="S254" i="4"/>
  <c r="S256" i="4" s="1"/>
  <c r="S258" i="4" s="1"/>
  <c r="S260" i="4" s="1"/>
  <c r="F20" i="5"/>
  <c r="F21" i="5" s="1"/>
  <c r="K253" i="4"/>
  <c r="K254" i="4" s="1"/>
  <c r="K256" i="4" s="1"/>
  <c r="K258" i="4" s="1"/>
  <c r="K260" i="4" s="1"/>
  <c r="S253" i="4"/>
  <c r="N254" i="4"/>
  <c r="N256" i="4" s="1"/>
  <c r="N258" i="4" s="1"/>
  <c r="N260" i="4" s="1"/>
  <c r="G20" i="5"/>
  <c r="G21" i="5" s="1"/>
  <c r="J254" i="4"/>
  <c r="J256" i="4" s="1"/>
  <c r="J258" i="4" s="1"/>
  <c r="J260" i="4" s="1"/>
  <c r="R254" i="4"/>
  <c r="R256" i="4" s="1"/>
  <c r="R258" i="4" s="1"/>
  <c r="R260" i="4" s="1"/>
  <c r="P5" i="5"/>
  <c r="P20" i="5" l="1"/>
  <c r="H260" i="4"/>
  <c r="U260" i="4" s="1"/>
  <c r="V260" i="4" s="1"/>
  <c r="U258" i="4"/>
  <c r="V258" i="4" s="1"/>
  <c r="U256" i="4"/>
  <c r="V256" i="4" s="1"/>
  <c r="I22" i="1" l="1"/>
  <c r="H22" i="1"/>
  <c r="G22" i="1"/>
  <c r="J21" i="1"/>
  <c r="F17" i="1"/>
  <c r="F22" i="1" s="1"/>
  <c r="J20" i="1"/>
  <c r="J19" i="1"/>
  <c r="J18" i="1"/>
  <c r="J16" i="1"/>
  <c r="J15" i="1"/>
  <c r="J14" i="1"/>
  <c r="E17" i="1"/>
  <c r="P85" i="3"/>
  <c r="L128" i="3"/>
  <c r="O125" i="3"/>
  <c r="N125" i="3"/>
  <c r="M125" i="3"/>
  <c r="K125" i="3"/>
  <c r="J125" i="3"/>
  <c r="I125" i="3"/>
  <c r="O124" i="3"/>
  <c r="N124" i="3"/>
  <c r="M124" i="3"/>
  <c r="K124" i="3"/>
  <c r="J124" i="3"/>
  <c r="I124" i="3"/>
  <c r="O123" i="3"/>
  <c r="O122" i="3"/>
  <c r="N122" i="3"/>
  <c r="M122" i="3"/>
  <c r="K122" i="3"/>
  <c r="J122" i="3"/>
  <c r="I122" i="3"/>
  <c r="N121" i="3"/>
  <c r="J121" i="3"/>
  <c r="K118" i="3"/>
  <c r="O117" i="3"/>
  <c r="N117" i="3"/>
  <c r="M117" i="3"/>
  <c r="K117" i="3"/>
  <c r="J117" i="3"/>
  <c r="I117" i="3"/>
  <c r="I115" i="3"/>
  <c r="I108" i="3"/>
  <c r="O101" i="3"/>
  <c r="P101" i="3" s="1"/>
  <c r="N101" i="3"/>
  <c r="M101" i="3"/>
  <c r="K101" i="3"/>
  <c r="L101" i="3" s="1"/>
  <c r="J101" i="3"/>
  <c r="I101" i="3"/>
  <c r="P100" i="3"/>
  <c r="O100" i="3"/>
  <c r="N100" i="3"/>
  <c r="M100" i="3"/>
  <c r="K100" i="3"/>
  <c r="L100" i="3" s="1"/>
  <c r="J100" i="3"/>
  <c r="I100" i="3"/>
  <c r="P99" i="3"/>
  <c r="O99" i="3"/>
  <c r="N99" i="3"/>
  <c r="M99" i="3"/>
  <c r="K99" i="3"/>
  <c r="L99" i="3" s="1"/>
  <c r="J99" i="3"/>
  <c r="I99" i="3"/>
  <c r="P97" i="3"/>
  <c r="I96" i="3"/>
  <c r="P95" i="3"/>
  <c r="P94" i="3"/>
  <c r="L94" i="3"/>
  <c r="I94" i="3"/>
  <c r="O84" i="3"/>
  <c r="O120" i="3" s="1"/>
  <c r="K84" i="3"/>
  <c r="K120" i="3" s="1"/>
  <c r="H84" i="3"/>
  <c r="P83" i="3"/>
  <c r="P82" i="3"/>
  <c r="P81" i="3"/>
  <c r="L80" i="3"/>
  <c r="L79" i="3"/>
  <c r="AA76" i="3"/>
  <c r="AB76" i="3" s="1"/>
  <c r="AC76" i="3" s="1"/>
  <c r="Z76" i="3"/>
  <c r="Y76" i="3"/>
  <c r="P76" i="3"/>
  <c r="L76" i="3"/>
  <c r="AC75" i="3"/>
  <c r="AB75" i="3"/>
  <c r="AA75" i="3"/>
  <c r="Z75" i="3"/>
  <c r="Y75" i="3"/>
  <c r="L75" i="3"/>
  <c r="P75" i="3" s="1"/>
  <c r="AD75" i="3" s="1"/>
  <c r="AA72" i="3"/>
  <c r="Z72" i="3"/>
  <c r="AB72" i="3" s="1"/>
  <c r="AC72" i="3" s="1"/>
  <c r="Y72" i="3"/>
  <c r="L72" i="3"/>
  <c r="P72" i="3" s="1"/>
  <c r="AA71" i="3"/>
  <c r="Z71" i="3"/>
  <c r="AB71" i="3" s="1"/>
  <c r="AC71" i="3" s="1"/>
  <c r="Y71" i="3"/>
  <c r="L71" i="3"/>
  <c r="O69" i="3"/>
  <c r="N69" i="3"/>
  <c r="N123" i="3" s="1"/>
  <c r="M69" i="3"/>
  <c r="M84" i="3" s="1"/>
  <c r="M120" i="3" s="1"/>
  <c r="K69" i="3"/>
  <c r="K123" i="3" s="1"/>
  <c r="J69" i="3"/>
  <c r="J84" i="3" s="1"/>
  <c r="J120" i="3" s="1"/>
  <c r="I69" i="3"/>
  <c r="I84" i="3" s="1"/>
  <c r="I120" i="3" s="1"/>
  <c r="H69" i="3"/>
  <c r="G69" i="3"/>
  <c r="AA68" i="3"/>
  <c r="Z68" i="3"/>
  <c r="AB68" i="3" s="1"/>
  <c r="AC68" i="3" s="1"/>
  <c r="Y68" i="3"/>
  <c r="S68" i="3"/>
  <c r="P68" i="3"/>
  <c r="L68" i="3"/>
  <c r="AA67" i="3"/>
  <c r="AB67" i="3" s="1"/>
  <c r="AC67" i="3" s="1"/>
  <c r="Z67" i="3"/>
  <c r="S67" i="3"/>
  <c r="L67" i="3"/>
  <c r="P67" i="3" s="1"/>
  <c r="AA66" i="3"/>
  <c r="Z66" i="3"/>
  <c r="AB66" i="3" s="1"/>
  <c r="AC66" i="3" s="1"/>
  <c r="AD66" i="3" s="1"/>
  <c r="Y66" i="3"/>
  <c r="S66" i="3"/>
  <c r="P66" i="3"/>
  <c r="L66" i="3"/>
  <c r="L69" i="3" s="1"/>
  <c r="L84" i="3" s="1"/>
  <c r="AA65" i="3"/>
  <c r="AB65" i="3" s="1"/>
  <c r="AC65" i="3" s="1"/>
  <c r="Z65" i="3"/>
  <c r="Y65" i="3"/>
  <c r="S65" i="3"/>
  <c r="L65" i="3"/>
  <c r="AA64" i="3"/>
  <c r="Z64" i="3"/>
  <c r="AB64" i="3" s="1"/>
  <c r="AC64" i="3" s="1"/>
  <c r="AD64" i="3" s="1"/>
  <c r="Y64" i="3"/>
  <c r="S64" i="3"/>
  <c r="O62" i="3"/>
  <c r="N62" i="3"/>
  <c r="M62" i="3"/>
  <c r="K62" i="3"/>
  <c r="J62" i="3"/>
  <c r="I62" i="3"/>
  <c r="H62" i="3"/>
  <c r="G62" i="3"/>
  <c r="AA61" i="3"/>
  <c r="AB61" i="3" s="1"/>
  <c r="AC61" i="3" s="1"/>
  <c r="Z61" i="3"/>
  <c r="Y61" i="3"/>
  <c r="S61" i="3"/>
  <c r="L61" i="3"/>
  <c r="L62" i="3" s="1"/>
  <c r="O60" i="3"/>
  <c r="N60" i="3"/>
  <c r="M60" i="3"/>
  <c r="K60" i="3"/>
  <c r="J60" i="3"/>
  <c r="I60" i="3"/>
  <c r="H60" i="3"/>
  <c r="AA59" i="3"/>
  <c r="AB59" i="3" s="1"/>
  <c r="AC59" i="3" s="1"/>
  <c r="Z59" i="3"/>
  <c r="Y59" i="3"/>
  <c r="S59" i="3"/>
  <c r="L59" i="3"/>
  <c r="L60" i="3" s="1"/>
  <c r="O58" i="3"/>
  <c r="O116" i="3" s="1"/>
  <c r="N58" i="3"/>
  <c r="N116" i="3" s="1"/>
  <c r="M58" i="3"/>
  <c r="M116" i="3" s="1"/>
  <c r="L58" i="3"/>
  <c r="K58" i="3"/>
  <c r="K116" i="3" s="1"/>
  <c r="J58" i="3"/>
  <c r="J116" i="3" s="1"/>
  <c r="I58" i="3"/>
  <c r="I116" i="3" s="1"/>
  <c r="H58" i="3"/>
  <c r="AB57" i="3"/>
  <c r="AC57" i="3" s="1"/>
  <c r="AA57" i="3"/>
  <c r="Z57" i="3"/>
  <c r="Y57" i="3"/>
  <c r="S57" i="3"/>
  <c r="P57" i="3"/>
  <c r="P58" i="3" s="1"/>
  <c r="L57" i="3"/>
  <c r="O55" i="3"/>
  <c r="O115" i="3" s="1"/>
  <c r="N55" i="3"/>
  <c r="N115" i="3" s="1"/>
  <c r="M55" i="3"/>
  <c r="M115" i="3" s="1"/>
  <c r="L55" i="3"/>
  <c r="K55" i="3"/>
  <c r="K115" i="3" s="1"/>
  <c r="J55" i="3"/>
  <c r="J115" i="3" s="1"/>
  <c r="I55" i="3"/>
  <c r="H55" i="3"/>
  <c r="AA54" i="3"/>
  <c r="Z54" i="3"/>
  <c r="AB54" i="3" s="1"/>
  <c r="AC54" i="3" s="1"/>
  <c r="Y54" i="3"/>
  <c r="S54" i="3"/>
  <c r="L54" i="3"/>
  <c r="P54" i="3" s="1"/>
  <c r="L53" i="3"/>
  <c r="P53" i="3" s="1"/>
  <c r="O52" i="3"/>
  <c r="O121" i="3" s="1"/>
  <c r="N52" i="3"/>
  <c r="M52" i="3"/>
  <c r="M121" i="3" s="1"/>
  <c r="K52" i="3"/>
  <c r="K121" i="3" s="1"/>
  <c r="J52" i="3"/>
  <c r="I52" i="3"/>
  <c r="I121" i="3" s="1"/>
  <c r="H52" i="3"/>
  <c r="G52" i="3"/>
  <c r="AA51" i="3"/>
  <c r="AB51" i="3" s="1"/>
  <c r="AC51" i="3" s="1"/>
  <c r="Z51" i="3"/>
  <c r="Y51" i="3"/>
  <c r="S51" i="3"/>
  <c r="L51" i="3"/>
  <c r="L52" i="3" s="1"/>
  <c r="O50" i="3"/>
  <c r="O118" i="3" s="1"/>
  <c r="N50" i="3"/>
  <c r="N118" i="3" s="1"/>
  <c r="M50" i="3"/>
  <c r="M118" i="3" s="1"/>
  <c r="K50" i="3"/>
  <c r="J50" i="3"/>
  <c r="J118" i="3" s="1"/>
  <c r="I50" i="3"/>
  <c r="I118" i="3" s="1"/>
  <c r="H50" i="3"/>
  <c r="P49" i="3"/>
  <c r="L49" i="3"/>
  <c r="L48" i="3"/>
  <c r="L50" i="3" s="1"/>
  <c r="P47" i="3"/>
  <c r="O47" i="3"/>
  <c r="O114" i="3" s="1"/>
  <c r="N47" i="3"/>
  <c r="N114" i="3" s="1"/>
  <c r="M47" i="3"/>
  <c r="M114" i="3" s="1"/>
  <c r="L47" i="3"/>
  <c r="K47" i="3"/>
  <c r="K114" i="3" s="1"/>
  <c r="J47" i="3"/>
  <c r="J114" i="3" s="1"/>
  <c r="I47" i="3"/>
  <c r="I114" i="3" s="1"/>
  <c r="H47" i="3"/>
  <c r="Z46" i="3"/>
  <c r="AA46" i="3" s="1"/>
  <c r="AB46" i="3" s="1"/>
  <c r="AC46" i="3" s="1"/>
  <c r="AD46" i="3" s="1"/>
  <c r="Y46" i="3"/>
  <c r="S46" i="3"/>
  <c r="P45" i="3"/>
  <c r="O43" i="3"/>
  <c r="N43" i="3"/>
  <c r="M43" i="3"/>
  <c r="L43" i="3"/>
  <c r="K43" i="3"/>
  <c r="J43" i="3"/>
  <c r="I43" i="3"/>
  <c r="H43" i="3"/>
  <c r="AB42" i="3"/>
  <c r="AC42" i="3" s="1"/>
  <c r="AA42" i="3"/>
  <c r="Z42" i="3"/>
  <c r="Y42" i="3"/>
  <c r="S42" i="3"/>
  <c r="P42" i="3"/>
  <c r="P43" i="3" s="1"/>
  <c r="L42" i="3"/>
  <c r="O41" i="3"/>
  <c r="O86" i="3" s="1"/>
  <c r="O110" i="3" s="1"/>
  <c r="N41" i="3"/>
  <c r="N86" i="3" s="1"/>
  <c r="N110" i="3" s="1"/>
  <c r="M41" i="3"/>
  <c r="M113" i="3" s="1"/>
  <c r="K41" i="3"/>
  <c r="K113" i="3" s="1"/>
  <c r="H41" i="3"/>
  <c r="H90" i="3" s="1"/>
  <c r="AA40" i="3"/>
  <c r="Z40" i="3"/>
  <c r="AB40" i="3" s="1"/>
  <c r="AC40" i="3" s="1"/>
  <c r="S40" i="3"/>
  <c r="L40" i="3"/>
  <c r="I40" i="3"/>
  <c r="AA39" i="3"/>
  <c r="Z39" i="3"/>
  <c r="AB39" i="3" s="1"/>
  <c r="AC39" i="3" s="1"/>
  <c r="S39" i="3"/>
  <c r="L39" i="3"/>
  <c r="P39" i="3" s="1"/>
  <c r="J39" i="3"/>
  <c r="Z38" i="3"/>
  <c r="AA38" i="3" s="1"/>
  <c r="AB38" i="3" s="1"/>
  <c r="AC38" i="3" s="1"/>
  <c r="S38" i="3"/>
  <c r="I38" i="3"/>
  <c r="I41" i="3" s="1"/>
  <c r="AA37" i="3"/>
  <c r="Z37" i="3"/>
  <c r="AB37" i="3" s="1"/>
  <c r="AC37" i="3" s="1"/>
  <c r="Y37" i="3"/>
  <c r="S37" i="3"/>
  <c r="L37" i="3"/>
  <c r="P37" i="3" s="1"/>
  <c r="AA36" i="3"/>
  <c r="AB36" i="3" s="1"/>
  <c r="AC36" i="3" s="1"/>
  <c r="Z36" i="3"/>
  <c r="Y36" i="3"/>
  <c r="S36" i="3"/>
  <c r="L36" i="3"/>
  <c r="J36" i="3"/>
  <c r="J41" i="3" s="1"/>
  <c r="Z35" i="3"/>
  <c r="AA35" i="3" s="1"/>
  <c r="AB35" i="3" s="1"/>
  <c r="AC35" i="3" s="1"/>
  <c r="AD35" i="3" s="1"/>
  <c r="S35" i="3"/>
  <c r="P35" i="3"/>
  <c r="Y35" i="3" s="1"/>
  <c r="L35" i="3"/>
  <c r="AA34" i="3"/>
  <c r="Z34" i="3"/>
  <c r="AB34" i="3" s="1"/>
  <c r="AC34" i="3" s="1"/>
  <c r="Y34" i="3"/>
  <c r="S34" i="3"/>
  <c r="P34" i="3"/>
  <c r="L34" i="3"/>
  <c r="AB33" i="3"/>
  <c r="AC33" i="3" s="1"/>
  <c r="AA33" i="3"/>
  <c r="Z33" i="3"/>
  <c r="Y33" i="3"/>
  <c r="S33" i="3"/>
  <c r="P33" i="3"/>
  <c r="AD33" i="3" s="1"/>
  <c r="L33" i="3"/>
  <c r="AA32" i="3"/>
  <c r="Z32" i="3"/>
  <c r="Y32" i="3"/>
  <c r="S32" i="3"/>
  <c r="P32" i="3"/>
  <c r="L32" i="3"/>
  <c r="G32" i="3"/>
  <c r="Y31" i="3"/>
  <c r="Y30" i="3"/>
  <c r="O29" i="3"/>
  <c r="O119" i="3" s="1"/>
  <c r="N29" i="3"/>
  <c r="N119" i="3" s="1"/>
  <c r="M29" i="3"/>
  <c r="M119" i="3" s="1"/>
  <c r="K29" i="3"/>
  <c r="K119" i="3" s="1"/>
  <c r="J29" i="3"/>
  <c r="J87" i="3" s="1"/>
  <c r="J111" i="3" s="1"/>
  <c r="I29" i="3"/>
  <c r="I87" i="3" s="1"/>
  <c r="I111" i="3" s="1"/>
  <c r="H29" i="3"/>
  <c r="H87" i="3" s="1"/>
  <c r="AA28" i="3"/>
  <c r="Z28" i="3"/>
  <c r="AB28" i="3" s="1"/>
  <c r="AC28" i="3" s="1"/>
  <c r="Y28" i="3"/>
  <c r="S28" i="3"/>
  <c r="P28" i="3"/>
  <c r="L28" i="3"/>
  <c r="L29" i="3" s="1"/>
  <c r="L87" i="3" s="1"/>
  <c r="L91" i="3" s="1"/>
  <c r="O26" i="3"/>
  <c r="N26" i="3"/>
  <c r="M26" i="3"/>
  <c r="K26" i="3"/>
  <c r="J26" i="3"/>
  <c r="I26" i="3"/>
  <c r="H26" i="3"/>
  <c r="AA25" i="3"/>
  <c r="AB25" i="3" s="1"/>
  <c r="AC25" i="3" s="1"/>
  <c r="Z25" i="3"/>
  <c r="Y25" i="3"/>
  <c r="S25" i="3"/>
  <c r="L25" i="3"/>
  <c r="P25" i="3" s="1"/>
  <c r="AD25" i="3" s="1"/>
  <c r="AA24" i="3"/>
  <c r="Z24" i="3"/>
  <c r="AB24" i="3" s="1"/>
  <c r="AC24" i="3" s="1"/>
  <c r="Y24" i="3"/>
  <c r="S24" i="3"/>
  <c r="L24" i="3"/>
  <c r="P24" i="3" s="1"/>
  <c r="AD24" i="3" s="1"/>
  <c r="AA23" i="3"/>
  <c r="AB23" i="3" s="1"/>
  <c r="AC23" i="3" s="1"/>
  <c r="Z23" i="3"/>
  <c r="Y23" i="3"/>
  <c r="S23" i="3"/>
  <c r="L23" i="3"/>
  <c r="AA22" i="3"/>
  <c r="Z22" i="3"/>
  <c r="AB22" i="3" s="1"/>
  <c r="AC22" i="3" s="1"/>
  <c r="Y22" i="3"/>
  <c r="S22" i="3"/>
  <c r="L22" i="3"/>
  <c r="P22" i="3" s="1"/>
  <c r="AA21" i="3"/>
  <c r="AB21" i="3" s="1"/>
  <c r="AC21" i="3" s="1"/>
  <c r="Z21" i="3"/>
  <c r="Y21" i="3"/>
  <c r="S21" i="3"/>
  <c r="L21" i="3"/>
  <c r="P21" i="3" s="1"/>
  <c r="AA20" i="3"/>
  <c r="Z20" i="3"/>
  <c r="AB20" i="3" s="1"/>
  <c r="AC20" i="3" s="1"/>
  <c r="Y20" i="3"/>
  <c r="S20" i="3"/>
  <c r="L20" i="3"/>
  <c r="P20" i="3" s="1"/>
  <c r="AD20" i="3" s="1"/>
  <c r="AA19" i="3"/>
  <c r="AB19" i="3" s="1"/>
  <c r="AC19" i="3" s="1"/>
  <c r="Z19" i="3"/>
  <c r="Y19" i="3"/>
  <c r="S19" i="3"/>
  <c r="L19" i="3"/>
  <c r="AA18" i="3"/>
  <c r="Z18" i="3"/>
  <c r="AB18" i="3" s="1"/>
  <c r="AC18" i="3" s="1"/>
  <c r="Y18" i="3"/>
  <c r="S18" i="3"/>
  <c r="L18" i="3"/>
  <c r="P18" i="3" s="1"/>
  <c r="AA17" i="3"/>
  <c r="AB17" i="3" s="1"/>
  <c r="AC17" i="3" s="1"/>
  <c r="Z17" i="3"/>
  <c r="Y17" i="3"/>
  <c r="S17" i="3"/>
  <c r="L17" i="3"/>
  <c r="P17" i="3" s="1"/>
  <c r="AD17" i="3" s="1"/>
  <c r="AA16" i="3"/>
  <c r="Z16" i="3"/>
  <c r="AB16" i="3" s="1"/>
  <c r="AC16" i="3" s="1"/>
  <c r="Y16" i="3"/>
  <c r="S16" i="3"/>
  <c r="L16" i="3"/>
  <c r="P16" i="3" s="1"/>
  <c r="AD16" i="3" s="1"/>
  <c r="AA15" i="3"/>
  <c r="AB15" i="3" s="1"/>
  <c r="AC15" i="3" s="1"/>
  <c r="Z15" i="3"/>
  <c r="Y15" i="3"/>
  <c r="S15" i="3"/>
  <c r="L15" i="3"/>
  <c r="AA14" i="3"/>
  <c r="Z14" i="3"/>
  <c r="AB14" i="3" s="1"/>
  <c r="AC14" i="3" s="1"/>
  <c r="Y14" i="3"/>
  <c r="S14" i="3"/>
  <c r="L14" i="3"/>
  <c r="P14" i="3" s="1"/>
  <c r="AA13" i="3"/>
  <c r="AB13" i="3" s="1"/>
  <c r="AC13" i="3" s="1"/>
  <c r="Z13" i="3"/>
  <c r="Y13" i="3"/>
  <c r="S13" i="3"/>
  <c r="L13" i="3"/>
  <c r="L26" i="3" s="1"/>
  <c r="L12" i="3"/>
  <c r="P12" i="3" s="1"/>
  <c r="Y12" i="3" s="1"/>
  <c r="O11" i="3"/>
  <c r="N11" i="3"/>
  <c r="M11" i="3"/>
  <c r="K11" i="3"/>
  <c r="J11" i="3"/>
  <c r="I11" i="3"/>
  <c r="H11" i="3"/>
  <c r="Z10" i="3"/>
  <c r="AA10" i="3" s="1"/>
  <c r="AB10" i="3" s="1"/>
  <c r="AC10" i="3" s="1"/>
  <c r="AD10" i="3" s="1"/>
  <c r="S10" i="3"/>
  <c r="P10" i="3"/>
  <c r="Y10" i="3" s="1"/>
  <c r="L10" i="3"/>
  <c r="AA9" i="3"/>
  <c r="Z9" i="3"/>
  <c r="AB9" i="3" s="1"/>
  <c r="AC9" i="3" s="1"/>
  <c r="Y9" i="3"/>
  <c r="S9" i="3"/>
  <c r="P9" i="3"/>
  <c r="AD9" i="3" s="1"/>
  <c r="L9" i="3"/>
  <c r="L11" i="3" s="1"/>
  <c r="P8" i="3"/>
  <c r="L8" i="3"/>
  <c r="O7" i="3"/>
  <c r="O112" i="3" s="1"/>
  <c r="N7" i="3"/>
  <c r="N112" i="3" s="1"/>
  <c r="M7" i="3"/>
  <c r="M112" i="3" s="1"/>
  <c r="K7" i="3"/>
  <c r="K85" i="3" s="1"/>
  <c r="K109" i="3" s="1"/>
  <c r="J7" i="3"/>
  <c r="J85" i="3" s="1"/>
  <c r="J109" i="3" s="1"/>
  <c r="I7" i="3"/>
  <c r="I112" i="3" s="1"/>
  <c r="H7" i="3"/>
  <c r="H89" i="3" s="1"/>
  <c r="AA6" i="3"/>
  <c r="Z6" i="3"/>
  <c r="AB6" i="3" s="1"/>
  <c r="AC6" i="3" s="1"/>
  <c r="S6" i="3"/>
  <c r="L6" i="3"/>
  <c r="P6" i="3" s="1"/>
  <c r="AA5" i="3"/>
  <c r="AB5" i="3" s="1"/>
  <c r="AC5" i="3" s="1"/>
  <c r="Z5" i="3"/>
  <c r="Y5" i="3"/>
  <c r="S5" i="3"/>
  <c r="L5" i="3"/>
  <c r="P5" i="3" s="1"/>
  <c r="J3" i="3"/>
  <c r="K3" i="3" s="1"/>
  <c r="A2" i="3"/>
  <c r="X36" i="2"/>
  <c r="T36" i="2"/>
  <c r="P35" i="2"/>
  <c r="I34" i="2"/>
  <c r="J34" i="2" s="1"/>
  <c r="W29" i="2"/>
  <c r="W31" i="2" s="1"/>
  <c r="W32" i="2" s="1"/>
  <c r="V29" i="2"/>
  <c r="V31" i="2" s="1"/>
  <c r="V32" i="2" s="1"/>
  <c r="U29" i="2"/>
  <c r="U31" i="2" s="1"/>
  <c r="U32" i="2" s="1"/>
  <c r="S29" i="2"/>
  <c r="S31" i="2" s="1"/>
  <c r="S32" i="2" s="1"/>
  <c r="R29" i="2"/>
  <c r="R31" i="2" s="1"/>
  <c r="R32" i="2" s="1"/>
  <c r="Q29" i="2"/>
  <c r="Q31" i="2" s="1"/>
  <c r="Q32" i="2" s="1"/>
  <c r="O29" i="2"/>
  <c r="O31" i="2" s="1"/>
  <c r="N29" i="2"/>
  <c r="N31" i="2" s="1"/>
  <c r="M29" i="2"/>
  <c r="M31" i="2" s="1"/>
  <c r="K29" i="2"/>
  <c r="K31" i="2" s="1"/>
  <c r="K32" i="2" s="1"/>
  <c r="J29" i="2"/>
  <c r="J31" i="2" s="1"/>
  <c r="J32" i="2" s="1"/>
  <c r="I29" i="2"/>
  <c r="I31" i="2" s="1"/>
  <c r="I32" i="2" s="1"/>
  <c r="H29" i="2"/>
  <c r="X28" i="2"/>
  <c r="L28" i="2"/>
  <c r="X27" i="2"/>
  <c r="L27" i="2"/>
  <c r="P27" i="2" s="1"/>
  <c r="L26" i="2"/>
  <c r="P26" i="2" s="1"/>
  <c r="T26" i="2" s="1"/>
  <c r="X26" i="2" s="1"/>
  <c r="L25" i="2"/>
  <c r="P25" i="2" s="1"/>
  <c r="T25" i="2" s="1"/>
  <c r="X25" i="2" s="1"/>
  <c r="L24" i="2"/>
  <c r="P24" i="2" s="1"/>
  <c r="T24" i="2" s="1"/>
  <c r="X24" i="2" s="1"/>
  <c r="P23" i="2"/>
  <c r="T23" i="2" s="1"/>
  <c r="X23" i="2" s="1"/>
  <c r="L23" i="2"/>
  <c r="T22" i="2"/>
  <c r="X22" i="2" s="1"/>
  <c r="P22" i="2"/>
  <c r="L22" i="2"/>
  <c r="P21" i="2"/>
  <c r="T21" i="2" s="1"/>
  <c r="X21" i="2" s="1"/>
  <c r="L21" i="2"/>
  <c r="L29" i="2" s="1"/>
  <c r="L20" i="2"/>
  <c r="P20" i="2" s="1"/>
  <c r="J19" i="2"/>
  <c r="K19" i="2" s="1"/>
  <c r="X16" i="2"/>
  <c r="T16" i="2"/>
  <c r="W12" i="2"/>
  <c r="V12" i="2"/>
  <c r="U12" i="2"/>
  <c r="S12" i="2"/>
  <c r="R12" i="2"/>
  <c r="Q12" i="2"/>
  <c r="O12" i="2"/>
  <c r="N12" i="2"/>
  <c r="M12" i="2"/>
  <c r="K12" i="2"/>
  <c r="J12" i="2"/>
  <c r="I12" i="2"/>
  <c r="P11" i="2"/>
  <c r="T11" i="2" s="1"/>
  <c r="H10" i="2"/>
  <c r="H12" i="2" s="1"/>
  <c r="G10" i="2"/>
  <c r="L9" i="2"/>
  <c r="P9" i="2" s="1"/>
  <c r="T9" i="2" s="1"/>
  <c r="X9" i="2" s="1"/>
  <c r="P8" i="2"/>
  <c r="T8" i="2" s="1"/>
  <c r="X8" i="2" s="1"/>
  <c r="L8" i="2"/>
  <c r="L7" i="2"/>
  <c r="P7" i="2" s="1"/>
  <c r="T7" i="2" s="1"/>
  <c r="X7" i="2" s="1"/>
  <c r="P6" i="2"/>
  <c r="T6" i="2" s="1"/>
  <c r="X6" i="2" s="1"/>
  <c r="L6" i="2"/>
  <c r="L5" i="2"/>
  <c r="P4" i="2"/>
  <c r="L4" i="2"/>
  <c r="L14" i="2" s="1"/>
  <c r="L15" i="2" s="1"/>
  <c r="J3" i="2"/>
  <c r="K3" i="2" s="1"/>
  <c r="A2" i="2"/>
  <c r="J17" i="1" l="1"/>
  <c r="J22" i="1" s="1"/>
  <c r="I113" i="3"/>
  <c r="I86" i="3"/>
  <c r="I110" i="3" s="1"/>
  <c r="AD72" i="3"/>
  <c r="L3" i="3"/>
  <c r="K108" i="3"/>
  <c r="M3" i="3"/>
  <c r="P7" i="3"/>
  <c r="AD5" i="3"/>
  <c r="Y67" i="3"/>
  <c r="AD67" i="3"/>
  <c r="I89" i="3"/>
  <c r="J89" i="3" s="1"/>
  <c r="K89" i="3" s="1"/>
  <c r="AD14" i="3"/>
  <c r="AD22" i="3"/>
  <c r="AD37" i="3"/>
  <c r="AD76" i="3"/>
  <c r="AD34" i="3"/>
  <c r="J113" i="3"/>
  <c r="J86" i="3"/>
  <c r="J110" i="3" s="1"/>
  <c r="J126" i="3" s="1"/>
  <c r="I90" i="3"/>
  <c r="J90" i="3" s="1"/>
  <c r="K90" i="3" s="1"/>
  <c r="K102" i="3" s="1"/>
  <c r="P69" i="3"/>
  <c r="P84" i="3" s="1"/>
  <c r="AD21" i="3"/>
  <c r="L41" i="3"/>
  <c r="P55" i="3"/>
  <c r="AD54" i="3"/>
  <c r="AD6" i="3"/>
  <c r="Y6" i="3"/>
  <c r="AD18" i="3"/>
  <c r="AD28" i="3"/>
  <c r="AD68" i="3"/>
  <c r="P15" i="3"/>
  <c r="AD15" i="3" s="1"/>
  <c r="P19" i="3"/>
  <c r="AD19" i="3" s="1"/>
  <c r="P23" i="3"/>
  <c r="AD23" i="3" s="1"/>
  <c r="P29" i="3"/>
  <c r="P87" i="3" s="1"/>
  <c r="P91" i="3" s="1"/>
  <c r="P36" i="3"/>
  <c r="AD36" i="3" s="1"/>
  <c r="P40" i="3"/>
  <c r="AD40" i="3" s="1"/>
  <c r="P65" i="3"/>
  <c r="AD65" i="3" s="1"/>
  <c r="N84" i="3"/>
  <c r="N120" i="3" s="1"/>
  <c r="M85" i="3"/>
  <c r="M109" i="3" s="1"/>
  <c r="K87" i="3"/>
  <c r="K111" i="3" s="1"/>
  <c r="H91" i="3"/>
  <c r="I91" i="3" s="1"/>
  <c r="J91" i="3" s="1"/>
  <c r="K91" i="3" s="1"/>
  <c r="J108" i="3"/>
  <c r="J112" i="3"/>
  <c r="AB32" i="3"/>
  <c r="AD42" i="3"/>
  <c r="AD57" i="3"/>
  <c r="N85" i="3"/>
  <c r="N109" i="3" s="1"/>
  <c r="M86" i="3"/>
  <c r="M110" i="3" s="1"/>
  <c r="K112" i="3"/>
  <c r="K126" i="3" s="1"/>
  <c r="N113" i="3"/>
  <c r="I119" i="3"/>
  <c r="I123" i="3"/>
  <c r="AC32" i="3"/>
  <c r="AD32" i="3" s="1"/>
  <c r="P71" i="3"/>
  <c r="AD71" i="3" s="1"/>
  <c r="O85" i="3"/>
  <c r="O109" i="3" s="1"/>
  <c r="M87" i="3"/>
  <c r="M111" i="3" s="1"/>
  <c r="O113" i="3"/>
  <c r="J119" i="3"/>
  <c r="J123" i="3"/>
  <c r="L7" i="3"/>
  <c r="H85" i="3"/>
  <c r="N87" i="3"/>
  <c r="N111" i="3" s="1"/>
  <c r="N128" i="3" s="1"/>
  <c r="P13" i="3"/>
  <c r="L38" i="3"/>
  <c r="P48" i="3"/>
  <c r="P50" i="3" s="1"/>
  <c r="P51" i="3"/>
  <c r="P59" i="3"/>
  <c r="P61" i="3"/>
  <c r="I85" i="3"/>
  <c r="I109" i="3" s="1"/>
  <c r="H86" i="3"/>
  <c r="O87" i="3"/>
  <c r="O111" i="3" s="1"/>
  <c r="M123" i="3"/>
  <c r="P11" i="3"/>
  <c r="K86" i="3"/>
  <c r="K110" i="3" s="1"/>
  <c r="P12" i="2"/>
  <c r="M19" i="2"/>
  <c r="N19" i="2" s="1"/>
  <c r="O19" i="2" s="1"/>
  <c r="Q19" i="2" s="1"/>
  <c r="R19" i="2" s="1"/>
  <c r="S19" i="2" s="1"/>
  <c r="U19" i="2" s="1"/>
  <c r="V19" i="2" s="1"/>
  <c r="W19" i="2" s="1"/>
  <c r="L19" i="2"/>
  <c r="P29" i="2"/>
  <c r="T20" i="2"/>
  <c r="Q34" i="2"/>
  <c r="P34" i="2"/>
  <c r="P36" i="2" s="1"/>
  <c r="M3" i="2"/>
  <c r="N3" i="2" s="1"/>
  <c r="O3" i="2" s="1"/>
  <c r="Q3" i="2" s="1"/>
  <c r="R3" i="2" s="1"/>
  <c r="S3" i="2" s="1"/>
  <c r="U3" i="2" s="1"/>
  <c r="V3" i="2" s="1"/>
  <c r="W3" i="2" s="1"/>
  <c r="L3" i="2"/>
  <c r="J36" i="2"/>
  <c r="K34" i="2"/>
  <c r="K36" i="2" s="1"/>
  <c r="P5" i="2"/>
  <c r="T5" i="2" s="1"/>
  <c r="X5" i="2" s="1"/>
  <c r="I36" i="2"/>
  <c r="T4" i="2"/>
  <c r="L10" i="2"/>
  <c r="P10" i="2" s="1"/>
  <c r="T10" i="2" s="1"/>
  <c r="X10" i="2" s="1"/>
  <c r="Q14" i="2"/>
  <c r="H14" i="2"/>
  <c r="P26" i="3" l="1"/>
  <c r="AD13" i="3"/>
  <c r="L90" i="3"/>
  <c r="M90" i="3" s="1"/>
  <c r="N90" i="3" s="1"/>
  <c r="O90" i="3" s="1"/>
  <c r="L86" i="3"/>
  <c r="L85" i="3"/>
  <c r="L89" i="3"/>
  <c r="M126" i="3"/>
  <c r="J102" i="3"/>
  <c r="P89" i="3"/>
  <c r="M108" i="3"/>
  <c r="N3" i="3"/>
  <c r="K128" i="3"/>
  <c r="I102" i="3"/>
  <c r="P62" i="3"/>
  <c r="AD61" i="3"/>
  <c r="T67" i="3"/>
  <c r="U67" i="3" s="1"/>
  <c r="V67" i="3" s="1"/>
  <c r="W67" i="3" s="1"/>
  <c r="R66" i="3"/>
  <c r="T61" i="3"/>
  <c r="U61" i="3" s="1"/>
  <c r="V61" i="3" s="1"/>
  <c r="W61" i="3" s="1"/>
  <c r="T59" i="3"/>
  <c r="U59" i="3" s="1"/>
  <c r="V59" i="3" s="1"/>
  <c r="W59" i="3" s="1"/>
  <c r="R54" i="3"/>
  <c r="T51" i="3"/>
  <c r="U51" i="3" s="1"/>
  <c r="V51" i="3" s="1"/>
  <c r="W51" i="3" s="1"/>
  <c r="R37" i="3"/>
  <c r="T25" i="3"/>
  <c r="U25" i="3" s="1"/>
  <c r="V25" i="3" s="1"/>
  <c r="W25" i="3" s="1"/>
  <c r="R24" i="3"/>
  <c r="T21" i="3"/>
  <c r="U21" i="3" s="1"/>
  <c r="V21" i="3" s="1"/>
  <c r="W21" i="3" s="1"/>
  <c r="R20" i="3"/>
  <c r="T17" i="3"/>
  <c r="U17" i="3" s="1"/>
  <c r="V17" i="3" s="1"/>
  <c r="W17" i="3" s="1"/>
  <c r="R16" i="3"/>
  <c r="T13" i="3"/>
  <c r="U13" i="3" s="1"/>
  <c r="V13" i="3" s="1"/>
  <c r="W13" i="3" s="1"/>
  <c r="T5" i="3"/>
  <c r="U5" i="3" s="1"/>
  <c r="V5" i="3" s="1"/>
  <c r="W5" i="3" s="1"/>
  <c r="T75" i="3"/>
  <c r="U75" i="3" s="1"/>
  <c r="V75" i="3" s="1"/>
  <c r="W75" i="3" s="1"/>
  <c r="R57" i="3"/>
  <c r="R46" i="3"/>
  <c r="R42" i="3"/>
  <c r="T39" i="3"/>
  <c r="U39" i="3" s="1"/>
  <c r="V39" i="3" s="1"/>
  <c r="W39" i="3" s="1"/>
  <c r="R38" i="3"/>
  <c r="T34" i="3"/>
  <c r="U34" i="3" s="1"/>
  <c r="V34" i="3" s="1"/>
  <c r="W34" i="3" s="1"/>
  <c r="R33" i="3"/>
  <c r="T28" i="3"/>
  <c r="U28" i="3" s="1"/>
  <c r="V28" i="3" s="1"/>
  <c r="W28" i="3" s="1"/>
  <c r="T9" i="3"/>
  <c r="U9" i="3" s="1"/>
  <c r="V9" i="3" s="1"/>
  <c r="W9" i="3" s="1"/>
  <c r="R75" i="3"/>
  <c r="T68" i="3"/>
  <c r="U68" i="3" s="1"/>
  <c r="V68" i="3" s="1"/>
  <c r="W68" i="3" s="1"/>
  <c r="R67" i="3"/>
  <c r="T64" i="3"/>
  <c r="U64" i="3" s="1"/>
  <c r="V64" i="3" s="1"/>
  <c r="W64" i="3" s="1"/>
  <c r="R61" i="3"/>
  <c r="R59" i="3"/>
  <c r="R51" i="3"/>
  <c r="R48" i="3"/>
  <c r="R45" i="3"/>
  <c r="R25" i="3"/>
  <c r="T22" i="3"/>
  <c r="U22" i="3" s="1"/>
  <c r="V22" i="3" s="1"/>
  <c r="W22" i="3" s="1"/>
  <c r="R21" i="3"/>
  <c r="T18" i="3"/>
  <c r="U18" i="3" s="1"/>
  <c r="V18" i="3" s="1"/>
  <c r="W18" i="3" s="1"/>
  <c r="R17" i="3"/>
  <c r="T14" i="3"/>
  <c r="U14" i="3" s="1"/>
  <c r="V14" i="3" s="1"/>
  <c r="W14" i="3" s="1"/>
  <c r="R13" i="3"/>
  <c r="T6" i="3"/>
  <c r="U6" i="3" s="1"/>
  <c r="V6" i="3" s="1"/>
  <c r="W6" i="3" s="1"/>
  <c r="R5" i="3"/>
  <c r="T71" i="3"/>
  <c r="U71" i="3" s="1"/>
  <c r="V71" i="3" s="1"/>
  <c r="W71" i="3" s="1"/>
  <c r="T35" i="3"/>
  <c r="U35" i="3" s="1"/>
  <c r="V35" i="3" s="1"/>
  <c r="W35" i="3" s="1"/>
  <c r="R34" i="3"/>
  <c r="R28" i="3"/>
  <c r="T10" i="3"/>
  <c r="U10" i="3" s="1"/>
  <c r="V10" i="3" s="1"/>
  <c r="W10" i="3" s="1"/>
  <c r="R9" i="3"/>
  <c r="T76" i="3"/>
  <c r="U76" i="3" s="1"/>
  <c r="V76" i="3" s="1"/>
  <c r="W76" i="3" s="1"/>
  <c r="R71" i="3"/>
  <c r="R68" i="3"/>
  <c r="T65" i="3"/>
  <c r="U65" i="3" s="1"/>
  <c r="V65" i="3" s="1"/>
  <c r="W65" i="3" s="1"/>
  <c r="R64" i="3"/>
  <c r="R44" i="3"/>
  <c r="T36" i="3"/>
  <c r="U36" i="3" s="1"/>
  <c r="V36" i="3" s="1"/>
  <c r="W36" i="3" s="1"/>
  <c r="R31" i="3"/>
  <c r="T23" i="3"/>
  <c r="U23" i="3" s="1"/>
  <c r="V23" i="3" s="1"/>
  <c r="W23" i="3" s="1"/>
  <c r="R22" i="3"/>
  <c r="T19" i="3"/>
  <c r="U19" i="3" s="1"/>
  <c r="V19" i="3" s="1"/>
  <c r="W19" i="3" s="1"/>
  <c r="R18" i="3"/>
  <c r="T15" i="3"/>
  <c r="U15" i="3" s="1"/>
  <c r="V15" i="3" s="1"/>
  <c r="W15" i="3" s="1"/>
  <c r="R14" i="3"/>
  <c r="R6" i="3"/>
  <c r="R76" i="3"/>
  <c r="R50" i="3"/>
  <c r="T40" i="3"/>
  <c r="U40" i="3" s="1"/>
  <c r="V40" i="3" s="1"/>
  <c r="W40" i="3" s="1"/>
  <c r="R35" i="3"/>
  <c r="T32" i="3"/>
  <c r="U32" i="3" s="1"/>
  <c r="V32" i="3" s="1"/>
  <c r="W32" i="3" s="1"/>
  <c r="R10" i="3"/>
  <c r="T72" i="3"/>
  <c r="U72" i="3" s="1"/>
  <c r="V72" i="3" s="1"/>
  <c r="W72" i="3" s="1"/>
  <c r="T66" i="3"/>
  <c r="U66" i="3" s="1"/>
  <c r="V66" i="3" s="1"/>
  <c r="W66" i="3" s="1"/>
  <c r="R65" i="3"/>
  <c r="T54" i="3"/>
  <c r="U54" i="3" s="1"/>
  <c r="V54" i="3" s="1"/>
  <c r="W54" i="3" s="1"/>
  <c r="T37" i="3"/>
  <c r="U37" i="3" s="1"/>
  <c r="V37" i="3" s="1"/>
  <c r="W37" i="3" s="1"/>
  <c r="R36" i="3"/>
  <c r="R30" i="3"/>
  <c r="T24" i="3"/>
  <c r="U24" i="3" s="1"/>
  <c r="V24" i="3" s="1"/>
  <c r="W24" i="3" s="1"/>
  <c r="R23" i="3"/>
  <c r="T20" i="3"/>
  <c r="U20" i="3" s="1"/>
  <c r="V20" i="3" s="1"/>
  <c r="W20" i="3" s="1"/>
  <c r="R19" i="3"/>
  <c r="T16" i="3"/>
  <c r="U16" i="3" s="1"/>
  <c r="V16" i="3" s="1"/>
  <c r="W16" i="3" s="1"/>
  <c r="R15" i="3"/>
  <c r="R12" i="3"/>
  <c r="R72" i="3"/>
  <c r="T57" i="3"/>
  <c r="U57" i="3" s="1"/>
  <c r="V57" i="3" s="1"/>
  <c r="W57" i="3" s="1"/>
  <c r="R49" i="3"/>
  <c r="T46" i="3"/>
  <c r="U46" i="3" s="1"/>
  <c r="V46" i="3" s="1"/>
  <c r="W46" i="3" s="1"/>
  <c r="T42" i="3"/>
  <c r="U42" i="3" s="1"/>
  <c r="V42" i="3" s="1"/>
  <c r="W42" i="3" s="1"/>
  <c r="T38" i="3"/>
  <c r="U38" i="3" s="1"/>
  <c r="V38" i="3" s="1"/>
  <c r="T33" i="3"/>
  <c r="U33" i="3" s="1"/>
  <c r="V33" i="3" s="1"/>
  <c r="W33" i="3" s="1"/>
  <c r="R32" i="3"/>
  <c r="P60" i="3"/>
  <c r="Y60" i="3" s="1"/>
  <c r="AD59" i="3"/>
  <c r="P52" i="3"/>
  <c r="AD51" i="3"/>
  <c r="O126" i="3"/>
  <c r="J128" i="3"/>
  <c r="M128" i="3"/>
  <c r="M91" i="3"/>
  <c r="N91" i="3" s="1"/>
  <c r="O91" i="3" s="1"/>
  <c r="I126" i="3"/>
  <c r="P38" i="3"/>
  <c r="W38" i="3"/>
  <c r="P41" i="3"/>
  <c r="N126" i="3"/>
  <c r="I128" i="3"/>
  <c r="T12" i="2"/>
  <c r="X4" i="2"/>
  <c r="X12" i="2" s="1"/>
  <c r="T29" i="2"/>
  <c r="X20" i="2"/>
  <c r="X29" i="2" s="1"/>
  <c r="R34" i="2"/>
  <c r="Q36" i="2"/>
  <c r="I14" i="2"/>
  <c r="H15" i="2"/>
  <c r="P31" i="2"/>
  <c r="R14" i="2"/>
  <c r="Q16" i="2"/>
  <c r="P14" i="2"/>
  <c r="P16" i="2" s="1"/>
  <c r="L12" i="2"/>
  <c r="L31" i="2" s="1"/>
  <c r="P90" i="3" l="1"/>
  <c r="P86" i="3"/>
  <c r="Y38" i="3"/>
  <c r="AD38" i="3"/>
  <c r="M89" i="3"/>
  <c r="L102" i="3"/>
  <c r="N108" i="3"/>
  <c r="O3" i="3"/>
  <c r="O108" i="3" s="1"/>
  <c r="X31" i="2"/>
  <c r="I16" i="2"/>
  <c r="J14" i="2"/>
  <c r="S34" i="2"/>
  <c r="R36" i="2"/>
  <c r="T31" i="2"/>
  <c r="R16" i="2"/>
  <c r="S14" i="2"/>
  <c r="N89" i="3" l="1"/>
  <c r="M102" i="3"/>
  <c r="U14" i="2"/>
  <c r="S16" i="2"/>
  <c r="U34" i="2"/>
  <c r="S36" i="2"/>
  <c r="J16" i="2"/>
  <c r="K14" i="2"/>
  <c r="K16" i="2" s="1"/>
  <c r="O89" i="3" l="1"/>
  <c r="O102" i="3" s="1"/>
  <c r="N102" i="3"/>
  <c r="U16" i="2"/>
  <c r="V14" i="2"/>
  <c r="U36" i="2"/>
  <c r="V34" i="2"/>
  <c r="V16" i="2" l="1"/>
  <c r="W14" i="2"/>
  <c r="W16" i="2" s="1"/>
  <c r="W34" i="2"/>
  <c r="W36" i="2" s="1"/>
  <c r="V36" i="2"/>
  <c r="I10" i="1" l="1"/>
  <c r="H10" i="1"/>
  <c r="G10" i="1"/>
  <c r="F10" i="1"/>
  <c r="J8" i="1"/>
  <c r="J7" i="1"/>
  <c r="J6" i="1"/>
  <c r="H3" i="1"/>
  <c r="I3" i="1" s="1"/>
  <c r="A2" i="1"/>
  <c r="J3" i="1" l="1"/>
  <c r="J10" i="1"/>
  <c r="J24" i="1" s="1"/>
</calcChain>
</file>

<file path=xl/comments1.xml><?xml version="1.0" encoding="utf-8"?>
<comments xmlns="http://schemas.openxmlformats.org/spreadsheetml/2006/main">
  <authors>
    <author>Andrew Hubbard</author>
  </authors>
  <commentList>
    <comment ref="O26" authorId="0">
      <text>
        <r>
          <rPr>
            <b/>
            <sz val="9"/>
            <color indexed="81"/>
            <rFont val="Tahoma"/>
            <family val="2"/>
          </rPr>
          <t>Andrew Hubbard:</t>
        </r>
        <r>
          <rPr>
            <sz val="9"/>
            <color indexed="81"/>
            <rFont val="Tahoma"/>
            <family val="2"/>
          </rPr>
          <t xml:space="preserve">
Amorization should have started in June. Did 7 months of amorization for Dec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Andrew Hubbard:</t>
        </r>
        <r>
          <rPr>
            <sz val="9"/>
            <color indexed="81"/>
            <rFont val="Tahoma"/>
            <family val="2"/>
          </rPr>
          <t xml:space="preserve">
Amorization should have started in June. Did 7 months of amorization for Dec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Andrew Hubbard:</t>
        </r>
        <r>
          <rPr>
            <sz val="9"/>
            <color indexed="81"/>
            <rFont val="Tahoma"/>
            <family val="2"/>
          </rPr>
          <t xml:space="preserve">
Amorization should have started in June. Did 7 months of amorization for Dec</t>
        </r>
      </text>
    </comment>
  </commentList>
</comments>
</file>

<file path=xl/sharedStrings.xml><?xml version="1.0" encoding="utf-8"?>
<sst xmlns="http://schemas.openxmlformats.org/spreadsheetml/2006/main" count="623" uniqueCount="370">
  <si>
    <t>DATE</t>
  </si>
  <si>
    <t>BALANCE @</t>
  </si>
  <si>
    <t>A/C #</t>
  </si>
  <si>
    <t>GL DATE</t>
  </si>
  <si>
    <t>CHECK DATE</t>
  </si>
  <si>
    <t>DESCRIPTION</t>
  </si>
  <si>
    <t>FROM</t>
  </si>
  <si>
    <t>TO</t>
  </si>
  <si>
    <t>PAID</t>
  </si>
  <si>
    <t>BALANCE</t>
  </si>
  <si>
    <t>DIRECTORS &amp; OFFICERS</t>
  </si>
  <si>
    <t>old cyber policy*</t>
  </si>
  <si>
    <t>MCGRIFF, SEIBELS &amp; WILLIAMS</t>
  </si>
  <si>
    <t>POLLUTION LIABILITY</t>
  </si>
  <si>
    <t>MCGRIFF, SEIBELS &amp; WILLIAMS RUNOFF PREMIUM</t>
  </si>
  <si>
    <t>Berkshire Life Insurance</t>
  </si>
  <si>
    <t>1.923.05</t>
  </si>
  <si>
    <t>difference per a hubbard</t>
  </si>
  <si>
    <t>Annual PSC Assessement</t>
  </si>
  <si>
    <t>S&amp;P Global</t>
  </si>
  <si>
    <t>Platts</t>
  </si>
  <si>
    <t>Flowcal</t>
  </si>
  <si>
    <t>Computer &amp; software Maint</t>
  </si>
  <si>
    <t>Accounting &amp; auditing services</t>
  </si>
  <si>
    <t>SAP Maintence (Delta Share)</t>
  </si>
  <si>
    <t>UtiliSphere</t>
  </si>
  <si>
    <t>BlackLine</t>
  </si>
  <si>
    <t>SAP America, Inc.Credit</t>
  </si>
  <si>
    <t>Contractor Services</t>
  </si>
  <si>
    <t>Period 1 Control</t>
  </si>
  <si>
    <t>Period 2 Control</t>
  </si>
  <si>
    <t>Balance</t>
  </si>
  <si>
    <t>Out of</t>
  </si>
  <si>
    <t>Duration</t>
  </si>
  <si>
    <t>Months</t>
  </si>
  <si>
    <t>Projected</t>
  </si>
  <si>
    <t xml:space="preserve">WORKMEN'S COMP </t>
  </si>
  <si>
    <t xml:space="preserve"> </t>
  </si>
  <si>
    <t>Period</t>
  </si>
  <si>
    <t>(months)</t>
  </si>
  <si>
    <t>Amortized</t>
  </si>
  <si>
    <t>Amortization</t>
  </si>
  <si>
    <t>Prepaid</t>
  </si>
  <si>
    <t>Difference</t>
  </si>
  <si>
    <t>LIBERTY MUTUAL INSURANCE</t>
  </si>
  <si>
    <t>ACORDIA (G/L)</t>
  </si>
  <si>
    <t>GENERAL LIABILITY</t>
  </si>
  <si>
    <t>PREPAID INSURANCE BILLS</t>
  </si>
  <si>
    <t>BROKER SERVICE AGREEMENT FEE</t>
  </si>
  <si>
    <t>CYBER SECURITY</t>
  </si>
  <si>
    <t>COMMERCIAL CRIME</t>
  </si>
  <si>
    <t>EMPLOYEE PRACTICES LIAB AND FIDUCIARY LIAB</t>
  </si>
  <si>
    <t>EXCESS DIRECTORS &amp; OFFICERS</t>
  </si>
  <si>
    <t>SIMPLIFIED COMMERCIAL PROPERTY</t>
  </si>
  <si>
    <t>EXCESS LIABILITY - AEGIS</t>
  </si>
  <si>
    <t>INLAND MARINE RENEWAL PREMIUM</t>
  </si>
  <si>
    <t>SIDE A DIC DIRECTORS  &amp; OFFICERS</t>
  </si>
  <si>
    <t>John Hancock/USA Life</t>
  </si>
  <si>
    <t>WELLS FARGO</t>
  </si>
  <si>
    <t>CONTROL OF WELLS</t>
  </si>
  <si>
    <t>Software Informatioon Systems</t>
  </si>
  <si>
    <t>Workiva</t>
  </si>
  <si>
    <t>Allegro Software Support</t>
  </si>
  <si>
    <t>Blackline</t>
  </si>
  <si>
    <t>PowerPlan</t>
  </si>
  <si>
    <t>1.923.04</t>
  </si>
  <si>
    <t>Carl Cox</t>
  </si>
  <si>
    <t>1.926.05</t>
  </si>
  <si>
    <t>SALARY CONTINUATION - Berkshire Life</t>
  </si>
  <si>
    <t>Long-term Disability</t>
  </si>
  <si>
    <t>1.926.02</t>
  </si>
  <si>
    <t>PENSION</t>
  </si>
  <si>
    <t>1.932.05</t>
  </si>
  <si>
    <t>Software Informatioon Systems - IBM Power 720</t>
  </si>
  <si>
    <t>1.928.00</t>
  </si>
  <si>
    <t>STATE OF KY PSC ASSESSMENT</t>
  </si>
  <si>
    <t>1.184.03</t>
  </si>
  <si>
    <t>1.903.02</t>
  </si>
  <si>
    <t>1.932.01</t>
  </si>
  <si>
    <t>1.926.03</t>
  </si>
  <si>
    <t>EMPLOYEE 401 K PLAN - TRUSTEE FEE</t>
  </si>
  <si>
    <t xml:space="preserve">Central Forms -Postage prepaid in July 2011 - This will be a prepaid postage that will remain until we cease to do business with Central Forms. At that point we will get a refund. </t>
  </si>
  <si>
    <t>7/1/11</t>
  </si>
  <si>
    <t>no expiration date</t>
  </si>
  <si>
    <t>Central Forms Postage Refund received March 2016</t>
  </si>
  <si>
    <t>Bluegrass Integrated Communications</t>
  </si>
  <si>
    <t>5/1/16</t>
  </si>
  <si>
    <t>1.921.01</t>
  </si>
  <si>
    <t>July 2013</t>
  </si>
  <si>
    <t>Unified Technologies - Part coded to 1.921.01 and the other to 1.880.02 -</t>
  </si>
  <si>
    <t xml:space="preserve">Unified Technologies - Part coded to 1.921.01 and the other to 1.880.02 - </t>
  </si>
  <si>
    <t>1.880.02</t>
  </si>
  <si>
    <t>RECLASSED PREPAID A/P BALANCE TO PREPAID</t>
  </si>
  <si>
    <t>RECLASSED MAR CLEARING DEBIT BALANCE TO PREPAID</t>
  </si>
  <si>
    <t>A/C 1.165.05 - RELIEF IN MONTH</t>
  </si>
  <si>
    <t>A/C 1.165.00 - RELIEF IN MONTH</t>
  </si>
  <si>
    <t>A/C 5.165.00 - RELIFED IN MONTH</t>
  </si>
  <si>
    <t>BALANCE PER W/S 1.165.05</t>
  </si>
  <si>
    <t>BALANCE PER W/S 1.165.00</t>
  </si>
  <si>
    <t>BALANCE PER W/S 5.165.00</t>
  </si>
  <si>
    <t>AR</t>
  </si>
  <si>
    <t>G/L ENTRY 1.165.05</t>
  </si>
  <si>
    <t>G/L ENTRY 1.165.00</t>
  </si>
  <si>
    <t>AP 1.165.05</t>
  </si>
  <si>
    <t>AP 1.165</t>
  </si>
  <si>
    <t>AP 5.165</t>
  </si>
  <si>
    <t>BALANCE PER GENERAL LEDGER 1.165.05</t>
  </si>
  <si>
    <t>BALANCE PER GENERAL LEDGER 1.165.00</t>
  </si>
  <si>
    <t>BALANCE PER GENERAL LEDGER 5.165.00</t>
  </si>
  <si>
    <t>CHECK ANY DIFFERENCE HERE</t>
  </si>
  <si>
    <t>JOURNAL ENTRY 87</t>
  </si>
  <si>
    <t>1.165.05</t>
  </si>
  <si>
    <t>1.923.01</t>
  </si>
  <si>
    <t>TOTAL</t>
  </si>
  <si>
    <t>Control</t>
  </si>
  <si>
    <t>Annual PSC assesment</t>
  </si>
  <si>
    <t>UtiliSphere-cloud storage</t>
  </si>
  <si>
    <t>Insurance</t>
  </si>
  <si>
    <t>Life insurance</t>
  </si>
  <si>
    <t>Computer software</t>
  </si>
  <si>
    <t>Computer maintence</t>
  </si>
  <si>
    <t>Total</t>
  </si>
  <si>
    <t>Current Assets</t>
  </si>
  <si>
    <t>Cash</t>
  </si>
  <si>
    <t>1.131.010 CASH OWINGSVILLE</t>
  </si>
  <si>
    <t>1.131.020 CASH BEREA</t>
  </si>
  <si>
    <t>1.131.030 CASH NICHOLASVILLE</t>
  </si>
  <si>
    <t>1.131.100 CASH MIDDLESBORO</t>
  </si>
  <si>
    <t>1.131.110 CASH CORBIN</t>
  </si>
  <si>
    <t>1.131.200 CASH WINCHESTER</t>
  </si>
  <si>
    <t>1.131.220 CASH EFT BEREA NATIONAL</t>
  </si>
  <si>
    <t>1.135.010 WORKING FUNDS OWINGSVILLE</t>
  </si>
  <si>
    <t>1.135.020 WORKING FUNDS BEREA</t>
  </si>
  <si>
    <t>1.135.030 WORKING FUNDS NICHOLASVILLE</t>
  </si>
  <si>
    <t>1.135.100 WORKING FUNDS MIDDLESBORO</t>
  </si>
  <si>
    <t>1.135.110 WORKING FUNDS CORBIN</t>
  </si>
  <si>
    <t>1.135.200 WORKING FUNDS WINCHESTER</t>
  </si>
  <si>
    <t>1.131.210 CASH GENERAL ACCOUNT</t>
  </si>
  <si>
    <t>Net accounts receivable</t>
  </si>
  <si>
    <t>Accounts receivable</t>
  </si>
  <si>
    <t>1.123.000 INVESTMENT IN OTHERS</t>
  </si>
  <si>
    <t>1.142.000 CUSTOMER ACCOUNTS RECEIVABLE</t>
  </si>
  <si>
    <t>1.142.010 MISC ACCOUNTS RECEIVABLE-BRANCHES</t>
  </si>
  <si>
    <t>1.142.011 MISC ACCOUNTS RECEIVABLE (MAR)</t>
  </si>
  <si>
    <t>1.142.012 ACCOUNTS RECEIVABLE TRANSPORTATION</t>
  </si>
  <si>
    <t>1.142.020 RECEIVABLE FROM EA AGENCY - BEREA</t>
  </si>
  <si>
    <t>1.142.040 RECEIVABLE FROM EA AGENCY - NICHOLASVILLE</t>
  </si>
  <si>
    <t>1.142.050 RECEIVABLE FROM EA AGENCY - MIDDLESBORO</t>
  </si>
  <si>
    <t>1.142.060 RECEIVABLE FROM EA AGENCY - CORBIN</t>
  </si>
  <si>
    <t>1.173.010 ACCRUED UNBILLED REVENUE</t>
  </si>
  <si>
    <t>1.142.030 RECEIVABLE FROM EA AGENCY - OWINGSVILLE</t>
  </si>
  <si>
    <t>Less accumulated provision for doubtful accounts</t>
  </si>
  <si>
    <t>1.144.000 PROVISION FOR UNCOLLECTIBLES</t>
  </si>
  <si>
    <t>Gas in storage, at average cost</t>
  </si>
  <si>
    <t>1.164.030 STORAGE GAS - CANADA MT</t>
  </si>
  <si>
    <t>1.164.031 STORAGE GAS RESERVE</t>
  </si>
  <si>
    <t>Deferred gas cost</t>
  </si>
  <si>
    <t>1.191.000 UNRECOVERED PURCHASED GAS COST</t>
  </si>
  <si>
    <t>1.192.000 ACTUAL ADJUSTMENT GAS COSTS</t>
  </si>
  <si>
    <t>1.193.000 BALANCE ADJUSTMENT GAS COSTS</t>
  </si>
  <si>
    <t>1.194.000 DEFERRED UNBILLED GAS COSTS</t>
  </si>
  <si>
    <t>Materials and supplies</t>
  </si>
  <si>
    <t>1.154.000 INVENTORY</t>
  </si>
  <si>
    <t>1.184.030 TRANSP EQUIP OPER &amp; MNT COST</t>
  </si>
  <si>
    <t>1.184.050 TRANSPORTATION EXPENSE CLEARED</t>
  </si>
  <si>
    <t>1.184.080 WORK EQUIPMENT OPER &amp; MNT COST</t>
  </si>
  <si>
    <t>1.184.090 WORK EQUIPMENT EXPENSE CLEARED</t>
  </si>
  <si>
    <t>1.184.040 NON OWNED VEHICLE EXPENSE</t>
  </si>
  <si>
    <t>Prepayments</t>
  </si>
  <si>
    <t>1.165.000 PREPAYMENTS</t>
  </si>
  <si>
    <t>1.165.010 PREPAYMENT-INTRASOURCE INC.</t>
  </si>
  <si>
    <t>1.165.030 PREPAID UNDELIVERED GAS</t>
  </si>
  <si>
    <t>1.165.050 PREPAID INSURANCE</t>
  </si>
  <si>
    <t>1.184.010 A/P - MAR CLEARING</t>
  </si>
  <si>
    <t>1.184.120 WAGE GARNISHMENT CLEARING</t>
  </si>
  <si>
    <t>1.184.020 INA INSURANCE CLEARING</t>
  </si>
  <si>
    <t>1.184.060 MEDICAL - CLEARING</t>
  </si>
  <si>
    <t>Other Assets</t>
  </si>
  <si>
    <t>Investment in associated company</t>
  </si>
  <si>
    <t>1.123.020 INVESTMENT IN DELTA RESOURCES</t>
  </si>
  <si>
    <t>1.123.030 INVESTMENT IN DELGASCO</t>
  </si>
  <si>
    <t>1.123.050 INVESTMENT IN ENPRO</t>
  </si>
  <si>
    <t>Receivable from associated companies</t>
  </si>
  <si>
    <t>1.146.020 RECEIVABLE DELTA RESOURCES</t>
  </si>
  <si>
    <t>1.146.030 RECEIVABLE FROM DELGASCO</t>
  </si>
  <si>
    <t>1.146.050 RECEIVABLE FROM ENPRO</t>
  </si>
  <si>
    <t>Cash surrender value of officers' life insurance</t>
  </si>
  <si>
    <t>1.128.000 LIFE INSURANCE SURRENDER VALUE</t>
  </si>
  <si>
    <t>Prepaid pension cost</t>
  </si>
  <si>
    <t>1.165.020 PREPAID PENSION COST</t>
  </si>
  <si>
    <t>Regulatory assets</t>
  </si>
  <si>
    <t>1.181.071 LOSS ON EXTINGUISHMENT OF DEBT 02-01-23</t>
  </si>
  <si>
    <t>1.181.081 LOSS ON EXTINGUISHMENT OF DEBT</t>
  </si>
  <si>
    <t>1.186.030 UNRECOVERED SFAS 143 ADOPTION COSTS (ARO)</t>
  </si>
  <si>
    <t>1.186.040 UNRECOVERED PENSION EXPENSES</t>
  </si>
  <si>
    <t>1.186.120 UNAMORTIZED DSM CASE 2008</t>
  </si>
  <si>
    <t>1.186.200 UNAMORTIZED RATE CASE 2007</t>
  </si>
  <si>
    <t>1.186.600 UNRECOVERED CEP COSTS</t>
  </si>
  <si>
    <t>1.186.610 UNRECOVERED CEP REBATES</t>
  </si>
  <si>
    <t>1.186.611 UNRECOVERED CEP REBATES - LABOR</t>
  </si>
  <si>
    <t>1.186.621 UNRECOVERED ENERGY AUDITS - LABOR</t>
  </si>
  <si>
    <t>1.186.630 UNRECOVERED CEP CUSTOMER AWARENESS</t>
  </si>
  <si>
    <t>1.186.641 UNRECOVERED CEP ADMIN LABOR</t>
  </si>
  <si>
    <t>1.186.620 UNRECOVERED ENERGY AUDITS - MATERIAL</t>
  </si>
  <si>
    <t>Unamortized debt expense and other</t>
  </si>
  <si>
    <t>1.128.010 SUPPLEMENTAL RETIREMENT TRUST</t>
  </si>
  <si>
    <t>1.181.070 UNAMORT DEBT EXP DUE 02-01-23 (7%)</t>
  </si>
  <si>
    <t>1.181.080 UNAMORT DEBT EXP DUE 2021</t>
  </si>
  <si>
    <t>Net Property Plant and Equipment</t>
  </si>
  <si>
    <t>Gas utility plant in service</t>
  </si>
  <si>
    <t>1.101.000 PLANT IN SERVICE</t>
  </si>
  <si>
    <t>1.114.000 GAS PLANT ACQ ADJ - TRANEX</t>
  </si>
  <si>
    <t>1.114.010 GAS PLANT ACQ ADJ-MT OLIVET</t>
  </si>
  <si>
    <t>Construction work in progress</t>
  </si>
  <si>
    <t>1.106.010 COMPLETED CONSTRUCTION NOT CLASSIFIED</t>
  </si>
  <si>
    <t>1.107.010 CONST WORK IN PROGRESS CONTROL</t>
  </si>
  <si>
    <t>Gas Stored Underground</t>
  </si>
  <si>
    <t>1.117.000 CUSHION GAS</t>
  </si>
  <si>
    <t>Less accumulated provision for depreciation</t>
  </si>
  <si>
    <t>1.108.010 PROV FOR DEPR PLANT IN SERVICE</t>
  </si>
  <si>
    <t>1.115.000 PROV FOR AMORT ACQ ADJ - TRANEX</t>
  </si>
  <si>
    <t>1.115.010 PROV FOR AMORT ACQ ADJ-MT OLIVET</t>
  </si>
  <si>
    <t>Current Liabilities</t>
  </si>
  <si>
    <t>Accounts payable</t>
  </si>
  <si>
    <t>1.232.010 ACCOUNTS PAYABLE GENERAL</t>
  </si>
  <si>
    <t>1.232.020 ACCOUNTS PAYABLE CUSTOMERS</t>
  </si>
  <si>
    <t>1.232.060 ACCOUNTS PAYABLE GAS PURCHASES</t>
  </si>
  <si>
    <t>1.232.080 WINTERCARE PAYABLES</t>
  </si>
  <si>
    <t>1.232.090 ACCOUNTS PAYABLE FAITHFUL ESCR</t>
  </si>
  <si>
    <t>1.232.100 GAS IMBALANCES PAYABLE</t>
  </si>
  <si>
    <t>1.232.120 ACCRUED GTI</t>
  </si>
  <si>
    <t>1.232.130 ACCRUED ENERGY ASSISTANCE PROGRAM</t>
  </si>
  <si>
    <t>Notes payable</t>
  </si>
  <si>
    <t>1.231.000 NOTES PAYABLE</t>
  </si>
  <si>
    <t>Current portion of long-term debt</t>
  </si>
  <si>
    <t>1.230.020 LONG TERM DUE IN ONE YEAR</t>
  </si>
  <si>
    <t>Accrued taxes</t>
  </si>
  <si>
    <t>1.236.010 TAXES ACCRUED FEDERAL INCOME</t>
  </si>
  <si>
    <t>1.236.020 TAXES ACCRUED STATE INCOME</t>
  </si>
  <si>
    <t>1.236.030 TAXES ACCRUED SALES</t>
  </si>
  <si>
    <t>1.236.040 TAXES ACCRUED PAYROLL</t>
  </si>
  <si>
    <t>1.236.050 TAXES ACCRUED PROPERTY</t>
  </si>
  <si>
    <t>1.236.070 TAXES ACCRUED EST INCOME TAXES</t>
  </si>
  <si>
    <t>1.236.080 TAXES ACCRUED SCHOOL</t>
  </si>
  <si>
    <t>1.236.090 TAXES ACCRUED FRANCHISE</t>
  </si>
  <si>
    <t>Customers' deposits</t>
  </si>
  <si>
    <t>1.235.000 CUSTOMER SERVICE DEPOSITS</t>
  </si>
  <si>
    <t>Accrued interest on debt</t>
  </si>
  <si>
    <t>1.237.050 INTEREST ACCRUED S-T NOTES</t>
  </si>
  <si>
    <t>1.237.060 INTEREST ACCRUED CUST DEPOSITS</t>
  </si>
  <si>
    <t>1.237.080 INTEREST ACCRUED DEB 7% DUE YR 2023</t>
  </si>
  <si>
    <t>1.237.090 INTEREST ACCRUED DEB 5.75% DUE YR 2021</t>
  </si>
  <si>
    <t>Accrued vacation</t>
  </si>
  <si>
    <t>1.243.000 ACCRUED VACATION/ANNUAL LEAVE</t>
  </si>
  <si>
    <t>Other current and accrued liabilities</t>
  </si>
  <si>
    <t>Current deferred income taxes</t>
  </si>
  <si>
    <t>1.242.130 DEF INC TAX DEF GAS COST</t>
  </si>
  <si>
    <t>1.242.140 DEF INC TAX BAD DEBT RESERVE</t>
  </si>
  <si>
    <t>1.242.150 DEF INC TAX STORAGE GAS</t>
  </si>
  <si>
    <t>1.242.160 DEF INC TAX PREPAID INS</t>
  </si>
  <si>
    <t>1.242.180 DEF INC TAX IBNR</t>
  </si>
  <si>
    <t>1.242.190 DEF INC TAX PROFESSIONAL FEES</t>
  </si>
  <si>
    <t>1.242.200 DEF INC TAX CURRENT FIN 48</t>
  </si>
  <si>
    <t>1.242.210 DEF INC TAX BONUS ACCRUAL</t>
  </si>
  <si>
    <t>1.241.000 PAYROLL TAXES WITHHELD</t>
  </si>
  <si>
    <t>1.242.060 UNITED WAY DEDUCTION</t>
  </si>
  <si>
    <t>1.242.080 STOCK REINVESTMENT PLAN</t>
  </si>
  <si>
    <t>1.242.120 COMMUNITY HEALTH DEDUCTION</t>
  </si>
  <si>
    <t>1.243.010 ACCRUED OVERTIME</t>
  </si>
  <si>
    <t>1.244.010 ACCOUNTING SERVICES</t>
  </si>
  <si>
    <t>1.244.020 MEDICAL - SELF INSURED</t>
  </si>
  <si>
    <t>1.242.070 401K SAVINGS PLAN</t>
  </si>
  <si>
    <t>1.242.090 EMPLOYEE LOAN DEDUCTION</t>
  </si>
  <si>
    <t>1.242.050 MISCELLANEOUS SAVINGS</t>
  </si>
  <si>
    <t>Long-Term Debt</t>
  </si>
  <si>
    <t>1.221.080 DEBENTURES 7.000% DUE 02-01-23</t>
  </si>
  <si>
    <t>1.221.090 DEBENTURES 5.750% DUE 04-01-21</t>
  </si>
  <si>
    <t>Gross long term debt</t>
  </si>
  <si>
    <t>1.230.010 LONG TERM ONE YEAR OFFSET</t>
  </si>
  <si>
    <t>Deferred credits and other</t>
  </si>
  <si>
    <t>Deferred income taxes</t>
  </si>
  <si>
    <t>1.282.010 DEF INC TAX ACCEL DEPR</t>
  </si>
  <si>
    <t>1.282.020 DEF INC TAX PENSION PLAN</t>
  </si>
  <si>
    <t>1.282.050 ALTERNATIVE MINIMUM TAXES</t>
  </si>
  <si>
    <t>1.282.060 DEF INC TAX ANNUAL LEAVE</t>
  </si>
  <si>
    <t>1.282.070 CONSTRUCTION CONTRIBUTIONS</t>
  </si>
  <si>
    <t>1.282.100 DEF INC TAX DEBT EXPENSE</t>
  </si>
  <si>
    <t>1.282.140 DEF INC TAX ASSET RETIREMENT OBLIGATION</t>
  </si>
  <si>
    <t>1.282.170 DEF INC TAX - RATE CASE EXPENSE</t>
  </si>
  <si>
    <t>1.282.180 DEF INC TAX - COST OF REMOVAL</t>
  </si>
  <si>
    <t>1.282.200 DEF INC TAX - NON-CURRENT FIN 48</t>
  </si>
  <si>
    <t>1.283.000 DEF INC TAX - UNRECOVERED PENSION EXPENSE</t>
  </si>
  <si>
    <t>1.283.010 DEF INC TAX - REG LIABILITIES</t>
  </si>
  <si>
    <t>1.283.020 DEF INC TAX - ITC</t>
  </si>
  <si>
    <t>1.283.030 DEF INC TAX - SUPP RET</t>
  </si>
  <si>
    <t>1.283.060 DEF INC TAX - CONDITIONAL ARO REG ASSET</t>
  </si>
  <si>
    <t>1.283.070 DEF INC TAX - DELTA ARO BOOK TAX DIFF</t>
  </si>
  <si>
    <t>1.283.021 DEF INC TAX - ITC DEFERRED GROSS UP</t>
  </si>
  <si>
    <t>1.283.090 DEF INC TAX - 1993 ADOPTION APB11 DEF GROSS</t>
  </si>
  <si>
    <t>1.283.091 DEF INC TAX - 1993 ADOPTION AMORTIZATION</t>
  </si>
  <si>
    <t>1.283.092 DEF INC TAX - 1993 ADOPTION FAS 109 ADIT</t>
  </si>
  <si>
    <t>1.283.093 DEF INC TAX - 1993 ADOPTION FAS GROSS UP</t>
  </si>
  <si>
    <t>1.283.100 DEF INC TAX - 2005 KY APB11 DEFERRED GROSS</t>
  </si>
  <si>
    <t>1.283.101 DEF INC TAX - 2005 KY RATE CHANGE AMORTIZATION</t>
  </si>
  <si>
    <t>1.283.102 DEF INC TAX - 2005 KY FAS109 DEFERRED</t>
  </si>
  <si>
    <t>1.283.103 DEF INC TAX - 2005 KY FAS109 GROSS UP</t>
  </si>
  <si>
    <t>1.282.120 DEF INC TAX STORAGE GAS</t>
  </si>
  <si>
    <t>Deferred investment tax credits</t>
  </si>
  <si>
    <t>1.255.000 DEFERRED INVESTMENT TAX CREDIT</t>
  </si>
  <si>
    <t>Regulatory items</t>
  </si>
  <si>
    <t>1.108.800 COST OF REMOVAL DEPRECIATION</t>
  </si>
  <si>
    <t>1.254.010 EXCESS DIT - 1993 ADOPTION</t>
  </si>
  <si>
    <t>1.254.020 ITC GROSS UP</t>
  </si>
  <si>
    <t>1.254.030 EXCESS DIT - AMORTIZATION</t>
  </si>
  <si>
    <t>1.254.040 EXCESS DIT GROSS-UP</t>
  </si>
  <si>
    <t>1.254.050 EXCESS DIT 2005 KY RATE DEC</t>
  </si>
  <si>
    <t>1.254.060 EXCESS DIT 2005 - AMORTIZATION</t>
  </si>
  <si>
    <t>1.254.070 EXCESS DIT 2005 - GROSS UP</t>
  </si>
  <si>
    <t>Asset retirement obligations and other</t>
  </si>
  <si>
    <t>Asset retirement obligations</t>
  </si>
  <si>
    <t>1.228.031 SUPPLEMENTAL RETIREMENT PLAN LIABILITY</t>
  </si>
  <si>
    <t>1.230.000 ASSET RETIREMENT OBLIGATIONS</t>
  </si>
  <si>
    <t>1.236.110 TAXES ACCRUED NON CURRENT</t>
  </si>
  <si>
    <t>1.252.000 ADVANCES FOR CONSTRUCTION</t>
  </si>
  <si>
    <t>1.252.010 PROMISSORY NOTES-EXT AGMNT</t>
  </si>
  <si>
    <t>Other</t>
  </si>
  <si>
    <t>1.228.030 ACCUMULATED PROVISION FOR PENSIONS AND BENEFITS</t>
  </si>
  <si>
    <t>Common Shareholders' Equity</t>
  </si>
  <si>
    <t>Common shares ($1.00 par value)</t>
  </si>
  <si>
    <t>1.201.000 COMMON STOCK ISSUED $1 PAR</t>
  </si>
  <si>
    <t>Premium on common shares</t>
  </si>
  <si>
    <t>1.207.000 PREMIUMS ON COMMON STOCK</t>
  </si>
  <si>
    <t>1.214.000 CAPITAL STOCK EXPENSE</t>
  </si>
  <si>
    <t>Common Stock</t>
  </si>
  <si>
    <t>Retained earnings</t>
  </si>
  <si>
    <t>1.216.000 RETAINED EARNINGS</t>
  </si>
  <si>
    <t>Current period net income</t>
  </si>
  <si>
    <t>- 1 -</t>
  </si>
  <si>
    <t>Enpro net fixed assets</t>
  </si>
  <si>
    <t>Net unbilled impact</t>
  </si>
  <si>
    <t>tax rate</t>
  </si>
  <si>
    <t>Unbilled net of tax</t>
  </si>
  <si>
    <t>Delta regulated retained earnings</t>
  </si>
  <si>
    <t>Total Comon Equity</t>
  </si>
  <si>
    <t>Total capital</t>
  </si>
  <si>
    <t>acct#916500</t>
  </si>
  <si>
    <t>1191110 Prepaid Taxes-Federal Income Taxes</t>
  </si>
  <si>
    <t>1191120 Prepaid Taxes-State Income Taxes</t>
  </si>
  <si>
    <t xml:space="preserve"> Prepayments - Taxes</t>
  </si>
  <si>
    <t>1191210</t>
  </si>
  <si>
    <t>1191210 Prepaid Ins-Directors&amp;Officers/Fiduciary/Crime</t>
  </si>
  <si>
    <t>1191220 Prepaid Insurance - Excess Liability</t>
  </si>
  <si>
    <t>1191250 Prepaid Insur - Benefits (Health Insur-HSA)</t>
  </si>
  <si>
    <t>1191260 Prepaid Insurance - General Property</t>
  </si>
  <si>
    <t>1191280 Prepaid Insurance - Other</t>
  </si>
  <si>
    <t>1191290 Prepaid Insurance - Workers Compensation</t>
  </si>
  <si>
    <t xml:space="preserve"> Prepayments - Insurance</t>
  </si>
  <si>
    <t>1191435 Prepaid Leases</t>
  </si>
  <si>
    <t>1191440 Prepaid Postage</t>
  </si>
  <si>
    <t>1191900 Prepaid Miscellaneous</t>
  </si>
  <si>
    <t>1191910 Prepaid Maintenance Agreements</t>
  </si>
  <si>
    <t xml:space="preserve"> Prepayments - Other</t>
  </si>
  <si>
    <t xml:space="preserve">  Total Prepayments</t>
  </si>
  <si>
    <t>* PREPAID UNDELIVERED GAS was prepaid in 2009 does not appear so now, whereas there are federal and state income taxes that are prepaid now account for 394k of 605k change</t>
  </si>
  <si>
    <t>** other misc prepayments dropped by 67k from 2009, and insurance dropped 144k from 2009</t>
  </si>
  <si>
    <t>largest increases from 12.31.16:</t>
  </si>
  <si>
    <t xml:space="preserve">   compared to 2016 started using S&amp;P Platts</t>
  </si>
  <si>
    <t xml:space="preserve">   compared to 2016 started using Utilisphere</t>
  </si>
  <si>
    <t xml:space="preserve">   there was a new MCGRIFF, SEIBELS &amp; WILLIAMS policy that started in 3/2017</t>
  </si>
  <si>
    <t>overall prepayments from 12.31.2016 to 3.31.20201 have decreased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</si>
</sst>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#0"/>
    <numFmt numFmtId="167" formatCode="#,##0;\(#,##0\)"/>
    <numFmt numFmtId="168" formatCode="mmm\ d\,\ yyyy;@"/>
    <numFmt numFmtId="169" formatCode="h\:mm\:ss\ AM/PM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rgb="FF0000FF"/>
      <name val="Arial Narrow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sz val="8"/>
      <color indexed="48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9"/>
      <name val="Arial Narrow"/>
      <family val="2"/>
    </font>
    <font>
      <b/>
      <sz val="9"/>
      <color rgb="FF0000FF"/>
      <name val="Arial Narrow"/>
      <family val="2"/>
    </font>
    <font>
      <b/>
      <sz val="10"/>
      <color rgb="FF0000FF"/>
      <name val="Arial Narrow"/>
      <family val="2"/>
    </font>
    <font>
      <sz val="9"/>
      <color rgb="FF0000FF"/>
      <name val="Arial Narrow"/>
      <family val="2"/>
    </font>
    <font>
      <sz val="9"/>
      <name val="Arial Narrow"/>
      <family val="2"/>
    </font>
    <font>
      <u/>
      <sz val="8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F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</cellStyleXfs>
  <cellXfs count="309">
    <xf numFmtId="0" fontId="0" fillId="0" borderId="0" xfId="0"/>
    <xf numFmtId="0" fontId="2" fillId="0" borderId="0" xfId="2"/>
    <xf numFmtId="0" fontId="3" fillId="0" borderId="0" xfId="2" applyFont="1" applyFill="1"/>
    <xf numFmtId="0" fontId="3" fillId="0" borderId="0" xfId="2" applyFont="1"/>
    <xf numFmtId="43" fontId="3" fillId="0" borderId="0" xfId="2" applyNumberFormat="1" applyFont="1"/>
    <xf numFmtId="0" fontId="2" fillId="0" borderId="0" xfId="2" applyFont="1"/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 applyAlignment="1">
      <alignment horizontal="centerContinuous"/>
    </xf>
    <xf numFmtId="0" fontId="4" fillId="0" borderId="4" xfId="2" applyFont="1" applyBorder="1" applyAlignment="1">
      <alignment horizontal="centerContinuous"/>
    </xf>
    <xf numFmtId="43" fontId="4" fillId="0" borderId="5" xfId="3" applyFont="1" applyBorder="1" applyAlignment="1">
      <alignment horizontal="centerContinuous"/>
    </xf>
    <xf numFmtId="0" fontId="5" fillId="0" borderId="2" xfId="2" applyFont="1" applyBorder="1" applyAlignment="1">
      <alignment horizontal="center"/>
    </xf>
    <xf numFmtId="0" fontId="6" fillId="0" borderId="1" xfId="2" applyFont="1" applyFill="1" applyBorder="1"/>
    <xf numFmtId="0" fontId="6" fillId="0" borderId="6" xfId="2" applyFont="1" applyBorder="1"/>
    <xf numFmtId="0" fontId="6" fillId="0" borderId="5" xfId="2" applyFont="1" applyBorder="1"/>
    <xf numFmtId="43" fontId="4" fillId="0" borderId="2" xfId="2" applyNumberFormat="1" applyFont="1" applyBorder="1" applyAlignment="1">
      <alignment horizontal="center"/>
    </xf>
    <xf numFmtId="0" fontId="6" fillId="0" borderId="1" xfId="2" applyFont="1" applyBorder="1"/>
    <xf numFmtId="0" fontId="6" fillId="0" borderId="6" xfId="2" applyFont="1" applyFill="1" applyBorder="1"/>
    <xf numFmtId="0" fontId="6" fillId="0" borderId="5" xfId="2" applyFont="1" applyFill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7" fontId="6" fillId="0" borderId="3" xfId="2" applyNumberFormat="1" applyFont="1" applyFill="1" applyBorder="1" applyAlignment="1">
      <alignment horizontal="center"/>
    </xf>
    <xf numFmtId="17" fontId="6" fillId="0" borderId="8" xfId="2" applyNumberFormat="1" applyFont="1" applyBorder="1" applyAlignment="1">
      <alignment horizontal="center"/>
    </xf>
    <xf numFmtId="17" fontId="4" fillId="0" borderId="7" xfId="2" applyNumberFormat="1" applyFont="1" applyBorder="1" applyAlignment="1">
      <alignment horizontal="center"/>
    </xf>
    <xf numFmtId="17" fontId="6" fillId="0" borderId="3" xfId="2" applyNumberFormat="1" applyFont="1" applyBorder="1" applyAlignment="1">
      <alignment horizontal="center"/>
    </xf>
    <xf numFmtId="17" fontId="6" fillId="0" borderId="8" xfId="2" applyNumberFormat="1" applyFont="1" applyFill="1" applyBorder="1" applyAlignment="1">
      <alignment horizontal="center"/>
    </xf>
    <xf numFmtId="0" fontId="4" fillId="0" borderId="7" xfId="2" quotePrefix="1" applyFont="1" applyBorder="1" applyAlignment="1">
      <alignment horizontal="left"/>
    </xf>
    <xf numFmtId="43" fontId="4" fillId="0" borderId="7" xfId="3" applyFont="1" applyBorder="1" applyAlignment="1">
      <alignment horizontal="center"/>
    </xf>
    <xf numFmtId="17" fontId="6" fillId="0" borderId="7" xfId="2" applyNumberFormat="1" applyFont="1" applyFill="1" applyBorder="1" applyAlignment="1">
      <alignment horizontal="center"/>
    </xf>
    <xf numFmtId="17" fontId="6" fillId="0" borderId="7" xfId="2" applyNumberFormat="1" applyFont="1" applyBorder="1" applyAlignment="1">
      <alignment horizontal="center"/>
    </xf>
    <xf numFmtId="0" fontId="4" fillId="0" borderId="7" xfId="2" applyFont="1" applyFill="1" applyBorder="1" applyAlignment="1">
      <alignment horizontal="left"/>
    </xf>
    <xf numFmtId="17" fontId="4" fillId="0" borderId="7" xfId="2" applyNumberFormat="1" applyFont="1" applyFill="1" applyBorder="1"/>
    <xf numFmtId="14" fontId="4" fillId="0" borderId="7" xfId="2" applyNumberFormat="1" applyFont="1" applyFill="1" applyBorder="1"/>
    <xf numFmtId="43" fontId="4" fillId="0" borderId="7" xfId="3" applyFont="1" applyFill="1" applyBorder="1"/>
    <xf numFmtId="43" fontId="5" fillId="0" borderId="7" xfId="3" applyFont="1" applyFill="1" applyBorder="1" applyAlignment="1">
      <alignment horizontal="right"/>
    </xf>
    <xf numFmtId="43" fontId="4" fillId="0" borderId="7" xfId="3" applyNumberFormat="1" applyFont="1" applyFill="1" applyBorder="1"/>
    <xf numFmtId="43" fontId="6" fillId="0" borderId="7" xfId="3" applyFont="1" applyFill="1" applyBorder="1"/>
    <xf numFmtId="43" fontId="6" fillId="2" borderId="7" xfId="3" applyFont="1" applyFill="1" applyBorder="1"/>
    <xf numFmtId="0" fontId="2" fillId="0" borderId="0" xfId="2" applyFill="1"/>
    <xf numFmtId="0" fontId="4" fillId="0" borderId="7" xfId="2" applyFont="1" applyFill="1" applyBorder="1"/>
    <xf numFmtId="43" fontId="4" fillId="3" borderId="7" xfId="3" applyFont="1" applyFill="1" applyBorder="1"/>
    <xf numFmtId="14" fontId="4" fillId="0" borderId="7" xfId="2" applyNumberFormat="1" applyFont="1" applyFill="1" applyBorder="1" applyAlignment="1">
      <alignment horizontal="right"/>
    </xf>
    <xf numFmtId="17" fontId="4" fillId="0" borderId="7" xfId="2" quotePrefix="1" applyNumberFormat="1" applyFont="1" applyFill="1" applyBorder="1" applyAlignment="1">
      <alignment horizontal="right"/>
    </xf>
    <xf numFmtId="14" fontId="4" fillId="0" borderId="7" xfId="2" quotePrefix="1" applyNumberFormat="1" applyFont="1" applyFill="1" applyBorder="1" applyAlignment="1">
      <alignment horizontal="right"/>
    </xf>
    <xf numFmtId="43" fontId="4" fillId="0" borderId="7" xfId="3" applyFont="1" applyFill="1" applyBorder="1" applyAlignment="1">
      <alignment horizontal="center"/>
    </xf>
    <xf numFmtId="44" fontId="6" fillId="0" borderId="7" xfId="4" applyFont="1" applyFill="1" applyBorder="1" applyAlignment="1">
      <alignment horizontal="center"/>
    </xf>
    <xf numFmtId="44" fontId="6" fillId="2" borderId="7" xfId="4" applyFont="1" applyFill="1" applyBorder="1" applyAlignment="1">
      <alignment horizontal="center"/>
    </xf>
    <xf numFmtId="43" fontId="4" fillId="0" borderId="7" xfId="3" applyNumberFormat="1" applyFont="1" applyFill="1" applyBorder="1" applyAlignment="1">
      <alignment horizontal="right"/>
    </xf>
    <xf numFmtId="4" fontId="4" fillId="0" borderId="7" xfId="3" applyNumberFormat="1" applyFont="1" applyFill="1" applyBorder="1" applyAlignment="1">
      <alignment horizontal="right"/>
    </xf>
    <xf numFmtId="17" fontId="4" fillId="0" borderId="7" xfId="2" applyNumberFormat="1" applyFont="1" applyFill="1" applyBorder="1" applyAlignment="1">
      <alignment wrapText="1"/>
    </xf>
    <xf numFmtId="39" fontId="6" fillId="0" borderId="7" xfId="3" applyNumberFormat="1" applyFont="1" applyFill="1" applyBorder="1"/>
    <xf numFmtId="0" fontId="4" fillId="4" borderId="7" xfId="2" applyFont="1" applyFill="1" applyBorder="1" applyAlignment="1">
      <alignment horizontal="left"/>
    </xf>
    <xf numFmtId="0" fontId="4" fillId="4" borderId="7" xfId="2" applyFont="1" applyFill="1" applyBorder="1"/>
    <xf numFmtId="43" fontId="4" fillId="4" borderId="7" xfId="3" applyFont="1" applyFill="1" applyBorder="1"/>
    <xf numFmtId="43" fontId="6" fillId="4" borderId="7" xfId="3" applyFont="1" applyFill="1" applyBorder="1"/>
    <xf numFmtId="43" fontId="3" fillId="0" borderId="0" xfId="2" applyNumberFormat="1" applyFont="1" applyFill="1"/>
    <xf numFmtId="0" fontId="7" fillId="0" borderId="0" xfId="2" applyFont="1"/>
    <xf numFmtId="0" fontId="8" fillId="0" borderId="0" xfId="2" applyFont="1" applyFill="1"/>
    <xf numFmtId="0" fontId="8" fillId="0" borderId="0" xfId="2" applyFont="1"/>
    <xf numFmtId="43" fontId="8" fillId="0" borderId="0" xfId="2" applyNumberFormat="1" applyFont="1"/>
    <xf numFmtId="0" fontId="4" fillId="5" borderId="7" xfId="2" applyFont="1" applyFill="1" applyBorder="1"/>
    <xf numFmtId="4" fontId="4" fillId="0" borderId="7" xfId="2" applyNumberFormat="1" applyFont="1" applyFill="1" applyBorder="1"/>
    <xf numFmtId="0" fontId="7" fillId="0" borderId="0" xfId="2" applyFont="1" applyFill="1"/>
    <xf numFmtId="0" fontId="4" fillId="0" borderId="0" xfId="2" applyFont="1" applyFill="1" applyBorder="1" applyAlignment="1">
      <alignment horizontal="left"/>
    </xf>
    <xf numFmtId="43" fontId="5" fillId="2" borderId="7" xfId="3" applyFont="1" applyFill="1" applyBorder="1"/>
    <xf numFmtId="17" fontId="4" fillId="0" borderId="0" xfId="2" quotePrefix="1" applyNumberFormat="1" applyFont="1" applyFill="1" applyBorder="1" applyAlignment="1">
      <alignment horizontal="right"/>
    </xf>
    <xf numFmtId="14" fontId="4" fillId="0" borderId="0" xfId="2" quotePrefix="1" applyNumberFormat="1" applyFont="1" applyFill="1" applyBorder="1" applyAlignment="1">
      <alignment horizontal="right"/>
    </xf>
    <xf numFmtId="0" fontId="4" fillId="0" borderId="0" xfId="2" applyFont="1" applyFill="1" applyBorder="1"/>
    <xf numFmtId="14" fontId="4" fillId="0" borderId="0" xfId="2" applyNumberFormat="1" applyFont="1" applyFill="1" applyBorder="1"/>
    <xf numFmtId="43" fontId="4" fillId="0" borderId="0" xfId="3" applyFont="1" applyFill="1" applyBorder="1"/>
    <xf numFmtId="43" fontId="5" fillId="0" borderId="0" xfId="3" applyFont="1" applyFill="1" applyBorder="1"/>
    <xf numFmtId="43" fontId="6" fillId="0" borderId="0" xfId="3" applyFont="1" applyFill="1" applyBorder="1"/>
    <xf numFmtId="43" fontId="4" fillId="0" borderId="0" xfId="3" applyNumberFormat="1" applyFont="1" applyFill="1" applyBorder="1"/>
    <xf numFmtId="43" fontId="6" fillId="0" borderId="0" xfId="3" applyNumberFormat="1" applyFont="1" applyFill="1" applyBorder="1"/>
    <xf numFmtId="43" fontId="7" fillId="3" borderId="0" xfId="2" applyNumberFormat="1" applyFont="1" applyFill="1"/>
    <xf numFmtId="43" fontId="7" fillId="0" borderId="0" xfId="2" applyNumberFormat="1" applyFont="1"/>
    <xf numFmtId="43" fontId="8" fillId="0" borderId="0" xfId="1" applyFont="1"/>
    <xf numFmtId="43" fontId="7" fillId="0" borderId="0" xfId="1" applyFont="1"/>
    <xf numFmtId="43" fontId="8" fillId="0" borderId="0" xfId="1" applyFont="1" applyFill="1"/>
    <xf numFmtId="43" fontId="7" fillId="0" borderId="0" xfId="2" applyNumberFormat="1" applyFont="1" applyFill="1"/>
    <xf numFmtId="43" fontId="5" fillId="0" borderId="7" xfId="3" applyFont="1" applyFill="1" applyBorder="1"/>
    <xf numFmtId="4" fontId="7" fillId="0" borderId="0" xfId="2" applyNumberFormat="1" applyFont="1"/>
    <xf numFmtId="0" fontId="11" fillId="0" borderId="0" xfId="16"/>
    <xf numFmtId="0" fontId="3" fillId="0" borderId="0" xfId="16" applyFont="1" applyFill="1"/>
    <xf numFmtId="0" fontId="3" fillId="0" borderId="0" xfId="16" applyFont="1"/>
    <xf numFmtId="0" fontId="2" fillId="0" borderId="0" xfId="16" applyFont="1"/>
    <xf numFmtId="0" fontId="4" fillId="0" borderId="1" xfId="16" applyFont="1" applyBorder="1"/>
    <xf numFmtId="0" fontId="4" fillId="0" borderId="2" xfId="16" applyFont="1" applyBorder="1"/>
    <xf numFmtId="0" fontId="4" fillId="0" borderId="3" xfId="16" applyFont="1" applyBorder="1" applyAlignment="1">
      <alignment horizontal="centerContinuous"/>
    </xf>
    <xf numFmtId="0" fontId="4" fillId="0" borderId="4" xfId="16" applyFont="1" applyBorder="1" applyAlignment="1">
      <alignment horizontal="centerContinuous"/>
    </xf>
    <xf numFmtId="0" fontId="5" fillId="0" borderId="2" xfId="16" applyFont="1" applyBorder="1" applyAlignment="1">
      <alignment horizontal="center"/>
    </xf>
    <xf numFmtId="0" fontId="6" fillId="0" borderId="1" xfId="16" applyFont="1" applyFill="1" applyBorder="1"/>
    <xf numFmtId="0" fontId="6" fillId="0" borderId="6" xfId="16" applyFont="1" applyBorder="1"/>
    <xf numFmtId="0" fontId="6" fillId="0" borderId="5" xfId="16" applyFont="1" applyBorder="1"/>
    <xf numFmtId="43" fontId="4" fillId="0" borderId="2" xfId="16" applyNumberFormat="1" applyFont="1" applyBorder="1" applyAlignment="1">
      <alignment horizontal="center"/>
    </xf>
    <xf numFmtId="0" fontId="6" fillId="0" borderId="1" xfId="16" applyFont="1" applyBorder="1"/>
    <xf numFmtId="0" fontId="6" fillId="0" borderId="6" xfId="16" applyFont="1" applyFill="1" applyBorder="1"/>
    <xf numFmtId="0" fontId="6" fillId="0" borderId="5" xfId="16" applyFont="1" applyFill="1" applyBorder="1"/>
    <xf numFmtId="0" fontId="4" fillId="0" borderId="2" xfId="16" applyFont="1" applyBorder="1" applyAlignment="1">
      <alignment horizontal="center"/>
    </xf>
    <xf numFmtId="0" fontId="12" fillId="0" borderId="0" xfId="16" applyFont="1" applyBorder="1" applyAlignment="1">
      <alignment horizontal="center"/>
    </xf>
    <xf numFmtId="164" fontId="12" fillId="0" borderId="0" xfId="3" applyNumberFormat="1" applyFont="1" applyBorder="1" applyAlignment="1">
      <alignment horizontal="center"/>
    </xf>
    <xf numFmtId="0" fontId="4" fillId="0" borderId="3" xfId="16" applyFont="1" applyBorder="1" applyAlignment="1">
      <alignment horizontal="center"/>
    </xf>
    <xf numFmtId="0" fontId="4" fillId="0" borderId="7" xfId="16" applyFont="1" applyBorder="1" applyAlignment="1">
      <alignment horizontal="center"/>
    </xf>
    <xf numFmtId="0" fontId="5" fillId="0" borderId="7" xfId="16" applyFont="1" applyBorder="1" applyAlignment="1">
      <alignment horizontal="center"/>
    </xf>
    <xf numFmtId="17" fontId="6" fillId="0" borderId="3" xfId="16" applyNumberFormat="1" applyFont="1" applyFill="1" applyBorder="1" applyAlignment="1">
      <alignment horizontal="center"/>
    </xf>
    <xf numFmtId="17" fontId="6" fillId="0" borderId="8" xfId="16" applyNumberFormat="1" applyFont="1" applyBorder="1" applyAlignment="1">
      <alignment horizontal="center"/>
    </xf>
    <xf numFmtId="17" fontId="4" fillId="0" borderId="7" xfId="16" applyNumberFormat="1" applyFont="1" applyBorder="1" applyAlignment="1">
      <alignment horizontal="center"/>
    </xf>
    <xf numFmtId="17" fontId="6" fillId="0" borderId="3" xfId="16" applyNumberFormat="1" applyFont="1" applyBorder="1" applyAlignment="1">
      <alignment horizontal="center"/>
    </xf>
    <xf numFmtId="17" fontId="6" fillId="0" borderId="8" xfId="16" applyNumberFormat="1" applyFont="1" applyFill="1" applyBorder="1" applyAlignment="1">
      <alignment horizontal="center"/>
    </xf>
    <xf numFmtId="164" fontId="12" fillId="0" borderId="0" xfId="3" applyNumberFormat="1" applyFont="1" applyFill="1" applyBorder="1" applyAlignment="1">
      <alignment horizontal="center"/>
    </xf>
    <xf numFmtId="0" fontId="4" fillId="0" borderId="7" xfId="16" quotePrefix="1" applyFont="1" applyBorder="1" applyAlignment="1">
      <alignment horizontal="left"/>
    </xf>
    <xf numFmtId="17" fontId="6" fillId="0" borderId="7" xfId="16" applyNumberFormat="1" applyFont="1" applyFill="1" applyBorder="1" applyAlignment="1">
      <alignment horizontal="center"/>
    </xf>
    <xf numFmtId="17" fontId="6" fillId="0" borderId="7" xfId="16" applyNumberFormat="1" applyFont="1" applyBorder="1" applyAlignment="1">
      <alignment horizontal="center"/>
    </xf>
    <xf numFmtId="0" fontId="12" fillId="0" borderId="9" xfId="16" applyFont="1" applyBorder="1" applyAlignment="1">
      <alignment horizontal="center"/>
    </xf>
    <xf numFmtId="164" fontId="12" fillId="0" borderId="9" xfId="3" applyNumberFormat="1" applyFont="1" applyBorder="1" applyAlignment="1">
      <alignment horizontal="center"/>
    </xf>
    <xf numFmtId="164" fontId="12" fillId="0" borderId="9" xfId="3" applyNumberFormat="1" applyFont="1" applyFill="1" applyBorder="1" applyAlignment="1">
      <alignment horizontal="center"/>
    </xf>
    <xf numFmtId="0" fontId="4" fillId="0" borderId="7" xfId="16" quotePrefix="1" applyFont="1" applyFill="1" applyBorder="1" applyAlignment="1">
      <alignment horizontal="left"/>
    </xf>
    <xf numFmtId="17" fontId="4" fillId="0" borderId="7" xfId="16" applyNumberFormat="1" applyFont="1" applyFill="1" applyBorder="1"/>
    <xf numFmtId="14" fontId="4" fillId="0" borderId="7" xfId="16" applyNumberFormat="1" applyFont="1" applyFill="1" applyBorder="1"/>
    <xf numFmtId="14" fontId="4" fillId="0" borderId="7" xfId="16" applyNumberFormat="1" applyFont="1" applyFill="1" applyBorder="1" applyAlignment="1">
      <alignment horizontal="right"/>
    </xf>
    <xf numFmtId="43" fontId="5" fillId="0" borderId="7" xfId="16" applyNumberFormat="1" applyFont="1" applyFill="1" applyBorder="1" applyAlignment="1">
      <alignment horizontal="right"/>
    </xf>
    <xf numFmtId="43" fontId="6" fillId="0" borderId="7" xfId="16" applyNumberFormat="1" applyFont="1" applyFill="1" applyBorder="1" applyAlignment="1">
      <alignment horizontal="right"/>
    </xf>
    <xf numFmtId="43" fontId="6" fillId="0" borderId="7" xfId="3" applyFont="1" applyFill="1" applyBorder="1" applyAlignment="1">
      <alignment horizontal="right"/>
    </xf>
    <xf numFmtId="43" fontId="6" fillId="0" borderId="7" xfId="3" applyNumberFormat="1" applyFont="1" applyFill="1" applyBorder="1" applyAlignment="1">
      <alignment horizontal="right"/>
    </xf>
    <xf numFmtId="43" fontId="6" fillId="0" borderId="7" xfId="16" applyNumberFormat="1" applyFont="1" applyFill="1" applyBorder="1" applyAlignment="1">
      <alignment horizontal="center"/>
    </xf>
    <xf numFmtId="0" fontId="11" fillId="0" borderId="0" xfId="16" applyFill="1"/>
    <xf numFmtId="0" fontId="7" fillId="0" borderId="0" xfId="16" applyFont="1" applyFill="1" applyAlignment="1">
      <alignment horizontal="center"/>
    </xf>
    <xf numFmtId="0" fontId="7" fillId="0" borderId="0" xfId="16" applyFont="1" applyFill="1"/>
    <xf numFmtId="164" fontId="7" fillId="0" borderId="0" xfId="3" applyNumberFormat="1" applyFont="1" applyFill="1"/>
    <xf numFmtId="4" fontId="5" fillId="0" borderId="7" xfId="3" applyNumberFormat="1" applyFont="1" applyFill="1" applyBorder="1" applyAlignment="1">
      <alignment horizontal="right"/>
    </xf>
    <xf numFmtId="0" fontId="4" fillId="4" borderId="7" xfId="16" applyFont="1" applyFill="1" applyBorder="1" applyAlignment="1">
      <alignment horizontal="left"/>
    </xf>
    <xf numFmtId="0" fontId="4" fillId="4" borderId="7" xfId="16" applyFont="1" applyFill="1" applyBorder="1"/>
    <xf numFmtId="43" fontId="13" fillId="4" borderId="7" xfId="3" applyFont="1" applyFill="1" applyBorder="1"/>
    <xf numFmtId="0" fontId="7" fillId="6" borderId="0" xfId="16" applyFont="1" applyFill="1" applyAlignment="1">
      <alignment horizontal="center"/>
    </xf>
    <xf numFmtId="0" fontId="7" fillId="6" borderId="0" xfId="16" applyFont="1" applyFill="1"/>
    <xf numFmtId="164" fontId="7" fillId="6" borderId="0" xfId="3" applyNumberFormat="1" applyFont="1" applyFill="1"/>
    <xf numFmtId="164" fontId="7" fillId="7" borderId="0" xfId="3" applyNumberFormat="1" applyFont="1" applyFill="1"/>
    <xf numFmtId="0" fontId="11" fillId="6" borderId="0" xfId="16" applyFill="1"/>
    <xf numFmtId="164" fontId="2" fillId="6" borderId="0" xfId="3" applyNumberFormat="1" applyFont="1" applyFill="1"/>
    <xf numFmtId="0" fontId="4" fillId="0" borderId="7" xfId="16" applyFont="1" applyBorder="1" applyAlignment="1">
      <alignment horizontal="left"/>
    </xf>
    <xf numFmtId="0" fontId="4" fillId="0" borderId="7" xfId="16" applyFont="1" applyBorder="1"/>
    <xf numFmtId="14" fontId="4" fillId="0" borderId="7" xfId="16" applyNumberFormat="1" applyFont="1" applyBorder="1"/>
    <xf numFmtId="43" fontId="4" fillId="0" borderId="7" xfId="3" applyFont="1" applyBorder="1"/>
    <xf numFmtId="43" fontId="13" fillId="0" borderId="7" xfId="3" applyFont="1" applyBorder="1" applyAlignment="1">
      <alignment horizontal="right"/>
    </xf>
    <xf numFmtId="43" fontId="4" fillId="0" borderId="7" xfId="3" applyNumberFormat="1" applyFont="1" applyBorder="1" applyAlignment="1">
      <alignment horizontal="right"/>
    </xf>
    <xf numFmtId="4" fontId="6" fillId="0" borderId="7" xfId="3" applyNumberFormat="1" applyFont="1" applyFill="1" applyBorder="1" applyAlignment="1"/>
    <xf numFmtId="4" fontId="6" fillId="0" borderId="7" xfId="3" applyNumberFormat="1" applyFont="1" applyFill="1" applyBorder="1"/>
    <xf numFmtId="4" fontId="4" fillId="0" borderId="7" xfId="3" applyNumberFormat="1" applyFont="1" applyBorder="1"/>
    <xf numFmtId="0" fontId="7" fillId="0" borderId="0" xfId="16" applyFont="1" applyAlignment="1">
      <alignment horizontal="center"/>
    </xf>
    <xf numFmtId="0" fontId="7" fillId="0" borderId="0" xfId="16" applyFont="1"/>
    <xf numFmtId="164" fontId="7" fillId="0" borderId="0" xfId="3" applyNumberFormat="1" applyFont="1"/>
    <xf numFmtId="164" fontId="0" fillId="0" borderId="0" xfId="3" applyNumberFormat="1" applyFont="1"/>
    <xf numFmtId="0" fontId="4" fillId="0" borderId="7" xfId="16" applyFont="1" applyFill="1" applyBorder="1" applyAlignment="1">
      <alignment horizontal="left"/>
    </xf>
    <xf numFmtId="0" fontId="4" fillId="0" borderId="7" xfId="16" applyFont="1" applyFill="1" applyBorder="1"/>
    <xf numFmtId="43" fontId="13" fillId="0" borderId="7" xfId="3" applyFont="1" applyFill="1" applyBorder="1" applyAlignment="1">
      <alignment horizontal="right"/>
    </xf>
    <xf numFmtId="43" fontId="13" fillId="4" borderId="7" xfId="3" applyFont="1" applyFill="1" applyBorder="1" applyAlignment="1">
      <alignment horizontal="right"/>
    </xf>
    <xf numFmtId="43" fontId="5" fillId="0" borderId="7" xfId="3" applyFont="1" applyBorder="1" applyAlignment="1">
      <alignment horizontal="right"/>
    </xf>
    <xf numFmtId="43" fontId="5" fillId="0" borderId="7" xfId="3" applyNumberFormat="1" applyFont="1" applyBorder="1"/>
    <xf numFmtId="43" fontId="4" fillId="0" borderId="7" xfId="3" applyFont="1" applyBorder="1" applyAlignment="1"/>
    <xf numFmtId="43" fontId="5" fillId="0" borderId="7" xfId="3" applyFont="1" applyBorder="1"/>
    <xf numFmtId="0" fontId="4" fillId="0" borderId="7" xfId="16" applyFont="1" applyFill="1" applyBorder="1" applyAlignment="1">
      <alignment wrapText="1"/>
    </xf>
    <xf numFmtId="17" fontId="4" fillId="0" borderId="7" xfId="16" applyNumberFormat="1" applyFont="1" applyFill="1" applyBorder="1" applyAlignment="1">
      <alignment wrapText="1"/>
    </xf>
    <xf numFmtId="43" fontId="4" fillId="0" borderId="7" xfId="3" applyFont="1" applyFill="1" applyBorder="1" applyAlignment="1">
      <alignment horizontal="right"/>
    </xf>
    <xf numFmtId="17" fontId="4" fillId="4" borderId="7" xfId="16" applyNumberFormat="1" applyFont="1" applyFill="1" applyBorder="1"/>
    <xf numFmtId="14" fontId="4" fillId="4" borderId="7" xfId="16" applyNumberFormat="1" applyFont="1" applyFill="1" applyBorder="1"/>
    <xf numFmtId="43" fontId="4" fillId="4" borderId="7" xfId="3" applyFont="1" applyFill="1" applyBorder="1" applyAlignment="1">
      <alignment horizontal="right"/>
    </xf>
    <xf numFmtId="164" fontId="0" fillId="0" borderId="0" xfId="3" applyNumberFormat="1" applyFont="1" applyFill="1"/>
    <xf numFmtId="4" fontId="4" fillId="0" borderId="7" xfId="16" applyNumberFormat="1" applyFont="1" applyFill="1" applyBorder="1"/>
    <xf numFmtId="17" fontId="4" fillId="8" borderId="7" xfId="16" applyNumberFormat="1" applyFont="1" applyFill="1" applyBorder="1"/>
    <xf numFmtId="16" fontId="4" fillId="4" borderId="7" xfId="16" applyNumberFormat="1" applyFont="1" applyFill="1" applyBorder="1"/>
    <xf numFmtId="16" fontId="4" fillId="0" borderId="7" xfId="16" applyNumberFormat="1" applyFont="1" applyFill="1" applyBorder="1"/>
    <xf numFmtId="43" fontId="14" fillId="0" borderId="7" xfId="3" applyFont="1" applyFill="1" applyBorder="1" applyAlignment="1">
      <alignment horizontal="right"/>
    </xf>
    <xf numFmtId="43" fontId="6" fillId="0" borderId="7" xfId="3" applyFont="1" applyBorder="1"/>
    <xf numFmtId="43" fontId="4" fillId="0" borderId="7" xfId="3" applyNumberFormat="1" applyFont="1" applyBorder="1"/>
    <xf numFmtId="43" fontId="6" fillId="4" borderId="7" xfId="3" applyFont="1" applyFill="1" applyBorder="1" applyAlignment="1">
      <alignment horizontal="right"/>
    </xf>
    <xf numFmtId="43" fontId="13" fillId="0" borderId="7" xfId="3" applyFont="1" applyFill="1" applyBorder="1"/>
    <xf numFmtId="17" fontId="4" fillId="0" borderId="7" xfId="16" applyNumberFormat="1" applyFont="1" applyBorder="1"/>
    <xf numFmtId="0" fontId="4" fillId="4" borderId="0" xfId="16" applyFont="1" applyFill="1" applyBorder="1" applyAlignment="1">
      <alignment horizontal="left"/>
    </xf>
    <xf numFmtId="0" fontId="4" fillId="0" borderId="0" xfId="16" applyFont="1" applyBorder="1" applyAlignment="1">
      <alignment horizontal="left"/>
    </xf>
    <xf numFmtId="0" fontId="4" fillId="0" borderId="0" xfId="16" applyFont="1" applyFill="1" applyBorder="1" applyAlignment="1">
      <alignment horizontal="left"/>
    </xf>
    <xf numFmtId="17" fontId="4" fillId="0" borderId="7" xfId="16" quotePrefix="1" applyNumberFormat="1" applyFont="1" applyFill="1" applyBorder="1" applyAlignment="1">
      <alignment horizontal="right"/>
    </xf>
    <xf numFmtId="14" fontId="4" fillId="0" borderId="7" xfId="16" quotePrefix="1" applyNumberFormat="1" applyFont="1" applyFill="1" applyBorder="1" applyAlignment="1">
      <alignment horizontal="right"/>
    </xf>
    <xf numFmtId="165" fontId="4" fillId="0" borderId="7" xfId="16" applyNumberFormat="1" applyFont="1" applyBorder="1"/>
    <xf numFmtId="4" fontId="4" fillId="4" borderId="7" xfId="16" applyNumberFormat="1" applyFont="1" applyFill="1" applyBorder="1"/>
    <xf numFmtId="4" fontId="6" fillId="4" borderId="7" xfId="16" applyNumberFormat="1" applyFont="1" applyFill="1" applyBorder="1"/>
    <xf numFmtId="14" fontId="4" fillId="0" borderId="7" xfId="16" quotePrefix="1" applyNumberFormat="1" applyFont="1" applyFill="1" applyBorder="1"/>
    <xf numFmtId="43" fontId="4" fillId="4" borderId="7" xfId="16" applyNumberFormat="1" applyFont="1" applyFill="1" applyBorder="1"/>
    <xf numFmtId="17" fontId="4" fillId="0" borderId="7" xfId="16" quotePrefix="1" applyNumberFormat="1" applyFont="1" applyFill="1" applyBorder="1"/>
    <xf numFmtId="43" fontId="0" fillId="0" borderId="0" xfId="3" applyFont="1"/>
    <xf numFmtId="0" fontId="15" fillId="4" borderId="7" xfId="16" quotePrefix="1" applyFont="1" applyFill="1" applyBorder="1" applyAlignment="1">
      <alignment horizontal="left"/>
    </xf>
    <xf numFmtId="0" fontId="15" fillId="4" borderId="7" xfId="16" applyFont="1" applyFill="1" applyBorder="1" applyAlignment="1">
      <alignment horizontal="left"/>
    </xf>
    <xf numFmtId="0" fontId="7" fillId="0" borderId="7" xfId="16" applyFont="1" applyBorder="1"/>
    <xf numFmtId="0" fontId="16" fillId="0" borderId="7" xfId="16" applyFont="1" applyBorder="1"/>
    <xf numFmtId="0" fontId="8" fillId="0" borderId="7" xfId="16" applyFont="1" applyFill="1" applyBorder="1"/>
    <xf numFmtId="14" fontId="4" fillId="9" borderId="7" xfId="16" applyNumberFormat="1" applyFont="1" applyFill="1" applyBorder="1"/>
    <xf numFmtId="43" fontId="4" fillId="9" borderId="7" xfId="3" applyFont="1" applyFill="1" applyBorder="1"/>
    <xf numFmtId="0" fontId="5" fillId="0" borderId="7" xfId="16" applyFont="1" applyBorder="1" applyAlignment="1">
      <alignment horizontal="left"/>
    </xf>
    <xf numFmtId="14" fontId="5" fillId="9" borderId="7" xfId="16" applyNumberFormat="1" applyFont="1" applyFill="1" applyBorder="1"/>
    <xf numFmtId="43" fontId="5" fillId="9" borderId="7" xfId="3" applyFont="1" applyFill="1" applyBorder="1"/>
    <xf numFmtId="0" fontId="17" fillId="9" borderId="7" xfId="16" applyFont="1" applyFill="1" applyBorder="1"/>
    <xf numFmtId="43" fontId="17" fillId="9" borderId="7" xfId="3" applyFont="1" applyFill="1" applyBorder="1"/>
    <xf numFmtId="43" fontId="6" fillId="9" borderId="7" xfId="3" applyFont="1" applyFill="1" applyBorder="1"/>
    <xf numFmtId="0" fontId="5" fillId="0" borderId="7" xfId="16" applyFont="1" applyFill="1" applyBorder="1" applyAlignment="1">
      <alignment horizontal="left"/>
    </xf>
    <xf numFmtId="0" fontId="5" fillId="0" borderId="7" xfId="16" applyFont="1" applyFill="1" applyBorder="1"/>
    <xf numFmtId="0" fontId="17" fillId="0" borderId="7" xfId="16" applyFont="1" applyFill="1" applyBorder="1"/>
    <xf numFmtId="43" fontId="17" fillId="0" borderId="7" xfId="3" applyFont="1" applyFill="1" applyBorder="1"/>
    <xf numFmtId="43" fontId="5" fillId="0" borderId="10" xfId="3" applyFont="1" applyFill="1" applyBorder="1"/>
    <xf numFmtId="43" fontId="4" fillId="4" borderId="7" xfId="3" applyNumberFormat="1" applyFont="1" applyFill="1" applyBorder="1"/>
    <xf numFmtId="0" fontId="4" fillId="0" borderId="0" xfId="16" applyFont="1" applyBorder="1"/>
    <xf numFmtId="43" fontId="4" fillId="0" borderId="0" xfId="3" applyFont="1" applyBorder="1"/>
    <xf numFmtId="43" fontId="5" fillId="0" borderId="0" xfId="3" applyFont="1" applyBorder="1"/>
    <xf numFmtId="43" fontId="6" fillId="0" borderId="0" xfId="3" applyFont="1" applyBorder="1"/>
    <xf numFmtId="43" fontId="4" fillId="0" borderId="0" xfId="3" applyNumberFormat="1" applyFont="1" applyBorder="1"/>
    <xf numFmtId="0" fontId="4" fillId="0" borderId="0" xfId="16" applyFont="1"/>
    <xf numFmtId="43" fontId="4" fillId="0" borderId="0" xfId="3" applyFont="1"/>
    <xf numFmtId="43" fontId="6" fillId="0" borderId="0" xfId="3" applyFont="1" applyFill="1"/>
    <xf numFmtId="43" fontId="6" fillId="0" borderId="0" xfId="3" applyFont="1"/>
    <xf numFmtId="43" fontId="4" fillId="0" borderId="0" xfId="3" applyNumberFormat="1" applyFont="1"/>
    <xf numFmtId="0" fontId="15" fillId="0" borderId="0" xfId="16" applyFont="1" applyAlignment="1">
      <alignment horizontal="left"/>
    </xf>
    <xf numFmtId="0" fontId="15" fillId="0" borderId="0" xfId="16" applyFont="1" applyBorder="1" applyAlignment="1">
      <alignment horizontal="left"/>
    </xf>
    <xf numFmtId="43" fontId="15" fillId="0" borderId="0" xfId="3" applyFont="1" applyBorder="1" applyAlignment="1">
      <alignment horizontal="left"/>
    </xf>
    <xf numFmtId="17" fontId="6" fillId="0" borderId="0" xfId="3" applyNumberFormat="1" applyFont="1" applyFill="1"/>
    <xf numFmtId="17" fontId="6" fillId="0" borderId="0" xfId="3" applyNumberFormat="1" applyFont="1"/>
    <xf numFmtId="17" fontId="6" fillId="0" borderId="0" xfId="16" applyNumberFormat="1" applyFont="1" applyFill="1" applyBorder="1" applyAlignment="1">
      <alignment horizontal="center"/>
    </xf>
    <xf numFmtId="0" fontId="18" fillId="0" borderId="0" xfId="3" applyNumberFormat="1" applyFont="1" applyBorder="1" applyAlignment="1">
      <alignment horizontal="center"/>
    </xf>
    <xf numFmtId="17" fontId="19" fillId="0" borderId="0" xfId="3" applyNumberFormat="1" applyFont="1" applyFill="1" applyAlignment="1">
      <alignment horizontal="center"/>
    </xf>
    <xf numFmtId="43" fontId="18" fillId="0" borderId="0" xfId="3" applyNumberFormat="1" applyFont="1" applyBorder="1" applyAlignment="1">
      <alignment horizontal="center"/>
    </xf>
    <xf numFmtId="17" fontId="19" fillId="2" borderId="0" xfId="3" applyNumberFormat="1" applyFont="1" applyFill="1" applyAlignment="1">
      <alignment horizontal="center"/>
    </xf>
    <xf numFmtId="0" fontId="18" fillId="0" borderId="0" xfId="3" applyNumberFormat="1" applyFont="1" applyBorder="1" applyAlignment="1">
      <alignment horizontal="left"/>
    </xf>
    <xf numFmtId="43" fontId="19" fillId="0" borderId="0" xfId="3" applyNumberFormat="1" applyFont="1" applyFill="1" applyAlignment="1">
      <alignment horizontal="center"/>
    </xf>
    <xf numFmtId="43" fontId="20" fillId="0" borderId="0" xfId="3" applyNumberFormat="1" applyFont="1" applyFill="1" applyAlignment="1">
      <alignment horizontal="center"/>
    </xf>
    <xf numFmtId="43" fontId="19" fillId="2" borderId="0" xfId="3" applyNumberFormat="1" applyFont="1" applyFill="1" applyAlignment="1">
      <alignment horizontal="center"/>
    </xf>
    <xf numFmtId="0" fontId="18" fillId="0" borderId="0" xfId="3" applyNumberFormat="1" applyFont="1" applyAlignment="1">
      <alignment horizontal="left"/>
    </xf>
    <xf numFmtId="43" fontId="21" fillId="0" borderId="0" xfId="3" applyFont="1" applyFill="1"/>
    <xf numFmtId="43" fontId="22" fillId="0" borderId="0" xfId="3" applyNumberFormat="1" applyFont="1"/>
    <xf numFmtId="43" fontId="21" fillId="2" borderId="0" xfId="3" applyFont="1" applyFill="1"/>
    <xf numFmtId="0" fontId="18" fillId="0" borderId="0" xfId="16" applyFont="1" applyAlignment="1">
      <alignment horizontal="left"/>
    </xf>
    <xf numFmtId="43" fontId="21" fillId="0" borderId="0" xfId="16" applyNumberFormat="1" applyFont="1" applyFill="1"/>
    <xf numFmtId="43" fontId="22" fillId="0" borderId="0" xfId="16" applyNumberFormat="1" applyFont="1"/>
    <xf numFmtId="43" fontId="21" fillId="2" borderId="0" xfId="16" applyNumberFormat="1" applyFont="1" applyFill="1"/>
    <xf numFmtId="43" fontId="22" fillId="0" borderId="0" xfId="16" applyNumberFormat="1" applyFont="1" applyFill="1"/>
    <xf numFmtId="0" fontId="21" fillId="0" borderId="0" xfId="16" applyFont="1" applyFill="1"/>
    <xf numFmtId="0" fontId="21" fillId="2" borderId="0" xfId="16" applyFont="1" applyFill="1"/>
    <xf numFmtId="0" fontId="22" fillId="0" borderId="0" xfId="16" applyFont="1"/>
    <xf numFmtId="14" fontId="2" fillId="0" borderId="0" xfId="2" applyNumberFormat="1"/>
    <xf numFmtId="43" fontId="2" fillId="0" borderId="0" xfId="2" applyNumberFormat="1" applyFont="1"/>
    <xf numFmtId="49" fontId="23" fillId="0" borderId="0" xfId="10" applyNumberFormat="1" applyFont="1" applyAlignment="1">
      <alignment horizontal="center" vertical="top" wrapText="1"/>
    </xf>
    <xf numFmtId="0" fontId="24" fillId="0" borderId="0" xfId="10" applyFont="1"/>
    <xf numFmtId="166" fontId="24" fillId="10" borderId="13" xfId="10" applyNumberFormat="1" applyFont="1" applyFill="1" applyBorder="1" applyAlignment="1">
      <alignment horizontal="center" vertical="top" wrapText="1"/>
    </xf>
    <xf numFmtId="49" fontId="25" fillId="10" borderId="13" xfId="10" applyNumberFormat="1" applyFont="1" applyFill="1" applyBorder="1" applyAlignment="1">
      <alignment vertical="top" wrapText="1"/>
    </xf>
    <xf numFmtId="49" fontId="24" fillId="10" borderId="13" xfId="10" applyNumberFormat="1" applyFont="1" applyFill="1" applyBorder="1" applyAlignment="1">
      <alignment vertical="top" wrapText="1"/>
    </xf>
    <xf numFmtId="167" fontId="24" fillId="0" borderId="13" xfId="10" applyNumberFormat="1" applyFont="1" applyBorder="1" applyAlignment="1">
      <alignment horizontal="right" wrapText="1"/>
    </xf>
    <xf numFmtId="49" fontId="24" fillId="0" borderId="13" xfId="10" applyNumberFormat="1" applyFont="1" applyBorder="1" applyAlignment="1">
      <alignment horizontal="right" wrapText="1"/>
    </xf>
    <xf numFmtId="49" fontId="24" fillId="2" borderId="13" xfId="10" applyNumberFormat="1" applyFont="1" applyFill="1" applyBorder="1" applyAlignment="1">
      <alignment vertical="top" wrapText="1"/>
    </xf>
    <xf numFmtId="167" fontId="24" fillId="2" borderId="13" xfId="10" applyNumberFormat="1" applyFont="1" applyFill="1" applyBorder="1" applyAlignment="1">
      <alignment horizontal="right" wrapText="1"/>
    </xf>
    <xf numFmtId="43" fontId="24" fillId="0" borderId="0" xfId="1" applyFont="1"/>
    <xf numFmtId="49" fontId="24" fillId="2" borderId="13" xfId="10" applyNumberFormat="1" applyFont="1" applyFill="1" applyBorder="1" applyAlignment="1">
      <alignment horizontal="right" wrapText="1"/>
    </xf>
    <xf numFmtId="49" fontId="25" fillId="2" borderId="13" xfId="10" applyNumberFormat="1" applyFont="1" applyFill="1" applyBorder="1" applyAlignment="1">
      <alignment vertical="top" wrapText="1"/>
    </xf>
    <xf numFmtId="16" fontId="24" fillId="0" borderId="0" xfId="10" applyNumberFormat="1" applyFont="1"/>
    <xf numFmtId="164" fontId="24" fillId="0" borderId="0" xfId="1" applyNumberFormat="1" applyFont="1"/>
    <xf numFmtId="166" fontId="24" fillId="10" borderId="15" xfId="10" applyNumberFormat="1" applyFont="1" applyFill="1" applyBorder="1" applyAlignment="1">
      <alignment vertical="top" wrapText="1"/>
    </xf>
    <xf numFmtId="49" fontId="24" fillId="10" borderId="15" xfId="10" applyNumberFormat="1" applyFont="1" applyFill="1" applyBorder="1" applyAlignment="1">
      <alignment vertical="top" wrapText="1"/>
    </xf>
    <xf numFmtId="49" fontId="25" fillId="10" borderId="20" xfId="10" applyNumberFormat="1" applyFont="1" applyFill="1" applyBorder="1" applyAlignment="1">
      <alignment vertical="top" wrapText="1"/>
    </xf>
    <xf numFmtId="49" fontId="25" fillId="10" borderId="21" xfId="10" applyNumberFormat="1" applyFont="1" applyFill="1" applyBorder="1" applyAlignment="1">
      <alignment vertical="top" wrapText="1"/>
    </xf>
    <xf numFmtId="49" fontId="25" fillId="10" borderId="19" xfId="10" applyNumberFormat="1" applyFont="1" applyFill="1" applyBorder="1" applyAlignment="1">
      <alignment vertical="top" wrapText="1"/>
    </xf>
    <xf numFmtId="166" fontId="24" fillId="10" borderId="16" xfId="10" applyNumberFormat="1" applyFont="1" applyFill="1" applyBorder="1" applyAlignment="1">
      <alignment vertical="top" wrapText="1"/>
    </xf>
    <xf numFmtId="49" fontId="24" fillId="10" borderId="16" xfId="10" applyNumberFormat="1" applyFont="1" applyFill="1" applyBorder="1" applyAlignment="1">
      <alignment vertical="top" wrapText="1"/>
    </xf>
    <xf numFmtId="168" fontId="24" fillId="0" borderId="0" xfId="10" applyNumberFormat="1" applyFont="1" applyAlignment="1">
      <alignment horizontal="left" vertical="top" wrapText="1"/>
    </xf>
    <xf numFmtId="49" fontId="24" fillId="0" borderId="0" xfId="10" applyNumberFormat="1" applyFont="1" applyAlignment="1">
      <alignment horizontal="center" vertical="top" wrapText="1"/>
    </xf>
    <xf numFmtId="169" fontId="24" fillId="0" borderId="0" xfId="10" applyNumberFormat="1" applyFont="1" applyAlignment="1">
      <alignment horizontal="right" vertical="top" wrapText="1"/>
    </xf>
    <xf numFmtId="167" fontId="24" fillId="0" borderId="0" xfId="10" applyNumberFormat="1" applyFont="1" applyFill="1" applyBorder="1" applyAlignment="1">
      <alignment horizontal="right" wrapText="1"/>
    </xf>
    <xf numFmtId="167" fontId="24" fillId="0" borderId="0" xfId="10" applyNumberFormat="1" applyFont="1"/>
    <xf numFmtId="164" fontId="24" fillId="0" borderId="0" xfId="10" applyNumberFormat="1" applyFont="1"/>
    <xf numFmtId="37" fontId="24" fillId="0" borderId="0" xfId="10" applyNumberFormat="1" applyFont="1"/>
    <xf numFmtId="0" fontId="2" fillId="0" borderId="0" xfId="10" applyFont="1"/>
    <xf numFmtId="17" fontId="2" fillId="0" borderId="0" xfId="10" applyNumberFormat="1" applyFont="1"/>
    <xf numFmtId="43" fontId="0" fillId="0" borderId="0" xfId="1" applyFont="1"/>
    <xf numFmtId="164" fontId="0" fillId="0" borderId="0" xfId="1" applyNumberFormat="1" applyFont="1"/>
    <xf numFmtId="4" fontId="2" fillId="0" borderId="0" xfId="10" applyNumberFormat="1" applyFont="1"/>
    <xf numFmtId="4" fontId="2" fillId="2" borderId="0" xfId="10" applyNumberFormat="1" applyFont="1" applyFill="1"/>
    <xf numFmtId="164" fontId="0" fillId="2" borderId="0" xfId="1" applyNumberFormat="1" applyFont="1" applyFill="1"/>
    <xf numFmtId="0" fontId="2" fillId="0" borderId="0" xfId="10" applyFont="1" applyAlignment="1">
      <alignment horizontal="right"/>
    </xf>
    <xf numFmtId="4" fontId="2" fillId="11" borderId="0" xfId="10" applyNumberFormat="1" applyFont="1" applyFill="1"/>
    <xf numFmtId="0" fontId="12" fillId="0" borderId="9" xfId="16" applyFont="1" applyBorder="1" applyAlignment="1">
      <alignment horizontal="center"/>
    </xf>
    <xf numFmtId="49" fontId="24" fillId="0" borderId="11" xfId="10" applyNumberFormat="1" applyFont="1" applyBorder="1" applyAlignment="1">
      <alignment vertical="top" wrapText="1"/>
    </xf>
    <xf numFmtId="49" fontId="24" fillId="0" borderId="12" xfId="10" applyNumberFormat="1" applyFont="1" applyBorder="1" applyAlignment="1">
      <alignment vertical="top" wrapText="1"/>
    </xf>
    <xf numFmtId="166" fontId="24" fillId="10" borderId="14" xfId="10" applyNumberFormat="1" applyFont="1" applyFill="1" applyBorder="1" applyAlignment="1">
      <alignment vertical="top" wrapText="1"/>
    </xf>
    <xf numFmtId="166" fontId="24" fillId="10" borderId="15" xfId="10" applyNumberFormat="1" applyFont="1" applyFill="1" applyBorder="1" applyAlignment="1">
      <alignment vertical="top" wrapText="1"/>
    </xf>
    <xf numFmtId="166" fontId="24" fillId="10" borderId="16" xfId="10" applyNumberFormat="1" applyFont="1" applyFill="1" applyBorder="1" applyAlignment="1">
      <alignment vertical="top" wrapText="1"/>
    </xf>
    <xf numFmtId="49" fontId="24" fillId="10" borderId="14" xfId="10" applyNumberFormat="1" applyFont="1" applyFill="1" applyBorder="1" applyAlignment="1">
      <alignment vertical="top" wrapText="1"/>
    </xf>
    <xf numFmtId="49" fontId="24" fillId="10" borderId="15" xfId="10" applyNumberFormat="1" applyFont="1" applyFill="1" applyBorder="1" applyAlignment="1">
      <alignment vertical="top" wrapText="1"/>
    </xf>
    <xf numFmtId="49" fontId="24" fillId="10" borderId="16" xfId="10" applyNumberFormat="1" applyFont="1" applyFill="1" applyBorder="1" applyAlignment="1">
      <alignment vertical="top" wrapText="1"/>
    </xf>
    <xf numFmtId="49" fontId="25" fillId="10" borderId="17" xfId="10" applyNumberFormat="1" applyFont="1" applyFill="1" applyBorder="1" applyAlignment="1">
      <alignment vertical="top" wrapText="1"/>
    </xf>
    <xf numFmtId="49" fontId="25" fillId="10" borderId="18" xfId="10" applyNumberFormat="1" applyFont="1" applyFill="1" applyBorder="1" applyAlignment="1">
      <alignment vertical="top" wrapText="1"/>
    </xf>
    <xf numFmtId="49" fontId="25" fillId="10" borderId="19" xfId="10" applyNumberFormat="1" applyFont="1" applyFill="1" applyBorder="1" applyAlignment="1">
      <alignment vertical="top" wrapText="1"/>
    </xf>
    <xf numFmtId="49" fontId="24" fillId="2" borderId="14" xfId="10" applyNumberFormat="1" applyFont="1" applyFill="1" applyBorder="1" applyAlignment="1">
      <alignment vertical="top" wrapText="1"/>
    </xf>
    <xf numFmtId="49" fontId="24" fillId="2" borderId="15" xfId="10" applyNumberFormat="1" applyFont="1" applyFill="1" applyBorder="1" applyAlignment="1">
      <alignment vertical="top" wrapText="1"/>
    </xf>
    <xf numFmtId="49" fontId="24" fillId="2" borderId="16" xfId="10" applyNumberFormat="1" applyFont="1" applyFill="1" applyBorder="1" applyAlignment="1">
      <alignment vertical="top" wrapText="1"/>
    </xf>
    <xf numFmtId="166" fontId="24" fillId="2" borderId="14" xfId="10" applyNumberFormat="1" applyFont="1" applyFill="1" applyBorder="1" applyAlignment="1">
      <alignment vertical="top" wrapText="1"/>
    </xf>
    <xf numFmtId="166" fontId="24" fillId="2" borderId="15" xfId="10" applyNumberFormat="1" applyFont="1" applyFill="1" applyBorder="1" applyAlignment="1">
      <alignment vertical="top" wrapText="1"/>
    </xf>
    <xf numFmtId="166" fontId="24" fillId="2" borderId="16" xfId="10" applyNumberFormat="1" applyFont="1" applyFill="1" applyBorder="1" applyAlignment="1">
      <alignment vertical="top" wrapText="1"/>
    </xf>
    <xf numFmtId="49" fontId="25" fillId="2" borderId="17" xfId="10" applyNumberFormat="1" applyFont="1" applyFill="1" applyBorder="1" applyAlignment="1">
      <alignment vertical="top" wrapText="1"/>
    </xf>
    <xf numFmtId="49" fontId="25" fillId="2" borderId="18" xfId="10" applyNumberFormat="1" applyFont="1" applyFill="1" applyBorder="1" applyAlignment="1">
      <alignment vertical="top" wrapText="1"/>
    </xf>
    <xf numFmtId="49" fontId="25" fillId="2" borderId="19" xfId="10" applyNumberFormat="1" applyFont="1" applyFill="1" applyBorder="1" applyAlignment="1">
      <alignment vertical="top" wrapText="1"/>
    </xf>
    <xf numFmtId="0" fontId="2" fillId="2" borderId="0" xfId="2" applyFill="1"/>
    <xf numFmtId="0" fontId="7" fillId="2" borderId="0" xfId="2" applyFont="1" applyFill="1"/>
  </cellXfs>
  <cellStyles count="17">
    <cellStyle name="Comma" xfId="1" builtinId="3"/>
    <cellStyle name="Comma 2" xfId="3"/>
    <cellStyle name="Comma 3" xfId="5"/>
    <cellStyle name="Currency 2" xfId="6"/>
    <cellStyle name="Currency 3" xfId="7"/>
    <cellStyle name="Currency 4" xfId="4"/>
    <cellStyle name="Currency 5" xfId="8"/>
    <cellStyle name="Normal" xfId="0" builtinId="0"/>
    <cellStyle name="Normal 2" xfId="9"/>
    <cellStyle name="Normal 3" xfId="10"/>
    <cellStyle name="Normal 3 2" xfId="11"/>
    <cellStyle name="Normal 4" xfId="12"/>
    <cellStyle name="Normal 5" xfId="13"/>
    <cellStyle name="Normal 6" xfId="14"/>
    <cellStyle name="Normal 7" xfId="2"/>
    <cellStyle name="Normal 7 2" xfId="15"/>
    <cellStyle name="Normal 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topLeftCell="A37" workbookViewId="0"/>
  </sheetViews>
  <sheetFormatPr defaultColWidth="9.140625" defaultRowHeight="12.75" x14ac:dyDescent="0.25"/>
  <cols>
    <col min="1" max="1" width="3.28515625" style="250" customWidth="1"/>
    <col min="2" max="2" width="7.140625" style="250" customWidth="1"/>
    <col min="3" max="3" width="4.28515625" style="250" customWidth="1"/>
    <col min="4" max="4" width="8.7109375" style="250" customWidth="1"/>
    <col min="5" max="5" width="4.42578125" style="250" bestFit="1" customWidth="1"/>
    <col min="6" max="6" width="8.140625" style="250" customWidth="1"/>
    <col min="7" max="7" width="36.7109375" style="250" bestFit="1" customWidth="1"/>
    <col min="8" max="20" width="10.7109375" style="250" bestFit="1" customWidth="1"/>
    <col min="21" max="22" width="13.5703125" style="250" bestFit="1" customWidth="1"/>
    <col min="23" max="16384" width="9.140625" style="250"/>
  </cols>
  <sheetData>
    <row r="1" spans="1:21" x14ac:dyDescent="0.25">
      <c r="A1" s="249"/>
    </row>
    <row r="2" spans="1:21" x14ac:dyDescent="0.25">
      <c r="A2" s="287"/>
      <c r="B2" s="287"/>
      <c r="C2" s="287"/>
      <c r="D2" s="287"/>
      <c r="E2" s="287"/>
      <c r="F2" s="287"/>
      <c r="G2" s="288"/>
      <c r="H2" s="251">
        <v>200812</v>
      </c>
      <c r="I2" s="251">
        <v>200901</v>
      </c>
      <c r="J2" s="251">
        <v>200902</v>
      </c>
      <c r="K2" s="251">
        <v>200903</v>
      </c>
      <c r="L2" s="251">
        <v>200904</v>
      </c>
      <c r="M2" s="251">
        <v>200905</v>
      </c>
      <c r="N2" s="251">
        <v>200906</v>
      </c>
      <c r="O2" s="251">
        <v>200907</v>
      </c>
      <c r="P2" s="251">
        <v>200908</v>
      </c>
      <c r="Q2" s="251">
        <v>200909</v>
      </c>
      <c r="R2" s="251">
        <v>200910</v>
      </c>
      <c r="S2" s="251">
        <v>200911</v>
      </c>
      <c r="T2" s="251">
        <v>200912</v>
      </c>
      <c r="U2" s="252" t="s">
        <v>121</v>
      </c>
    </row>
    <row r="3" spans="1:21" x14ac:dyDescent="0.25">
      <c r="A3" s="289">
        <v>100</v>
      </c>
      <c r="B3" s="292" t="s">
        <v>122</v>
      </c>
      <c r="C3" s="289">
        <v>100</v>
      </c>
      <c r="D3" s="292" t="s">
        <v>123</v>
      </c>
      <c r="E3" s="289">
        <v>100</v>
      </c>
      <c r="F3" s="292" t="s">
        <v>123</v>
      </c>
      <c r="G3" s="253" t="s">
        <v>124</v>
      </c>
      <c r="H3" s="254">
        <v>42377.45</v>
      </c>
      <c r="I3" s="254">
        <v>120273.27</v>
      </c>
      <c r="J3" s="254">
        <v>81267.72</v>
      </c>
      <c r="K3" s="254">
        <v>70103.91</v>
      </c>
      <c r="L3" s="254">
        <v>25041.599999999999</v>
      </c>
      <c r="M3" s="254">
        <v>39121.68</v>
      </c>
      <c r="N3" s="254">
        <v>21564.59</v>
      </c>
      <c r="O3" s="254">
        <v>17671.16</v>
      </c>
      <c r="P3" s="254">
        <v>32833.46</v>
      </c>
      <c r="Q3" s="254">
        <v>16267.29</v>
      </c>
      <c r="R3" s="254">
        <v>27113.37</v>
      </c>
      <c r="S3" s="254">
        <v>69081.05</v>
      </c>
      <c r="T3" s="254">
        <v>20869.71</v>
      </c>
      <c r="U3" s="254">
        <v>583586.26</v>
      </c>
    </row>
    <row r="4" spans="1:21" x14ac:dyDescent="0.25">
      <c r="A4" s="290"/>
      <c r="B4" s="293"/>
      <c r="C4" s="290"/>
      <c r="D4" s="293"/>
      <c r="E4" s="290"/>
      <c r="F4" s="293"/>
      <c r="G4" s="253" t="s">
        <v>125</v>
      </c>
      <c r="H4" s="254">
        <v>61764.46</v>
      </c>
      <c r="I4" s="254">
        <v>103838.95</v>
      </c>
      <c r="J4" s="254">
        <v>119886.94</v>
      </c>
      <c r="K4" s="254">
        <v>67741.48</v>
      </c>
      <c r="L4" s="254">
        <v>25955.47</v>
      </c>
      <c r="M4" s="254">
        <v>47344.35</v>
      </c>
      <c r="N4" s="254">
        <v>23460.22</v>
      </c>
      <c r="O4" s="254">
        <v>25510.11</v>
      </c>
      <c r="P4" s="254">
        <v>49273.95</v>
      </c>
      <c r="Q4" s="254">
        <v>20546.669999999998</v>
      </c>
      <c r="R4" s="254">
        <v>14956.69</v>
      </c>
      <c r="S4" s="254">
        <v>96075.51</v>
      </c>
      <c r="T4" s="254">
        <v>32718.9</v>
      </c>
      <c r="U4" s="254">
        <v>689073.7</v>
      </c>
    </row>
    <row r="5" spans="1:21" x14ac:dyDescent="0.25">
      <c r="A5" s="290"/>
      <c r="B5" s="293"/>
      <c r="C5" s="290"/>
      <c r="D5" s="293"/>
      <c r="E5" s="290"/>
      <c r="F5" s="293"/>
      <c r="G5" s="253" t="s">
        <v>126</v>
      </c>
      <c r="H5" s="254">
        <v>18084.55</v>
      </c>
      <c r="I5" s="254">
        <v>49350.720000000001</v>
      </c>
      <c r="J5" s="254">
        <v>39858.199999999997</v>
      </c>
      <c r="K5" s="254">
        <v>49460.480000000003</v>
      </c>
      <c r="L5" s="254">
        <v>17910.509999999998</v>
      </c>
      <c r="M5" s="254">
        <v>33622.82</v>
      </c>
      <c r="N5" s="254">
        <v>16926.57</v>
      </c>
      <c r="O5" s="254">
        <v>16083.42</v>
      </c>
      <c r="P5" s="254">
        <v>22770.77</v>
      </c>
      <c r="Q5" s="254">
        <v>15401.58</v>
      </c>
      <c r="R5" s="254">
        <v>14227.29</v>
      </c>
      <c r="S5" s="254">
        <v>18621.14</v>
      </c>
      <c r="T5" s="254">
        <v>16425.5</v>
      </c>
      <c r="U5" s="254">
        <v>328743.55</v>
      </c>
    </row>
    <row r="6" spans="1:21" x14ac:dyDescent="0.25">
      <c r="A6" s="290"/>
      <c r="B6" s="293"/>
      <c r="C6" s="290"/>
      <c r="D6" s="293"/>
      <c r="E6" s="290"/>
      <c r="F6" s="293"/>
      <c r="G6" s="253" t="s">
        <v>127</v>
      </c>
      <c r="H6" s="254">
        <v>54133.11</v>
      </c>
      <c r="I6" s="254">
        <v>58115.08</v>
      </c>
      <c r="J6" s="254">
        <v>127560.83</v>
      </c>
      <c r="K6" s="254">
        <v>43011.96</v>
      </c>
      <c r="L6" s="254">
        <v>12360.27</v>
      </c>
      <c r="M6" s="254">
        <v>38510.01</v>
      </c>
      <c r="N6" s="254">
        <v>24777.72</v>
      </c>
      <c r="O6" s="254">
        <v>21158.37</v>
      </c>
      <c r="P6" s="254">
        <v>30952.29</v>
      </c>
      <c r="Q6" s="254">
        <v>19524.919999999998</v>
      </c>
      <c r="R6" s="254">
        <v>26262.66</v>
      </c>
      <c r="S6" s="254">
        <v>77151.34</v>
      </c>
      <c r="T6" s="254">
        <v>29472.15</v>
      </c>
      <c r="U6" s="254">
        <v>562990.71</v>
      </c>
    </row>
    <row r="7" spans="1:21" x14ac:dyDescent="0.25">
      <c r="A7" s="290"/>
      <c r="B7" s="293"/>
      <c r="C7" s="290"/>
      <c r="D7" s="293"/>
      <c r="E7" s="290"/>
      <c r="F7" s="293"/>
      <c r="G7" s="253" t="s">
        <v>128</v>
      </c>
      <c r="H7" s="254">
        <v>69206.48</v>
      </c>
      <c r="I7" s="254">
        <v>124739.14</v>
      </c>
      <c r="J7" s="254">
        <v>174257.81</v>
      </c>
      <c r="K7" s="254">
        <v>58365.99</v>
      </c>
      <c r="L7" s="254">
        <v>39019.78</v>
      </c>
      <c r="M7" s="254">
        <v>75544.25</v>
      </c>
      <c r="N7" s="254">
        <v>25747.88</v>
      </c>
      <c r="O7" s="254">
        <v>25254.35</v>
      </c>
      <c r="P7" s="254">
        <v>53617.18</v>
      </c>
      <c r="Q7" s="254">
        <v>19708.16</v>
      </c>
      <c r="R7" s="254">
        <v>29937.68</v>
      </c>
      <c r="S7" s="254">
        <v>97611.17</v>
      </c>
      <c r="T7" s="254">
        <v>29213.26</v>
      </c>
      <c r="U7" s="254">
        <v>822223.13</v>
      </c>
    </row>
    <row r="8" spans="1:21" x14ac:dyDescent="0.25">
      <c r="A8" s="290"/>
      <c r="B8" s="293"/>
      <c r="C8" s="290"/>
      <c r="D8" s="293"/>
      <c r="E8" s="290"/>
      <c r="F8" s="293"/>
      <c r="G8" s="253" t="s">
        <v>129</v>
      </c>
      <c r="H8" s="254">
        <v>71184.33</v>
      </c>
      <c r="I8" s="254">
        <v>153195.31</v>
      </c>
      <c r="J8" s="254">
        <v>55523.839999999997</v>
      </c>
      <c r="K8" s="254">
        <v>1410.54</v>
      </c>
      <c r="L8" s="254">
        <v>1522.85</v>
      </c>
      <c r="M8" s="254">
        <v>8532.9599999999991</v>
      </c>
      <c r="N8" s="254">
        <v>1923.11</v>
      </c>
      <c r="O8" s="254">
        <v>17105.400000000001</v>
      </c>
      <c r="P8" s="254">
        <v>60913.02</v>
      </c>
      <c r="Q8" s="254">
        <v>7854.17</v>
      </c>
      <c r="R8" s="254">
        <v>15080.74</v>
      </c>
      <c r="S8" s="254">
        <v>1074.05</v>
      </c>
      <c r="T8" s="254">
        <v>1636.75</v>
      </c>
      <c r="U8" s="254">
        <v>396957.07</v>
      </c>
    </row>
    <row r="9" spans="1:21" x14ac:dyDescent="0.25">
      <c r="A9" s="290"/>
      <c r="B9" s="293"/>
      <c r="C9" s="290"/>
      <c r="D9" s="293"/>
      <c r="E9" s="290"/>
      <c r="F9" s="293"/>
      <c r="G9" s="253" t="s">
        <v>130</v>
      </c>
      <c r="H9" s="254">
        <v>2637.25</v>
      </c>
      <c r="I9" s="254">
        <v>1724.42</v>
      </c>
      <c r="J9" s="254">
        <v>1835.86</v>
      </c>
      <c r="K9" s="254">
        <v>2419.81</v>
      </c>
      <c r="L9" s="254">
        <v>2177.84</v>
      </c>
      <c r="M9" s="254">
        <v>1938.67</v>
      </c>
      <c r="N9" s="254">
        <v>2714.12</v>
      </c>
      <c r="O9" s="254">
        <v>2354.67</v>
      </c>
      <c r="P9" s="254">
        <v>2953.06</v>
      </c>
      <c r="Q9" s="254">
        <v>2847.87</v>
      </c>
      <c r="R9" s="254">
        <v>2799.31</v>
      </c>
      <c r="S9" s="254">
        <v>170527.54</v>
      </c>
      <c r="T9" s="254">
        <v>2334.87</v>
      </c>
      <c r="U9" s="254">
        <v>199265.29</v>
      </c>
    </row>
    <row r="10" spans="1:21" x14ac:dyDescent="0.25">
      <c r="A10" s="290"/>
      <c r="B10" s="293"/>
      <c r="C10" s="290"/>
      <c r="D10" s="293"/>
      <c r="E10" s="290"/>
      <c r="F10" s="293"/>
      <c r="G10" s="253" t="s">
        <v>131</v>
      </c>
      <c r="H10" s="254">
        <v>475</v>
      </c>
      <c r="I10" s="254">
        <v>475</v>
      </c>
      <c r="J10" s="254">
        <v>475</v>
      </c>
      <c r="K10" s="254">
        <v>475</v>
      </c>
      <c r="L10" s="254">
        <v>475</v>
      </c>
      <c r="M10" s="254">
        <v>475</v>
      </c>
      <c r="N10" s="254">
        <v>475</v>
      </c>
      <c r="O10" s="254">
        <v>475</v>
      </c>
      <c r="P10" s="254">
        <v>475</v>
      </c>
      <c r="Q10" s="254">
        <v>475</v>
      </c>
      <c r="R10" s="254">
        <v>475</v>
      </c>
      <c r="S10" s="254">
        <v>475</v>
      </c>
      <c r="T10" s="254">
        <v>475</v>
      </c>
      <c r="U10" s="254">
        <v>6175</v>
      </c>
    </row>
    <row r="11" spans="1:21" x14ac:dyDescent="0.25">
      <c r="A11" s="290"/>
      <c r="B11" s="293"/>
      <c r="C11" s="290"/>
      <c r="D11" s="293"/>
      <c r="E11" s="290"/>
      <c r="F11" s="293"/>
      <c r="G11" s="253" t="s">
        <v>132</v>
      </c>
      <c r="H11" s="254">
        <v>750</v>
      </c>
      <c r="I11" s="254">
        <v>750</v>
      </c>
      <c r="J11" s="254">
        <v>750</v>
      </c>
      <c r="K11" s="254">
        <v>750</v>
      </c>
      <c r="L11" s="254">
        <v>750</v>
      </c>
      <c r="M11" s="254">
        <v>750</v>
      </c>
      <c r="N11" s="254">
        <v>750</v>
      </c>
      <c r="O11" s="254">
        <v>750</v>
      </c>
      <c r="P11" s="254">
        <v>750</v>
      </c>
      <c r="Q11" s="254">
        <v>750</v>
      </c>
      <c r="R11" s="254">
        <v>750</v>
      </c>
      <c r="S11" s="254">
        <v>750</v>
      </c>
      <c r="T11" s="254">
        <v>750</v>
      </c>
      <c r="U11" s="254">
        <v>9750</v>
      </c>
    </row>
    <row r="12" spans="1:21" x14ac:dyDescent="0.25">
      <c r="A12" s="290"/>
      <c r="B12" s="293"/>
      <c r="C12" s="290"/>
      <c r="D12" s="293"/>
      <c r="E12" s="290"/>
      <c r="F12" s="293"/>
      <c r="G12" s="253" t="s">
        <v>133</v>
      </c>
      <c r="H12" s="254">
        <v>775</v>
      </c>
      <c r="I12" s="254">
        <v>775</v>
      </c>
      <c r="J12" s="254">
        <v>775</v>
      </c>
      <c r="K12" s="254">
        <v>775</v>
      </c>
      <c r="L12" s="254">
        <v>775</v>
      </c>
      <c r="M12" s="254">
        <v>775</v>
      </c>
      <c r="N12" s="254">
        <v>775</v>
      </c>
      <c r="O12" s="254">
        <v>775</v>
      </c>
      <c r="P12" s="254">
        <v>775</v>
      </c>
      <c r="Q12" s="254">
        <v>775</v>
      </c>
      <c r="R12" s="254">
        <v>775</v>
      </c>
      <c r="S12" s="254">
        <v>775</v>
      </c>
      <c r="T12" s="254">
        <v>775</v>
      </c>
      <c r="U12" s="254">
        <v>10075</v>
      </c>
    </row>
    <row r="13" spans="1:21" x14ac:dyDescent="0.25">
      <c r="A13" s="290"/>
      <c r="B13" s="293"/>
      <c r="C13" s="290"/>
      <c r="D13" s="293"/>
      <c r="E13" s="290"/>
      <c r="F13" s="293"/>
      <c r="G13" s="253" t="s">
        <v>134</v>
      </c>
      <c r="H13" s="254">
        <v>875</v>
      </c>
      <c r="I13" s="254">
        <v>875</v>
      </c>
      <c r="J13" s="254">
        <v>875</v>
      </c>
      <c r="K13" s="254">
        <v>875</v>
      </c>
      <c r="L13" s="254">
        <v>875</v>
      </c>
      <c r="M13" s="254">
        <v>875</v>
      </c>
      <c r="N13" s="254">
        <v>875</v>
      </c>
      <c r="O13" s="254">
        <v>875</v>
      </c>
      <c r="P13" s="254">
        <v>875</v>
      </c>
      <c r="Q13" s="254">
        <v>875</v>
      </c>
      <c r="R13" s="254">
        <v>875</v>
      </c>
      <c r="S13" s="254">
        <v>875</v>
      </c>
      <c r="T13" s="254">
        <v>875</v>
      </c>
      <c r="U13" s="254">
        <v>11375</v>
      </c>
    </row>
    <row r="14" spans="1:21" x14ac:dyDescent="0.25">
      <c r="A14" s="290"/>
      <c r="B14" s="293"/>
      <c r="C14" s="290"/>
      <c r="D14" s="293"/>
      <c r="E14" s="290"/>
      <c r="F14" s="293"/>
      <c r="G14" s="253" t="s">
        <v>135</v>
      </c>
      <c r="H14" s="254">
        <v>1200</v>
      </c>
      <c r="I14" s="254">
        <v>1200</v>
      </c>
      <c r="J14" s="254">
        <v>1200</v>
      </c>
      <c r="K14" s="254">
        <v>1200</v>
      </c>
      <c r="L14" s="254">
        <v>1200</v>
      </c>
      <c r="M14" s="254">
        <v>1200</v>
      </c>
      <c r="N14" s="254">
        <v>1200</v>
      </c>
      <c r="O14" s="254">
        <v>1200</v>
      </c>
      <c r="P14" s="254">
        <v>1200</v>
      </c>
      <c r="Q14" s="254">
        <v>1200</v>
      </c>
      <c r="R14" s="254">
        <v>1200</v>
      </c>
      <c r="S14" s="254">
        <v>1200</v>
      </c>
      <c r="T14" s="254">
        <v>1200</v>
      </c>
      <c r="U14" s="254">
        <v>15600</v>
      </c>
    </row>
    <row r="15" spans="1:21" x14ac:dyDescent="0.25">
      <c r="A15" s="290"/>
      <c r="B15" s="293"/>
      <c r="C15" s="290"/>
      <c r="D15" s="293"/>
      <c r="E15" s="290"/>
      <c r="F15" s="293"/>
      <c r="G15" s="253" t="s">
        <v>136</v>
      </c>
      <c r="H15" s="254">
        <v>1400</v>
      </c>
      <c r="I15" s="254">
        <v>1400</v>
      </c>
      <c r="J15" s="254">
        <v>1400</v>
      </c>
      <c r="K15" s="254">
        <v>1400</v>
      </c>
      <c r="L15" s="254">
        <v>1400</v>
      </c>
      <c r="M15" s="254">
        <v>1400</v>
      </c>
      <c r="N15" s="254">
        <v>1400</v>
      </c>
      <c r="O15" s="254">
        <v>1400</v>
      </c>
      <c r="P15" s="254">
        <v>1400</v>
      </c>
      <c r="Q15" s="254">
        <v>1400</v>
      </c>
      <c r="R15" s="254">
        <v>1400</v>
      </c>
      <c r="S15" s="254">
        <v>1400</v>
      </c>
      <c r="T15" s="254">
        <v>1400</v>
      </c>
      <c r="U15" s="254">
        <v>18200</v>
      </c>
    </row>
    <row r="16" spans="1:21" x14ac:dyDescent="0.25">
      <c r="A16" s="290"/>
      <c r="B16" s="293"/>
      <c r="C16" s="290"/>
      <c r="D16" s="293"/>
      <c r="E16" s="290"/>
      <c r="F16" s="293"/>
      <c r="G16" s="253" t="s">
        <v>137</v>
      </c>
      <c r="H16" s="255"/>
      <c r="I16" s="254">
        <v>9140.83</v>
      </c>
      <c r="J16" s="254">
        <v>37954.25</v>
      </c>
      <c r="K16" s="254">
        <v>575682.91</v>
      </c>
      <c r="L16" s="254">
        <v>-159302.38</v>
      </c>
      <c r="M16" s="254">
        <v>-7136.63</v>
      </c>
      <c r="N16" s="255"/>
      <c r="O16" s="254">
        <v>-306616.69</v>
      </c>
      <c r="P16" s="254">
        <v>-140684.6</v>
      </c>
      <c r="Q16" s="255"/>
      <c r="R16" s="254">
        <v>-255081.39</v>
      </c>
      <c r="S16" s="254">
        <v>-94677.59</v>
      </c>
      <c r="T16" s="255"/>
      <c r="U16" s="254">
        <v>-340721.29</v>
      </c>
    </row>
    <row r="17" spans="1:21" x14ac:dyDescent="0.25">
      <c r="A17" s="290"/>
      <c r="B17" s="293"/>
      <c r="C17" s="290"/>
      <c r="D17" s="293"/>
      <c r="E17" s="291"/>
      <c r="F17" s="294"/>
      <c r="G17" s="252" t="s">
        <v>123</v>
      </c>
      <c r="H17" s="254">
        <v>324862.63</v>
      </c>
      <c r="I17" s="254">
        <v>625852.72</v>
      </c>
      <c r="J17" s="254">
        <v>643620.44999999995</v>
      </c>
      <c r="K17" s="254">
        <v>873672.08</v>
      </c>
      <c r="L17" s="254">
        <v>-29839.06</v>
      </c>
      <c r="M17" s="254">
        <v>242953.11</v>
      </c>
      <c r="N17" s="254">
        <v>122589.21</v>
      </c>
      <c r="O17" s="254">
        <v>-176004.21</v>
      </c>
      <c r="P17" s="254">
        <v>118104.13</v>
      </c>
      <c r="Q17" s="254">
        <v>107625.66</v>
      </c>
      <c r="R17" s="254">
        <v>-119228.65</v>
      </c>
      <c r="S17" s="254">
        <v>440939.21</v>
      </c>
      <c r="T17" s="254">
        <v>138146.14000000001</v>
      </c>
      <c r="U17" s="254">
        <v>3313293.42</v>
      </c>
    </row>
    <row r="18" spans="1:21" ht="12.75" customHeight="1" x14ac:dyDescent="0.25">
      <c r="A18" s="290"/>
      <c r="B18" s="293"/>
      <c r="C18" s="291"/>
      <c r="D18" s="294"/>
      <c r="E18" s="295" t="s">
        <v>123</v>
      </c>
      <c r="F18" s="296"/>
      <c r="G18" s="297"/>
      <c r="H18" s="254">
        <v>324862.63</v>
      </c>
      <c r="I18" s="254">
        <v>625852.72</v>
      </c>
      <c r="J18" s="254">
        <v>643620.44999999995</v>
      </c>
      <c r="K18" s="254">
        <v>873672.08</v>
      </c>
      <c r="L18" s="254">
        <v>-29839.06</v>
      </c>
      <c r="M18" s="254">
        <v>242953.11</v>
      </c>
      <c r="N18" s="254">
        <v>122589.21</v>
      </c>
      <c r="O18" s="254">
        <v>-176004.21</v>
      </c>
      <c r="P18" s="254">
        <v>118104.13</v>
      </c>
      <c r="Q18" s="254">
        <v>107625.66</v>
      </c>
      <c r="R18" s="254">
        <v>-119228.65</v>
      </c>
      <c r="S18" s="254">
        <v>440939.21</v>
      </c>
      <c r="T18" s="254">
        <v>138146.14000000001</v>
      </c>
      <c r="U18" s="254">
        <v>3313293.42</v>
      </c>
    </row>
    <row r="19" spans="1:21" x14ac:dyDescent="0.25">
      <c r="A19" s="290"/>
      <c r="B19" s="293"/>
      <c r="C19" s="289">
        <v>200</v>
      </c>
      <c r="D19" s="292" t="s">
        <v>138</v>
      </c>
      <c r="E19" s="289">
        <v>200</v>
      </c>
      <c r="F19" s="292" t="s">
        <v>139</v>
      </c>
      <c r="G19" s="253" t="s">
        <v>140</v>
      </c>
      <c r="H19" s="254">
        <v>1000</v>
      </c>
      <c r="I19" s="254">
        <v>1000</v>
      </c>
      <c r="J19" s="254">
        <v>1000</v>
      </c>
      <c r="K19" s="254">
        <v>1000</v>
      </c>
      <c r="L19" s="254">
        <v>1000</v>
      </c>
      <c r="M19" s="254">
        <v>1000</v>
      </c>
      <c r="N19" s="254">
        <v>1000</v>
      </c>
      <c r="O19" s="254">
        <v>1000</v>
      </c>
      <c r="P19" s="254">
        <v>1000</v>
      </c>
      <c r="Q19" s="254">
        <v>1000</v>
      </c>
      <c r="R19" s="254">
        <v>1000</v>
      </c>
      <c r="S19" s="254">
        <v>1000</v>
      </c>
      <c r="T19" s="254">
        <v>1000</v>
      </c>
      <c r="U19" s="254">
        <v>13000</v>
      </c>
    </row>
    <row r="20" spans="1:21" ht="25.5" x14ac:dyDescent="0.25">
      <c r="A20" s="290"/>
      <c r="B20" s="293"/>
      <c r="C20" s="290"/>
      <c r="D20" s="293"/>
      <c r="E20" s="290"/>
      <c r="F20" s="293"/>
      <c r="G20" s="253" t="s">
        <v>141</v>
      </c>
      <c r="H20" s="254">
        <v>1497723.34</v>
      </c>
      <c r="I20" s="254">
        <v>1685422.68</v>
      </c>
      <c r="J20" s="254">
        <v>3389869.28</v>
      </c>
      <c r="K20" s="254">
        <v>2440883.88</v>
      </c>
      <c r="L20" s="254">
        <v>1590277.67</v>
      </c>
      <c r="M20" s="254">
        <v>1869187.65</v>
      </c>
      <c r="N20" s="254">
        <v>1071336.55</v>
      </c>
      <c r="O20" s="254">
        <v>-16229.34</v>
      </c>
      <c r="P20" s="254">
        <v>-374342.71</v>
      </c>
      <c r="Q20" s="254">
        <v>648620.82999999996</v>
      </c>
      <c r="R20" s="254">
        <v>-1179926.05</v>
      </c>
      <c r="S20" s="254">
        <v>-1402298.75</v>
      </c>
      <c r="T20" s="254">
        <v>704737.26</v>
      </c>
      <c r="U20" s="254">
        <v>11925262.289999999</v>
      </c>
    </row>
    <row r="21" spans="1:21" ht="25.5" x14ac:dyDescent="0.25">
      <c r="A21" s="290"/>
      <c r="B21" s="293"/>
      <c r="C21" s="290"/>
      <c r="D21" s="293"/>
      <c r="E21" s="290"/>
      <c r="F21" s="293"/>
      <c r="G21" s="253" t="s">
        <v>142</v>
      </c>
      <c r="H21" s="254">
        <v>-88.55</v>
      </c>
      <c r="I21" s="255"/>
      <c r="J21" s="254">
        <v>-450.86</v>
      </c>
      <c r="K21" s="255"/>
      <c r="L21" s="254">
        <v>-20.32</v>
      </c>
      <c r="M21" s="254">
        <v>-5.99</v>
      </c>
      <c r="N21" s="254">
        <v>-101.22</v>
      </c>
      <c r="O21" s="254">
        <v>-146.63</v>
      </c>
      <c r="P21" s="255"/>
      <c r="Q21" s="254">
        <v>-30.99</v>
      </c>
      <c r="R21" s="254">
        <v>-302.82</v>
      </c>
      <c r="S21" s="254">
        <v>-212.76</v>
      </c>
      <c r="T21" s="255"/>
      <c r="U21" s="254">
        <v>-1360.14</v>
      </c>
    </row>
    <row r="22" spans="1:21" ht="25.5" x14ac:dyDescent="0.25">
      <c r="A22" s="290"/>
      <c r="B22" s="293"/>
      <c r="C22" s="290"/>
      <c r="D22" s="293"/>
      <c r="E22" s="290"/>
      <c r="F22" s="293"/>
      <c r="G22" s="253" t="s">
        <v>143</v>
      </c>
      <c r="H22" s="254">
        <v>230447.47</v>
      </c>
      <c r="I22" s="254">
        <v>190817.56</v>
      </c>
      <c r="J22" s="254">
        <v>176016.39</v>
      </c>
      <c r="K22" s="254">
        <v>113242.1</v>
      </c>
      <c r="L22" s="254">
        <v>375631.34</v>
      </c>
      <c r="M22" s="254">
        <v>1529.17</v>
      </c>
      <c r="N22" s="254">
        <v>236368.37</v>
      </c>
      <c r="O22" s="254">
        <v>2445.1</v>
      </c>
      <c r="P22" s="254">
        <v>24686.05</v>
      </c>
      <c r="Q22" s="254">
        <v>302339.42</v>
      </c>
      <c r="R22" s="254">
        <v>271964.62</v>
      </c>
      <c r="S22" s="254">
        <v>268001.82</v>
      </c>
      <c r="T22" s="254">
        <v>198322.32</v>
      </c>
      <c r="U22" s="254">
        <v>2391811.73</v>
      </c>
    </row>
    <row r="23" spans="1:21" ht="25.5" x14ac:dyDescent="0.25">
      <c r="A23" s="290"/>
      <c r="B23" s="293"/>
      <c r="C23" s="290"/>
      <c r="D23" s="293"/>
      <c r="E23" s="290"/>
      <c r="F23" s="293"/>
      <c r="G23" s="253" t="s">
        <v>144</v>
      </c>
      <c r="H23" s="254">
        <v>811612.62</v>
      </c>
      <c r="I23" s="254">
        <v>627416.07999999996</v>
      </c>
      <c r="J23" s="254">
        <v>630864.44999999995</v>
      </c>
      <c r="K23" s="254">
        <v>472896.46</v>
      </c>
      <c r="L23" s="254">
        <v>624061.42000000004</v>
      </c>
      <c r="M23" s="254">
        <v>667910.30000000005</v>
      </c>
      <c r="N23" s="254">
        <v>695761.38</v>
      </c>
      <c r="O23" s="254">
        <v>598960.74</v>
      </c>
      <c r="P23" s="254">
        <v>663288.12</v>
      </c>
      <c r="Q23" s="254">
        <v>766834.32</v>
      </c>
      <c r="R23" s="254">
        <v>670467.16</v>
      </c>
      <c r="S23" s="254">
        <v>759843.92</v>
      </c>
      <c r="T23" s="254">
        <v>760252.97</v>
      </c>
      <c r="U23" s="254">
        <v>8750169.9399999995</v>
      </c>
    </row>
    <row r="24" spans="1:21" ht="25.5" x14ac:dyDescent="0.25">
      <c r="A24" s="290"/>
      <c r="B24" s="293"/>
      <c r="C24" s="290"/>
      <c r="D24" s="293"/>
      <c r="E24" s="290"/>
      <c r="F24" s="293"/>
      <c r="G24" s="253" t="s">
        <v>145</v>
      </c>
      <c r="H24" s="254">
        <v>13367</v>
      </c>
      <c r="I24" s="254">
        <v>11252.91</v>
      </c>
      <c r="J24" s="254">
        <v>7035.8</v>
      </c>
      <c r="K24" s="254">
        <v>9322.3799999999992</v>
      </c>
      <c r="L24" s="254">
        <v>1805.75</v>
      </c>
      <c r="M24" s="254">
        <v>1015.17</v>
      </c>
      <c r="N24" s="254">
        <v>1015.17</v>
      </c>
      <c r="O24" s="254">
        <v>738</v>
      </c>
      <c r="P24" s="254">
        <v>241.78</v>
      </c>
      <c r="Q24" s="254">
        <v>41.78</v>
      </c>
      <c r="R24" s="254">
        <v>41.78</v>
      </c>
      <c r="S24" s="254">
        <v>11307.78</v>
      </c>
      <c r="T24" s="254">
        <v>5444.78</v>
      </c>
      <c r="U24" s="254">
        <v>62630.080000000002</v>
      </c>
    </row>
    <row r="25" spans="1:21" ht="25.5" x14ac:dyDescent="0.25">
      <c r="A25" s="290"/>
      <c r="B25" s="293"/>
      <c r="C25" s="290"/>
      <c r="D25" s="293"/>
      <c r="E25" s="290"/>
      <c r="F25" s="293"/>
      <c r="G25" s="253" t="s">
        <v>146</v>
      </c>
      <c r="H25" s="254">
        <v>171.59</v>
      </c>
      <c r="I25" s="254">
        <v>6652.29</v>
      </c>
      <c r="J25" s="254">
        <v>6584.45</v>
      </c>
      <c r="K25" s="254">
        <v>4444.45</v>
      </c>
      <c r="L25" s="254">
        <v>44.74</v>
      </c>
      <c r="M25" s="254">
        <v>44.74</v>
      </c>
      <c r="N25" s="254">
        <v>314.27999999999997</v>
      </c>
      <c r="O25" s="254">
        <v>69.540000000000006</v>
      </c>
      <c r="P25" s="255"/>
      <c r="Q25" s="254">
        <v>95</v>
      </c>
      <c r="R25" s="254">
        <v>56.94</v>
      </c>
      <c r="S25" s="254">
        <v>1733</v>
      </c>
      <c r="T25" s="254">
        <v>146</v>
      </c>
      <c r="U25" s="254">
        <v>20357.02</v>
      </c>
    </row>
    <row r="26" spans="1:21" ht="25.5" x14ac:dyDescent="0.25">
      <c r="A26" s="290"/>
      <c r="B26" s="293"/>
      <c r="C26" s="290"/>
      <c r="D26" s="293"/>
      <c r="E26" s="290"/>
      <c r="F26" s="293"/>
      <c r="G26" s="253" t="s">
        <v>147</v>
      </c>
      <c r="H26" s="254">
        <v>10575</v>
      </c>
      <c r="I26" s="254">
        <v>14430.37</v>
      </c>
      <c r="J26" s="254">
        <v>35740</v>
      </c>
      <c r="K26" s="254">
        <v>32948.92</v>
      </c>
      <c r="L26" s="254">
        <v>826.64</v>
      </c>
      <c r="M26" s="254">
        <v>826.64</v>
      </c>
      <c r="N26" s="254">
        <v>264.52</v>
      </c>
      <c r="O26" s="254">
        <v>74.52</v>
      </c>
      <c r="P26" s="254">
        <v>35</v>
      </c>
      <c r="Q26" s="254">
        <v>35</v>
      </c>
      <c r="R26" s="254">
        <v>35</v>
      </c>
      <c r="S26" s="254">
        <v>27144</v>
      </c>
      <c r="T26" s="254">
        <v>9187</v>
      </c>
      <c r="U26" s="254">
        <v>132122.60999999999</v>
      </c>
    </row>
    <row r="27" spans="1:21" ht="25.5" x14ac:dyDescent="0.25">
      <c r="A27" s="290"/>
      <c r="B27" s="293"/>
      <c r="C27" s="290"/>
      <c r="D27" s="293"/>
      <c r="E27" s="290"/>
      <c r="F27" s="293"/>
      <c r="G27" s="253" t="s">
        <v>148</v>
      </c>
      <c r="H27" s="254">
        <v>14610</v>
      </c>
      <c r="I27" s="254">
        <v>22781.14</v>
      </c>
      <c r="J27" s="254">
        <v>25262.11</v>
      </c>
      <c r="K27" s="254">
        <v>28286.95</v>
      </c>
      <c r="L27" s="254">
        <v>1966.35</v>
      </c>
      <c r="M27" s="254">
        <v>-132.55000000000001</v>
      </c>
      <c r="N27" s="255"/>
      <c r="O27" s="255"/>
      <c r="P27" s="255"/>
      <c r="Q27" s="254">
        <v>95</v>
      </c>
      <c r="R27" s="254">
        <v>400</v>
      </c>
      <c r="S27" s="254">
        <v>16917</v>
      </c>
      <c r="T27" s="254">
        <v>11132</v>
      </c>
      <c r="U27" s="254">
        <v>121318</v>
      </c>
    </row>
    <row r="28" spans="1:21" x14ac:dyDescent="0.25">
      <c r="A28" s="290"/>
      <c r="B28" s="293"/>
      <c r="C28" s="290"/>
      <c r="D28" s="293"/>
      <c r="E28" s="290"/>
      <c r="F28" s="293"/>
      <c r="G28" s="253" t="s">
        <v>149</v>
      </c>
      <c r="H28" s="254">
        <v>9590439</v>
      </c>
      <c r="I28" s="254">
        <v>11448805</v>
      </c>
      <c r="J28" s="254">
        <v>8399432</v>
      </c>
      <c r="K28" s="254">
        <v>6022428</v>
      </c>
      <c r="L28" s="254">
        <v>3335327</v>
      </c>
      <c r="M28" s="254">
        <v>1558960</v>
      </c>
      <c r="N28" s="254">
        <v>1385588</v>
      </c>
      <c r="O28" s="254">
        <v>1340216</v>
      </c>
      <c r="P28" s="254">
        <v>1190177</v>
      </c>
      <c r="Q28" s="254">
        <v>1422926</v>
      </c>
      <c r="R28" s="254">
        <v>2229373</v>
      </c>
      <c r="S28" s="254">
        <v>3326210</v>
      </c>
      <c r="T28" s="254">
        <v>6410475</v>
      </c>
      <c r="U28" s="254">
        <v>57660356</v>
      </c>
    </row>
    <row r="29" spans="1:21" ht="25.5" x14ac:dyDescent="0.25">
      <c r="A29" s="290"/>
      <c r="B29" s="293"/>
      <c r="C29" s="290"/>
      <c r="D29" s="293"/>
      <c r="E29" s="290"/>
      <c r="F29" s="293"/>
      <c r="G29" s="253" t="s">
        <v>150</v>
      </c>
      <c r="H29" s="255"/>
      <c r="I29" s="254">
        <v>16030.85</v>
      </c>
      <c r="J29" s="254">
        <v>23089.439999999999</v>
      </c>
      <c r="K29" s="254">
        <v>17156.14</v>
      </c>
      <c r="L29" s="254">
        <v>-1</v>
      </c>
      <c r="M29" s="254">
        <v>226.68</v>
      </c>
      <c r="N29" s="255"/>
      <c r="O29" s="255"/>
      <c r="P29" s="255"/>
      <c r="Q29" s="255"/>
      <c r="R29" s="255"/>
      <c r="S29" s="254">
        <v>27901.03</v>
      </c>
      <c r="T29" s="254">
        <v>5900.86</v>
      </c>
      <c r="U29" s="254">
        <v>90304</v>
      </c>
    </row>
    <row r="30" spans="1:21" x14ac:dyDescent="0.25">
      <c r="A30" s="290"/>
      <c r="B30" s="293"/>
      <c r="C30" s="290"/>
      <c r="D30" s="293"/>
      <c r="E30" s="291"/>
      <c r="F30" s="294"/>
      <c r="G30" s="252" t="s">
        <v>139</v>
      </c>
      <c r="H30" s="254">
        <v>12169857.470000001</v>
      </c>
      <c r="I30" s="254">
        <v>14024608.880000001</v>
      </c>
      <c r="J30" s="254">
        <v>12694443.060000001</v>
      </c>
      <c r="K30" s="254">
        <v>9142609.2799999993</v>
      </c>
      <c r="L30" s="254">
        <v>5930919.5899999999</v>
      </c>
      <c r="M30" s="254">
        <v>4100561.81</v>
      </c>
      <c r="N30" s="254">
        <v>3391547.05</v>
      </c>
      <c r="O30" s="254">
        <v>1927127.93</v>
      </c>
      <c r="P30" s="254">
        <v>1505085.24</v>
      </c>
      <c r="Q30" s="254">
        <v>3141956.36</v>
      </c>
      <c r="R30" s="254">
        <v>1993109.63</v>
      </c>
      <c r="S30" s="254">
        <v>3037547.04</v>
      </c>
      <c r="T30" s="254">
        <v>8106598.1900000004</v>
      </c>
      <c r="U30" s="254">
        <v>81165971.530000001</v>
      </c>
    </row>
    <row r="31" spans="1:21" x14ac:dyDescent="0.25">
      <c r="A31" s="290"/>
      <c r="B31" s="293"/>
      <c r="C31" s="290"/>
      <c r="D31" s="293"/>
      <c r="E31" s="289">
        <v>300</v>
      </c>
      <c r="F31" s="292" t="s">
        <v>151</v>
      </c>
      <c r="G31" s="253" t="s">
        <v>152</v>
      </c>
      <c r="H31" s="254">
        <v>-851690.7</v>
      </c>
      <c r="I31" s="254">
        <v>-858138.22</v>
      </c>
      <c r="J31" s="254">
        <v>-913690.08</v>
      </c>
      <c r="K31" s="254">
        <v>-943288.4</v>
      </c>
      <c r="L31" s="254">
        <v>-941564.52</v>
      </c>
      <c r="M31" s="254">
        <v>-921610.32</v>
      </c>
      <c r="N31" s="254">
        <v>-350000</v>
      </c>
      <c r="O31" s="254">
        <v>-321559.34999999998</v>
      </c>
      <c r="P31" s="254">
        <v>-292296.28999999998</v>
      </c>
      <c r="Q31" s="254">
        <v>-279535.05</v>
      </c>
      <c r="R31" s="254">
        <v>-240144.84</v>
      </c>
      <c r="S31" s="254">
        <v>-217647.18</v>
      </c>
      <c r="T31" s="254">
        <v>-222143.24</v>
      </c>
      <c r="U31" s="254">
        <v>-7353308.1900000004</v>
      </c>
    </row>
    <row r="32" spans="1:21" x14ac:dyDescent="0.25">
      <c r="A32" s="290"/>
      <c r="B32" s="293"/>
      <c r="C32" s="290"/>
      <c r="D32" s="293"/>
      <c r="E32" s="291"/>
      <c r="F32" s="294"/>
      <c r="G32" s="252" t="s">
        <v>151</v>
      </c>
      <c r="H32" s="254">
        <v>-851690.7</v>
      </c>
      <c r="I32" s="254">
        <v>-858138.22</v>
      </c>
      <c r="J32" s="254">
        <v>-913690.08</v>
      </c>
      <c r="K32" s="254">
        <v>-943288.4</v>
      </c>
      <c r="L32" s="254">
        <v>-941564.52</v>
      </c>
      <c r="M32" s="254">
        <v>-921610.32</v>
      </c>
      <c r="N32" s="254">
        <v>-350000</v>
      </c>
      <c r="O32" s="254">
        <v>-321559.34999999998</v>
      </c>
      <c r="P32" s="254">
        <v>-292296.28999999998</v>
      </c>
      <c r="Q32" s="254">
        <v>-279535.05</v>
      </c>
      <c r="R32" s="254">
        <v>-240144.84</v>
      </c>
      <c r="S32" s="254">
        <v>-217647.18</v>
      </c>
      <c r="T32" s="254">
        <v>-222143.24</v>
      </c>
      <c r="U32" s="254">
        <v>-7353308.1900000004</v>
      </c>
    </row>
    <row r="33" spans="1:21" ht="12.75" customHeight="1" x14ac:dyDescent="0.25">
      <c r="A33" s="290"/>
      <c r="B33" s="293"/>
      <c r="C33" s="291"/>
      <c r="D33" s="294"/>
      <c r="E33" s="295" t="s">
        <v>138</v>
      </c>
      <c r="F33" s="296"/>
      <c r="G33" s="297"/>
      <c r="H33" s="254">
        <v>11318166.77</v>
      </c>
      <c r="I33" s="254">
        <v>13166470.66</v>
      </c>
      <c r="J33" s="254">
        <v>11780752.98</v>
      </c>
      <c r="K33" s="254">
        <v>8199320.8799999999</v>
      </c>
      <c r="L33" s="254">
        <v>4989355.07</v>
      </c>
      <c r="M33" s="254">
        <v>3178951.49</v>
      </c>
      <c r="N33" s="254">
        <v>3041547.05</v>
      </c>
      <c r="O33" s="254">
        <v>1605568.58</v>
      </c>
      <c r="P33" s="254">
        <v>1212788.95</v>
      </c>
      <c r="Q33" s="254">
        <v>2862421.31</v>
      </c>
      <c r="R33" s="254">
        <v>1752964.79</v>
      </c>
      <c r="S33" s="254">
        <v>2819899.86</v>
      </c>
      <c r="T33" s="254">
        <v>7884454.9500000002</v>
      </c>
      <c r="U33" s="254">
        <v>73812663.340000004</v>
      </c>
    </row>
    <row r="34" spans="1:21" x14ac:dyDescent="0.25">
      <c r="A34" s="290"/>
      <c r="B34" s="293"/>
      <c r="C34" s="289">
        <v>300</v>
      </c>
      <c r="D34" s="292" t="s">
        <v>153</v>
      </c>
      <c r="E34" s="289">
        <v>400</v>
      </c>
      <c r="F34" s="292" t="s">
        <v>153</v>
      </c>
      <c r="G34" s="253" t="s">
        <v>154</v>
      </c>
      <c r="H34" s="254">
        <v>9955708</v>
      </c>
      <c r="I34" s="254">
        <v>5801889.7199999997</v>
      </c>
      <c r="J34" s="254">
        <v>3374647.69</v>
      </c>
      <c r="K34" s="254">
        <v>355979.61</v>
      </c>
      <c r="L34" s="255"/>
      <c r="M34" s="254">
        <v>1371572.57</v>
      </c>
      <c r="N34" s="254">
        <v>2888068.07</v>
      </c>
      <c r="O34" s="254">
        <v>4170196.39</v>
      </c>
      <c r="P34" s="254">
        <v>4397282.67</v>
      </c>
      <c r="Q34" s="254">
        <v>4397282.67</v>
      </c>
      <c r="R34" s="254">
        <v>4611336.16</v>
      </c>
      <c r="S34" s="254">
        <v>4611336.16</v>
      </c>
      <c r="T34" s="254">
        <v>3450409.52</v>
      </c>
      <c r="U34" s="254">
        <v>49385709.229999997</v>
      </c>
    </row>
    <row r="35" spans="1:21" x14ac:dyDescent="0.25">
      <c r="A35" s="290"/>
      <c r="B35" s="293"/>
      <c r="C35" s="290"/>
      <c r="D35" s="293"/>
      <c r="E35" s="290"/>
      <c r="F35" s="293"/>
      <c r="G35" s="253" t="s">
        <v>155</v>
      </c>
      <c r="H35" s="254">
        <v>-1350300</v>
      </c>
      <c r="I35" s="254">
        <v>-1350300</v>
      </c>
      <c r="J35" s="254">
        <v>-1350300</v>
      </c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4">
        <v>-4050900</v>
      </c>
    </row>
    <row r="36" spans="1:21" x14ac:dyDescent="0.25">
      <c r="A36" s="290"/>
      <c r="B36" s="293"/>
      <c r="C36" s="290"/>
      <c r="D36" s="293"/>
      <c r="E36" s="291"/>
      <c r="F36" s="294"/>
      <c r="G36" s="252" t="s">
        <v>153</v>
      </c>
      <c r="H36" s="254">
        <v>8605408</v>
      </c>
      <c r="I36" s="254">
        <v>4451589.72</v>
      </c>
      <c r="J36" s="254">
        <v>2024347.69</v>
      </c>
      <c r="K36" s="254">
        <v>355979.61</v>
      </c>
      <c r="L36" s="255"/>
      <c r="M36" s="254">
        <v>1371572.57</v>
      </c>
      <c r="N36" s="254">
        <v>2888068.07</v>
      </c>
      <c r="O36" s="254">
        <v>4170196.39</v>
      </c>
      <c r="P36" s="254">
        <v>4397282.67</v>
      </c>
      <c r="Q36" s="254">
        <v>4397282.67</v>
      </c>
      <c r="R36" s="254">
        <v>4611336.16</v>
      </c>
      <c r="S36" s="254">
        <v>4611336.16</v>
      </c>
      <c r="T36" s="254">
        <v>3450409.52</v>
      </c>
      <c r="U36" s="254">
        <v>45334809.229999997</v>
      </c>
    </row>
    <row r="37" spans="1:21" ht="12.75" customHeight="1" x14ac:dyDescent="0.25">
      <c r="A37" s="290"/>
      <c r="B37" s="293"/>
      <c r="C37" s="291"/>
      <c r="D37" s="294"/>
      <c r="E37" s="295" t="s">
        <v>153</v>
      </c>
      <c r="F37" s="296"/>
      <c r="G37" s="297"/>
      <c r="H37" s="254">
        <v>8605408</v>
      </c>
      <c r="I37" s="254">
        <v>4451589.72</v>
      </c>
      <c r="J37" s="254">
        <v>2024347.69</v>
      </c>
      <c r="K37" s="254">
        <v>355979.61</v>
      </c>
      <c r="L37" s="255"/>
      <c r="M37" s="254">
        <v>1371572.57</v>
      </c>
      <c r="N37" s="254">
        <v>2888068.07</v>
      </c>
      <c r="O37" s="254">
        <v>4170196.39</v>
      </c>
      <c r="P37" s="254">
        <v>4397282.67</v>
      </c>
      <c r="Q37" s="254">
        <v>4397282.67</v>
      </c>
      <c r="R37" s="254">
        <v>4611336.16</v>
      </c>
      <c r="S37" s="254">
        <v>4611336.16</v>
      </c>
      <c r="T37" s="254">
        <v>3450409.52</v>
      </c>
      <c r="U37" s="254">
        <v>45334809.229999997</v>
      </c>
    </row>
    <row r="38" spans="1:21" ht="25.5" x14ac:dyDescent="0.25">
      <c r="A38" s="290"/>
      <c r="B38" s="293"/>
      <c r="C38" s="289">
        <v>400</v>
      </c>
      <c r="D38" s="292" t="s">
        <v>156</v>
      </c>
      <c r="E38" s="289">
        <v>500</v>
      </c>
      <c r="F38" s="292" t="s">
        <v>156</v>
      </c>
      <c r="G38" s="253" t="s">
        <v>157</v>
      </c>
      <c r="H38" s="254">
        <v>3899264.62</v>
      </c>
      <c r="I38" s="254">
        <v>5830471.5800000001</v>
      </c>
      <c r="J38" s="254">
        <v>4537501.3499999996</v>
      </c>
      <c r="K38" s="254">
        <v>-3146018.66</v>
      </c>
      <c r="L38" s="254">
        <v>-4142764.93</v>
      </c>
      <c r="M38" s="254">
        <v>-4718065.46</v>
      </c>
      <c r="N38" s="254">
        <v>242389.39</v>
      </c>
      <c r="O38" s="254">
        <v>666495.5</v>
      </c>
      <c r="P38" s="254">
        <v>544496.23</v>
      </c>
      <c r="Q38" s="254">
        <v>1559876.83</v>
      </c>
      <c r="R38" s="254">
        <v>2062829.58</v>
      </c>
      <c r="S38" s="254">
        <v>3037085.23</v>
      </c>
      <c r="T38" s="254">
        <v>4215807.9400000004</v>
      </c>
      <c r="U38" s="254">
        <v>14589369.199999999</v>
      </c>
    </row>
    <row r="39" spans="1:21" x14ac:dyDescent="0.25">
      <c r="A39" s="290"/>
      <c r="B39" s="293"/>
      <c r="C39" s="290"/>
      <c r="D39" s="293"/>
      <c r="E39" s="290"/>
      <c r="F39" s="293"/>
      <c r="G39" s="253" t="s">
        <v>158</v>
      </c>
      <c r="H39" s="254">
        <v>8917524.9900000002</v>
      </c>
      <c r="I39" s="254">
        <v>7029141.1900000004</v>
      </c>
      <c r="J39" s="254">
        <v>4683103.82</v>
      </c>
      <c r="K39" s="254">
        <v>9516415.6699999999</v>
      </c>
      <c r="L39" s="254">
        <v>8498905.5700000003</v>
      </c>
      <c r="M39" s="254">
        <v>7688666.0499999998</v>
      </c>
      <c r="N39" s="254">
        <v>2650634.39</v>
      </c>
      <c r="O39" s="254">
        <v>2453293.92</v>
      </c>
      <c r="P39" s="254">
        <v>2273695.4300000002</v>
      </c>
      <c r="Q39" s="254">
        <v>1630974.93</v>
      </c>
      <c r="R39" s="254">
        <v>1442840.5</v>
      </c>
      <c r="S39" s="254">
        <v>1210348.23</v>
      </c>
      <c r="T39" s="254">
        <v>1120895.06</v>
      </c>
      <c r="U39" s="254">
        <v>59116439.75</v>
      </c>
    </row>
    <row r="40" spans="1:21" ht="25.5" x14ac:dyDescent="0.25">
      <c r="A40" s="290"/>
      <c r="B40" s="293"/>
      <c r="C40" s="290"/>
      <c r="D40" s="293"/>
      <c r="E40" s="290"/>
      <c r="F40" s="293"/>
      <c r="G40" s="253" t="s">
        <v>159</v>
      </c>
      <c r="H40" s="254">
        <v>3832.7</v>
      </c>
      <c r="I40" s="254">
        <v>18800.45</v>
      </c>
      <c r="J40" s="254">
        <v>-748.13</v>
      </c>
      <c r="K40" s="254">
        <v>-7951.77</v>
      </c>
      <c r="L40" s="254">
        <v>-16430.27</v>
      </c>
      <c r="M40" s="254">
        <v>-4995.7299999999996</v>
      </c>
      <c r="N40" s="254">
        <v>-16889.580000000002</v>
      </c>
      <c r="O40" s="254">
        <v>-14102.59</v>
      </c>
      <c r="P40" s="254">
        <v>-11426.77</v>
      </c>
      <c r="Q40" s="254">
        <v>31370.7</v>
      </c>
      <c r="R40" s="254">
        <v>34173.699999999997</v>
      </c>
      <c r="S40" s="254">
        <v>30348.1</v>
      </c>
      <c r="T40" s="254">
        <v>-94084.05</v>
      </c>
      <c r="U40" s="254">
        <v>-48103.24</v>
      </c>
    </row>
    <row r="41" spans="1:21" x14ac:dyDescent="0.25">
      <c r="A41" s="290"/>
      <c r="B41" s="293"/>
      <c r="C41" s="290"/>
      <c r="D41" s="293"/>
      <c r="E41" s="290"/>
      <c r="F41" s="293"/>
      <c r="G41" s="253" t="s">
        <v>160</v>
      </c>
      <c r="H41" s="254">
        <v>-6787692</v>
      </c>
      <c r="I41" s="254">
        <v>-7831321</v>
      </c>
      <c r="J41" s="254">
        <v>-5555169</v>
      </c>
      <c r="K41" s="254">
        <v>-3660305</v>
      </c>
      <c r="L41" s="254">
        <v>-1924422</v>
      </c>
      <c r="M41" s="254">
        <v>-662095</v>
      </c>
      <c r="N41" s="254">
        <v>-519191</v>
      </c>
      <c r="O41" s="254">
        <v>-539439</v>
      </c>
      <c r="P41" s="254">
        <v>-419499</v>
      </c>
      <c r="Q41" s="254">
        <v>-592952</v>
      </c>
      <c r="R41" s="254">
        <v>-1022823</v>
      </c>
      <c r="S41" s="254">
        <v>-1636332</v>
      </c>
      <c r="T41" s="254">
        <v>-3668861</v>
      </c>
      <c r="U41" s="254">
        <v>-34820101</v>
      </c>
    </row>
    <row r="42" spans="1:21" x14ac:dyDescent="0.25">
      <c r="A42" s="290"/>
      <c r="B42" s="293"/>
      <c r="C42" s="290"/>
      <c r="D42" s="293"/>
      <c r="E42" s="291"/>
      <c r="F42" s="294"/>
      <c r="G42" s="252" t="s">
        <v>156</v>
      </c>
      <c r="H42" s="254">
        <v>6032930.3099999996</v>
      </c>
      <c r="I42" s="254">
        <v>5047092.22</v>
      </c>
      <c r="J42" s="254">
        <v>3664688.04</v>
      </c>
      <c r="K42" s="254">
        <v>2702140.24</v>
      </c>
      <c r="L42" s="254">
        <v>2415288.37</v>
      </c>
      <c r="M42" s="254">
        <v>2303509.86</v>
      </c>
      <c r="N42" s="254">
        <v>2356943.2000000002</v>
      </c>
      <c r="O42" s="254">
        <v>2566247.83</v>
      </c>
      <c r="P42" s="254">
        <v>2387265.89</v>
      </c>
      <c r="Q42" s="254">
        <v>2629270.46</v>
      </c>
      <c r="R42" s="254">
        <v>2517020.7799999998</v>
      </c>
      <c r="S42" s="254">
        <v>2641449.56</v>
      </c>
      <c r="T42" s="254">
        <v>1573757.95</v>
      </c>
      <c r="U42" s="254">
        <v>38837604.710000001</v>
      </c>
    </row>
    <row r="43" spans="1:21" ht="12.75" customHeight="1" x14ac:dyDescent="0.25">
      <c r="A43" s="290"/>
      <c r="B43" s="293"/>
      <c r="C43" s="291"/>
      <c r="D43" s="294"/>
      <c r="E43" s="295" t="s">
        <v>156</v>
      </c>
      <c r="F43" s="296"/>
      <c r="G43" s="297"/>
      <c r="H43" s="254">
        <v>6032930.3099999996</v>
      </c>
      <c r="I43" s="254">
        <v>5047092.22</v>
      </c>
      <c r="J43" s="254">
        <v>3664688.04</v>
      </c>
      <c r="K43" s="254">
        <v>2702140.24</v>
      </c>
      <c r="L43" s="254">
        <v>2415288.37</v>
      </c>
      <c r="M43" s="254">
        <v>2303509.86</v>
      </c>
      <c r="N43" s="254">
        <v>2356943.2000000002</v>
      </c>
      <c r="O43" s="254">
        <v>2566247.83</v>
      </c>
      <c r="P43" s="254">
        <v>2387265.89</v>
      </c>
      <c r="Q43" s="254">
        <v>2629270.46</v>
      </c>
      <c r="R43" s="254">
        <v>2517020.7799999998</v>
      </c>
      <c r="S43" s="254">
        <v>2641449.56</v>
      </c>
      <c r="T43" s="254">
        <v>1573757.95</v>
      </c>
      <c r="U43" s="254">
        <v>38837604.710000001</v>
      </c>
    </row>
    <row r="44" spans="1:21" x14ac:dyDescent="0.25">
      <c r="A44" s="290"/>
      <c r="B44" s="293"/>
      <c r="C44" s="289">
        <v>500</v>
      </c>
      <c r="D44" s="292" t="s">
        <v>161</v>
      </c>
      <c r="E44" s="289">
        <v>600</v>
      </c>
      <c r="F44" s="292" t="s">
        <v>161</v>
      </c>
      <c r="G44" s="253" t="s">
        <v>162</v>
      </c>
      <c r="H44" s="254">
        <v>585416.48</v>
      </c>
      <c r="I44" s="254">
        <v>645146.42000000004</v>
      </c>
      <c r="J44" s="254">
        <v>586179.78</v>
      </c>
      <c r="K44" s="254">
        <v>609388.1</v>
      </c>
      <c r="L44" s="254">
        <v>566711.36</v>
      </c>
      <c r="M44" s="254">
        <v>640027.63</v>
      </c>
      <c r="N44" s="254">
        <v>666244.18999999994</v>
      </c>
      <c r="O44" s="254">
        <v>720941.47</v>
      </c>
      <c r="P44" s="254">
        <v>615096.34</v>
      </c>
      <c r="Q44" s="254">
        <v>579161.64</v>
      </c>
      <c r="R44" s="254">
        <v>577308.74</v>
      </c>
      <c r="S44" s="254">
        <v>560979.29</v>
      </c>
      <c r="T44" s="254">
        <v>525775.48</v>
      </c>
      <c r="U44" s="254">
        <v>7878376.9199999999</v>
      </c>
    </row>
    <row r="45" spans="1:21" x14ac:dyDescent="0.25">
      <c r="A45" s="290"/>
      <c r="B45" s="293"/>
      <c r="C45" s="290"/>
      <c r="D45" s="293"/>
      <c r="E45" s="290"/>
      <c r="F45" s="293"/>
      <c r="G45" s="253" t="s">
        <v>163</v>
      </c>
      <c r="H45" s="254">
        <v>615393.42000000004</v>
      </c>
      <c r="I45" s="254">
        <v>696535.72</v>
      </c>
      <c r="J45" s="254">
        <v>787279.52</v>
      </c>
      <c r="K45" s="254">
        <v>909342.13</v>
      </c>
      <c r="L45" s="254">
        <v>982024.87</v>
      </c>
      <c r="M45" s="254">
        <v>1069887.02</v>
      </c>
      <c r="N45" s="254">
        <v>1146372.82</v>
      </c>
      <c r="O45" s="254">
        <v>91005.22</v>
      </c>
      <c r="P45" s="254">
        <v>193168.36</v>
      </c>
      <c r="Q45" s="254">
        <v>285230.64</v>
      </c>
      <c r="R45" s="254">
        <v>376304.14</v>
      </c>
      <c r="S45" s="254">
        <v>454854.61</v>
      </c>
      <c r="T45" s="254">
        <v>570903.59</v>
      </c>
      <c r="U45" s="254">
        <v>8178302.0599999996</v>
      </c>
    </row>
    <row r="46" spans="1:21" ht="25.5" x14ac:dyDescent="0.25">
      <c r="A46" s="290"/>
      <c r="B46" s="293"/>
      <c r="C46" s="290"/>
      <c r="D46" s="293"/>
      <c r="E46" s="290"/>
      <c r="F46" s="293"/>
      <c r="G46" s="253" t="s">
        <v>164</v>
      </c>
      <c r="H46" s="254">
        <v>-612401.99</v>
      </c>
      <c r="I46" s="254">
        <v>-722241.83</v>
      </c>
      <c r="J46" s="254">
        <v>-787823.83</v>
      </c>
      <c r="K46" s="254">
        <v>-900918.31</v>
      </c>
      <c r="L46" s="254">
        <v>-1004035.87</v>
      </c>
      <c r="M46" s="254">
        <v>-1069886.8700000001</v>
      </c>
      <c r="N46" s="254">
        <v>-1149811.99</v>
      </c>
      <c r="O46" s="254">
        <v>-103991.97</v>
      </c>
      <c r="P46" s="254">
        <v>-208761.52</v>
      </c>
      <c r="Q46" s="254">
        <v>-285230.90000000002</v>
      </c>
      <c r="R46" s="254">
        <v>-385599.15</v>
      </c>
      <c r="S46" s="254">
        <v>-466380.85</v>
      </c>
      <c r="T46" s="254">
        <v>-570941.15</v>
      </c>
      <c r="U46" s="254">
        <v>-8268026.2300000004</v>
      </c>
    </row>
    <row r="47" spans="1:21" ht="25.5" x14ac:dyDescent="0.25">
      <c r="A47" s="290"/>
      <c r="B47" s="293"/>
      <c r="C47" s="290"/>
      <c r="D47" s="293"/>
      <c r="E47" s="290"/>
      <c r="F47" s="293"/>
      <c r="G47" s="253" t="s">
        <v>165</v>
      </c>
      <c r="H47" s="254">
        <v>87686.18</v>
      </c>
      <c r="I47" s="254">
        <v>99814.720000000001</v>
      </c>
      <c r="J47" s="254">
        <v>106535.17</v>
      </c>
      <c r="K47" s="254">
        <v>118622.76</v>
      </c>
      <c r="L47" s="254">
        <v>136166.72</v>
      </c>
      <c r="M47" s="254">
        <v>146202.93</v>
      </c>
      <c r="N47" s="254">
        <v>158329.91</v>
      </c>
      <c r="O47" s="254">
        <v>16222.64</v>
      </c>
      <c r="P47" s="254">
        <v>32242.27</v>
      </c>
      <c r="Q47" s="254">
        <v>43805.19</v>
      </c>
      <c r="R47" s="254">
        <v>52514.400000000001</v>
      </c>
      <c r="S47" s="254">
        <v>59826.05</v>
      </c>
      <c r="T47" s="254">
        <v>67631.94</v>
      </c>
      <c r="U47" s="254">
        <v>1125600.8799999999</v>
      </c>
    </row>
    <row r="48" spans="1:21" ht="25.5" x14ac:dyDescent="0.25">
      <c r="A48" s="290"/>
      <c r="B48" s="293"/>
      <c r="C48" s="290"/>
      <c r="D48" s="293"/>
      <c r="E48" s="290"/>
      <c r="F48" s="293"/>
      <c r="G48" s="253" t="s">
        <v>166</v>
      </c>
      <c r="H48" s="254">
        <v>-87685.22</v>
      </c>
      <c r="I48" s="254">
        <v>-97782.65</v>
      </c>
      <c r="J48" s="254">
        <v>-111214.04</v>
      </c>
      <c r="K48" s="254">
        <v>-129295.03999999999</v>
      </c>
      <c r="L48" s="254">
        <v>-141984.07999999999</v>
      </c>
      <c r="M48" s="254">
        <v>-154238</v>
      </c>
      <c r="N48" s="254">
        <v>-158330.07999999999</v>
      </c>
      <c r="O48" s="254">
        <v>-15703.46</v>
      </c>
      <c r="P48" s="254">
        <v>-31517.24</v>
      </c>
      <c r="Q48" s="254">
        <v>-45172.86</v>
      </c>
      <c r="R48" s="254">
        <v>-57080.639999999999</v>
      </c>
      <c r="S48" s="254">
        <v>-67124.289999999994</v>
      </c>
      <c r="T48" s="254">
        <v>-67632.23</v>
      </c>
      <c r="U48" s="254">
        <v>-1164759.83</v>
      </c>
    </row>
    <row r="49" spans="1:22" x14ac:dyDescent="0.25">
      <c r="A49" s="290"/>
      <c r="B49" s="293"/>
      <c r="C49" s="290"/>
      <c r="D49" s="293"/>
      <c r="E49" s="290"/>
      <c r="F49" s="293"/>
      <c r="G49" s="253" t="s">
        <v>167</v>
      </c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4">
        <v>17.600000000000001</v>
      </c>
      <c r="S49" s="254">
        <v>17.600000000000001</v>
      </c>
      <c r="T49" s="254">
        <v>37.6</v>
      </c>
      <c r="U49" s="254">
        <v>72.8</v>
      </c>
    </row>
    <row r="50" spans="1:22" x14ac:dyDescent="0.25">
      <c r="A50" s="290"/>
      <c r="B50" s="293"/>
      <c r="C50" s="290"/>
      <c r="D50" s="293"/>
      <c r="E50" s="291"/>
      <c r="F50" s="294"/>
      <c r="G50" s="252" t="s">
        <v>161</v>
      </c>
      <c r="H50" s="254">
        <v>588408.87</v>
      </c>
      <c r="I50" s="254">
        <v>621472.38</v>
      </c>
      <c r="J50" s="254">
        <v>580956.6</v>
      </c>
      <c r="K50" s="254">
        <v>607139.64</v>
      </c>
      <c r="L50" s="254">
        <v>538883</v>
      </c>
      <c r="M50" s="254">
        <v>631992.71</v>
      </c>
      <c r="N50" s="254">
        <v>662804.85</v>
      </c>
      <c r="O50" s="254">
        <v>708473.9</v>
      </c>
      <c r="P50" s="254">
        <v>600228.21</v>
      </c>
      <c r="Q50" s="254">
        <v>577793.71</v>
      </c>
      <c r="R50" s="254">
        <v>563465.09</v>
      </c>
      <c r="S50" s="254">
        <v>542172.41</v>
      </c>
      <c r="T50" s="254">
        <v>525775.23</v>
      </c>
      <c r="U50" s="254">
        <v>7749566.5999999996</v>
      </c>
    </row>
    <row r="51" spans="1:22" ht="12.75" customHeight="1" x14ac:dyDescent="0.25">
      <c r="A51" s="290"/>
      <c r="B51" s="293"/>
      <c r="C51" s="291"/>
      <c r="D51" s="294"/>
      <c r="E51" s="295" t="s">
        <v>161</v>
      </c>
      <c r="F51" s="296"/>
      <c r="G51" s="297"/>
      <c r="H51" s="254">
        <v>588408.87</v>
      </c>
      <c r="I51" s="254">
        <v>621472.38</v>
      </c>
      <c r="J51" s="254">
        <v>580956.6</v>
      </c>
      <c r="K51" s="254">
        <v>607139.64</v>
      </c>
      <c r="L51" s="254">
        <v>538883</v>
      </c>
      <c r="M51" s="254">
        <v>631992.71</v>
      </c>
      <c r="N51" s="254">
        <v>662804.85</v>
      </c>
      <c r="O51" s="254">
        <v>708473.9</v>
      </c>
      <c r="P51" s="254">
        <v>600228.21</v>
      </c>
      <c r="Q51" s="254">
        <v>577793.71</v>
      </c>
      <c r="R51" s="254">
        <v>563465.09</v>
      </c>
      <c r="S51" s="254">
        <v>542172.41</v>
      </c>
      <c r="T51" s="254">
        <v>525775.23</v>
      </c>
      <c r="U51" s="254">
        <v>7749566.5999999996</v>
      </c>
    </row>
    <row r="52" spans="1:22" x14ac:dyDescent="0.25">
      <c r="A52" s="290"/>
      <c r="B52" s="293"/>
      <c r="C52" s="289">
        <v>600</v>
      </c>
      <c r="D52" s="298" t="s">
        <v>168</v>
      </c>
      <c r="E52" s="301">
        <v>700</v>
      </c>
      <c r="F52" s="298" t="s">
        <v>168</v>
      </c>
      <c r="G52" s="256" t="s">
        <v>169</v>
      </c>
      <c r="H52" s="257">
        <v>265542.82</v>
      </c>
      <c r="I52" s="257">
        <v>165594.54</v>
      </c>
      <c r="J52" s="257">
        <v>140601.78</v>
      </c>
      <c r="K52" s="257">
        <v>125609.02</v>
      </c>
      <c r="L52" s="257">
        <v>106568.73</v>
      </c>
      <c r="M52" s="257">
        <v>83597.88</v>
      </c>
      <c r="N52" s="257">
        <v>367478.93</v>
      </c>
      <c r="O52" s="257">
        <v>200589.36</v>
      </c>
      <c r="P52" s="257">
        <v>264802.83</v>
      </c>
      <c r="Q52" s="257">
        <v>280935.32</v>
      </c>
      <c r="R52" s="257">
        <v>211479.93</v>
      </c>
      <c r="S52" s="257">
        <v>212490.47</v>
      </c>
      <c r="T52" s="257">
        <v>271570.25</v>
      </c>
      <c r="U52" s="257">
        <v>2696861.86</v>
      </c>
      <c r="V52" s="258">
        <f t="shared" ref="V52:V54" si="0">U52/13</f>
        <v>207450.91230769228</v>
      </c>
    </row>
    <row r="53" spans="1:22" x14ac:dyDescent="0.25">
      <c r="A53" s="290"/>
      <c r="B53" s="293"/>
      <c r="C53" s="290"/>
      <c r="D53" s="299"/>
      <c r="E53" s="302"/>
      <c r="F53" s="299"/>
      <c r="G53" s="256" t="s">
        <v>170</v>
      </c>
      <c r="H53" s="257">
        <v>4050</v>
      </c>
      <c r="I53" s="257">
        <v>3775</v>
      </c>
      <c r="J53" s="257">
        <v>3775</v>
      </c>
      <c r="K53" s="257">
        <v>2825</v>
      </c>
      <c r="L53" s="257">
        <v>2825</v>
      </c>
      <c r="M53" s="257">
        <v>1925</v>
      </c>
      <c r="N53" s="259"/>
      <c r="O53" s="259"/>
      <c r="P53" s="259"/>
      <c r="Q53" s="259"/>
      <c r="R53" s="259"/>
      <c r="S53" s="259"/>
      <c r="T53" s="259"/>
      <c r="U53" s="257">
        <v>19175</v>
      </c>
      <c r="V53" s="258">
        <f t="shared" si="0"/>
        <v>1475</v>
      </c>
    </row>
    <row r="54" spans="1:22" x14ac:dyDescent="0.25">
      <c r="A54" s="290"/>
      <c r="B54" s="293"/>
      <c r="C54" s="290"/>
      <c r="D54" s="299"/>
      <c r="E54" s="302"/>
      <c r="F54" s="299"/>
      <c r="G54" s="256" t="s">
        <v>171</v>
      </c>
      <c r="H54" s="257">
        <v>2543256.25</v>
      </c>
      <c r="I54" s="257">
        <v>1816856.7</v>
      </c>
      <c r="J54" s="257">
        <v>1281667.21</v>
      </c>
      <c r="K54" s="257">
        <v>1122667.8899999999</v>
      </c>
      <c r="L54" s="257">
        <v>927107.9</v>
      </c>
      <c r="M54" s="257">
        <v>377091.67</v>
      </c>
      <c r="N54" s="257">
        <v>145280.56</v>
      </c>
      <c r="O54" s="257">
        <v>30773.56</v>
      </c>
      <c r="P54" s="257">
        <v>170239.38</v>
      </c>
      <c r="Q54" s="257">
        <v>1377369.72</v>
      </c>
      <c r="R54" s="257">
        <v>1040441.01</v>
      </c>
      <c r="S54" s="257">
        <v>1058336.81</v>
      </c>
      <c r="T54" s="257">
        <v>1400719.08</v>
      </c>
      <c r="U54" s="257">
        <v>13291807.74</v>
      </c>
      <c r="V54" s="258">
        <f t="shared" si="0"/>
        <v>1022446.7492307692</v>
      </c>
    </row>
    <row r="55" spans="1:22" x14ac:dyDescent="0.25">
      <c r="A55" s="290"/>
      <c r="B55" s="293"/>
      <c r="C55" s="290"/>
      <c r="D55" s="299"/>
      <c r="E55" s="302"/>
      <c r="F55" s="299"/>
      <c r="G55" s="256" t="s">
        <v>172</v>
      </c>
      <c r="H55" s="257">
        <v>186295.58</v>
      </c>
      <c r="I55" s="257">
        <v>105139.32</v>
      </c>
      <c r="J55" s="257">
        <v>121963.95</v>
      </c>
      <c r="K55" s="257">
        <v>834190.97</v>
      </c>
      <c r="L55" s="257">
        <v>749503.55</v>
      </c>
      <c r="M55" s="257">
        <v>667811.18999999994</v>
      </c>
      <c r="N55" s="257">
        <v>586693.27</v>
      </c>
      <c r="O55" s="257">
        <v>613987.77</v>
      </c>
      <c r="P55" s="257">
        <v>551379.15</v>
      </c>
      <c r="Q55" s="257">
        <v>466816.93</v>
      </c>
      <c r="R55" s="257">
        <v>382164.41</v>
      </c>
      <c r="S55" s="257">
        <v>297811.89</v>
      </c>
      <c r="T55" s="257">
        <v>213259.37</v>
      </c>
      <c r="U55" s="257">
        <v>5777017.3499999996</v>
      </c>
      <c r="V55" s="258">
        <f>U55/13</f>
        <v>444385.94999999995</v>
      </c>
    </row>
    <row r="56" spans="1:22" x14ac:dyDescent="0.25">
      <c r="A56" s="290"/>
      <c r="B56" s="293"/>
      <c r="C56" s="290"/>
      <c r="D56" s="299"/>
      <c r="E56" s="302"/>
      <c r="F56" s="299"/>
      <c r="G56" s="256" t="s">
        <v>173</v>
      </c>
      <c r="H56" s="259"/>
      <c r="I56" s="257">
        <v>10000</v>
      </c>
      <c r="J56" s="257">
        <v>10043.41</v>
      </c>
      <c r="K56" s="259"/>
      <c r="L56" s="257">
        <v>10000</v>
      </c>
      <c r="M56" s="257">
        <v>10000</v>
      </c>
      <c r="N56" s="259"/>
      <c r="O56" s="259"/>
      <c r="P56" s="259"/>
      <c r="Q56" s="259"/>
      <c r="R56" s="259"/>
      <c r="S56" s="259"/>
      <c r="T56" s="259"/>
      <c r="U56" s="257">
        <v>40043.410000000003</v>
      </c>
      <c r="V56" s="258">
        <f t="shared" ref="V56:V59" si="1">U56/13</f>
        <v>3080.2623076923078</v>
      </c>
    </row>
    <row r="57" spans="1:22" x14ac:dyDescent="0.25">
      <c r="A57" s="290"/>
      <c r="B57" s="293"/>
      <c r="C57" s="290"/>
      <c r="D57" s="299"/>
      <c r="E57" s="302"/>
      <c r="F57" s="299"/>
      <c r="G57" s="256" t="s">
        <v>174</v>
      </c>
      <c r="H57" s="259"/>
      <c r="I57" s="259"/>
      <c r="J57" s="259"/>
      <c r="K57" s="259"/>
      <c r="L57" s="259"/>
      <c r="M57" s="259"/>
      <c r="N57" s="259"/>
      <c r="O57" s="257">
        <v>-314.60000000000002</v>
      </c>
      <c r="P57" s="257">
        <v>-629.20000000000005</v>
      </c>
      <c r="Q57" s="257">
        <v>-314.60000000000002</v>
      </c>
      <c r="R57" s="259"/>
      <c r="S57" s="259"/>
      <c r="T57" s="259"/>
      <c r="U57" s="257">
        <v>-1258.4000000000001</v>
      </c>
      <c r="V57" s="258">
        <f t="shared" si="1"/>
        <v>-96.800000000000011</v>
      </c>
    </row>
    <row r="58" spans="1:22" x14ac:dyDescent="0.25">
      <c r="A58" s="290"/>
      <c r="B58" s="293"/>
      <c r="C58" s="290"/>
      <c r="D58" s="299"/>
      <c r="E58" s="302"/>
      <c r="F58" s="299"/>
      <c r="G58" s="256" t="s">
        <v>175</v>
      </c>
      <c r="H58" s="259"/>
      <c r="I58" s="259"/>
      <c r="J58" s="259"/>
      <c r="K58" s="259"/>
      <c r="L58" s="259"/>
      <c r="M58" s="259"/>
      <c r="N58" s="259"/>
      <c r="O58" s="259"/>
      <c r="P58" s="257">
        <v>14</v>
      </c>
      <c r="Q58" s="259"/>
      <c r="R58" s="259"/>
      <c r="S58" s="259"/>
      <c r="T58" s="259"/>
      <c r="U58" s="257">
        <v>14</v>
      </c>
      <c r="V58" s="258">
        <f t="shared" si="1"/>
        <v>1.0769230769230769</v>
      </c>
    </row>
    <row r="59" spans="1:22" x14ac:dyDescent="0.25">
      <c r="A59" s="290"/>
      <c r="B59" s="293"/>
      <c r="C59" s="290"/>
      <c r="D59" s="299"/>
      <c r="E59" s="302"/>
      <c r="F59" s="299"/>
      <c r="G59" s="256" t="s">
        <v>176</v>
      </c>
      <c r="H59" s="259"/>
      <c r="I59" s="259"/>
      <c r="J59" s="259"/>
      <c r="K59" s="259"/>
      <c r="L59" s="259"/>
      <c r="M59" s="259"/>
      <c r="N59" s="259"/>
      <c r="O59" s="259"/>
      <c r="P59" s="257">
        <v>-55.8</v>
      </c>
      <c r="Q59" s="259"/>
      <c r="R59" s="257">
        <v>74.8</v>
      </c>
      <c r="S59" s="257">
        <v>-78.400000000000006</v>
      </c>
      <c r="T59" s="257">
        <v>-3.6</v>
      </c>
      <c r="U59" s="257">
        <v>-63</v>
      </c>
      <c r="V59" s="258">
        <f t="shared" si="1"/>
        <v>-4.8461538461538458</v>
      </c>
    </row>
    <row r="60" spans="1:22" x14ac:dyDescent="0.25">
      <c r="A60" s="290"/>
      <c r="B60" s="293"/>
      <c r="C60" s="290"/>
      <c r="D60" s="299"/>
      <c r="E60" s="303"/>
      <c r="F60" s="300"/>
      <c r="G60" s="260" t="s">
        <v>168</v>
      </c>
      <c r="H60" s="257">
        <v>2999144.65</v>
      </c>
      <c r="I60" s="257">
        <v>2101365.56</v>
      </c>
      <c r="J60" s="257">
        <v>1558051.35</v>
      </c>
      <c r="K60" s="257">
        <v>2085292.88</v>
      </c>
      <c r="L60" s="257">
        <v>1796005.18</v>
      </c>
      <c r="M60" s="257">
        <v>1140425.74</v>
      </c>
      <c r="N60" s="257">
        <v>1099452.76</v>
      </c>
      <c r="O60" s="257">
        <v>845036.09</v>
      </c>
      <c r="P60" s="257">
        <v>985750.36</v>
      </c>
      <c r="Q60" s="257">
        <v>2124807.37</v>
      </c>
      <c r="R60" s="257">
        <v>1634160.15</v>
      </c>
      <c r="S60" s="257">
        <v>1568560.77</v>
      </c>
      <c r="T60" s="257">
        <v>1885545.1</v>
      </c>
      <c r="U60" s="257">
        <v>21823597.960000001</v>
      </c>
      <c r="V60" s="258">
        <f>U60/13</f>
        <v>1678738.3046153847</v>
      </c>
    </row>
    <row r="61" spans="1:22" ht="12.75" customHeight="1" x14ac:dyDescent="0.25">
      <c r="A61" s="290"/>
      <c r="B61" s="293"/>
      <c r="C61" s="291"/>
      <c r="D61" s="300"/>
      <c r="E61" s="304" t="s">
        <v>168</v>
      </c>
      <c r="F61" s="305"/>
      <c r="G61" s="306"/>
      <c r="H61" s="257">
        <v>2999144.65</v>
      </c>
      <c r="I61" s="257">
        <v>2101365.56</v>
      </c>
      <c r="J61" s="257">
        <v>1558051.35</v>
      </c>
      <c r="K61" s="257">
        <v>2085292.88</v>
      </c>
      <c r="L61" s="257">
        <v>1796005.18</v>
      </c>
      <c r="M61" s="257">
        <v>1140425.74</v>
      </c>
      <c r="N61" s="257">
        <v>1099452.76</v>
      </c>
      <c r="O61" s="257">
        <v>845036.09</v>
      </c>
      <c r="P61" s="257">
        <v>985750.36</v>
      </c>
      <c r="Q61" s="257">
        <v>2124807.37</v>
      </c>
      <c r="R61" s="257">
        <v>1634160.15</v>
      </c>
      <c r="S61" s="257">
        <v>1568560.77</v>
      </c>
      <c r="T61" s="257">
        <v>1885545.1</v>
      </c>
      <c r="U61" s="257">
        <v>21823597.960000001</v>
      </c>
    </row>
    <row r="62" spans="1:22" ht="12.75" customHeight="1" x14ac:dyDescent="0.25">
      <c r="A62" s="291"/>
      <c r="B62" s="294"/>
      <c r="C62" s="295" t="s">
        <v>122</v>
      </c>
      <c r="D62" s="296"/>
      <c r="E62" s="296"/>
      <c r="F62" s="296"/>
      <c r="G62" s="297"/>
      <c r="H62" s="254">
        <v>29868921.23</v>
      </c>
      <c r="I62" s="254">
        <v>26013843.260000002</v>
      </c>
      <c r="J62" s="254">
        <v>20252417.109999999</v>
      </c>
      <c r="K62" s="254">
        <v>14823545.33</v>
      </c>
      <c r="L62" s="254">
        <v>9709692.5600000005</v>
      </c>
      <c r="M62" s="254">
        <v>8869405.4800000004</v>
      </c>
      <c r="N62" s="254">
        <v>10171405.140000001</v>
      </c>
      <c r="O62" s="254">
        <v>9719518.5800000001</v>
      </c>
      <c r="P62" s="254">
        <v>9701420.2100000009</v>
      </c>
      <c r="Q62" s="254">
        <v>12699201.18</v>
      </c>
      <c r="R62" s="254">
        <v>10959718.32</v>
      </c>
      <c r="S62" s="254">
        <v>12624357.970000001</v>
      </c>
      <c r="T62" s="254">
        <v>15458088.890000001</v>
      </c>
      <c r="U62" s="254">
        <v>190871535.25999999</v>
      </c>
    </row>
    <row r="63" spans="1:22" ht="25.5" x14ac:dyDescent="0.25">
      <c r="A63" s="289">
        <v>200</v>
      </c>
      <c r="B63" s="292" t="s">
        <v>177</v>
      </c>
      <c r="C63" s="289">
        <v>700</v>
      </c>
      <c r="D63" s="292" t="s">
        <v>178</v>
      </c>
      <c r="E63" s="289">
        <v>800</v>
      </c>
      <c r="F63" s="292" t="s">
        <v>178</v>
      </c>
      <c r="G63" s="253" t="s">
        <v>179</v>
      </c>
      <c r="H63" s="254">
        <v>30755.31</v>
      </c>
      <c r="I63" s="254">
        <v>117372.31</v>
      </c>
      <c r="J63" s="254">
        <v>183643.31</v>
      </c>
      <c r="K63" s="254">
        <v>242825.31</v>
      </c>
      <c r="L63" s="254">
        <v>289239.31</v>
      </c>
      <c r="M63" s="254">
        <v>301240.31</v>
      </c>
      <c r="N63" s="254">
        <v>234721.31</v>
      </c>
      <c r="O63" s="254">
        <v>266371.31</v>
      </c>
      <c r="P63" s="254">
        <v>307233.31</v>
      </c>
      <c r="Q63" s="254">
        <v>381398.31</v>
      </c>
      <c r="R63" s="254">
        <v>489260.31</v>
      </c>
      <c r="S63" s="254">
        <v>1000.4</v>
      </c>
      <c r="T63" s="254">
        <v>106127.4</v>
      </c>
      <c r="U63" s="254">
        <v>2951188.21</v>
      </c>
    </row>
    <row r="64" spans="1:22" x14ac:dyDescent="0.25">
      <c r="A64" s="290"/>
      <c r="B64" s="293"/>
      <c r="C64" s="290"/>
      <c r="D64" s="293"/>
      <c r="E64" s="290"/>
      <c r="F64" s="293"/>
      <c r="G64" s="253" t="s">
        <v>180</v>
      </c>
      <c r="H64" s="254">
        <v>21863.9</v>
      </c>
      <c r="I64" s="254">
        <v>283680.90000000002</v>
      </c>
      <c r="J64" s="254">
        <v>554017.9</v>
      </c>
      <c r="K64" s="254">
        <v>795914.9</v>
      </c>
      <c r="L64" s="254">
        <v>791179.9</v>
      </c>
      <c r="M64" s="254">
        <v>816944.9</v>
      </c>
      <c r="N64" s="254">
        <v>417910.9</v>
      </c>
      <c r="O64" s="254">
        <v>479836.9</v>
      </c>
      <c r="P64" s="254">
        <v>484685.9</v>
      </c>
      <c r="Q64" s="254">
        <v>486885.9</v>
      </c>
      <c r="R64" s="254">
        <v>535305.9</v>
      </c>
      <c r="S64" s="254">
        <v>1000.42</v>
      </c>
      <c r="T64" s="254">
        <v>-47321.58</v>
      </c>
      <c r="U64" s="254">
        <v>5621906.7400000002</v>
      </c>
    </row>
    <row r="65" spans="1:25" x14ac:dyDescent="0.25">
      <c r="A65" s="290"/>
      <c r="B65" s="293"/>
      <c r="C65" s="290"/>
      <c r="D65" s="293"/>
      <c r="E65" s="290"/>
      <c r="F65" s="293"/>
      <c r="G65" s="253" t="s">
        <v>181</v>
      </c>
      <c r="H65" s="254">
        <v>11839.18</v>
      </c>
      <c r="I65" s="254">
        <v>37175.18</v>
      </c>
      <c r="J65" s="254">
        <v>53642.18</v>
      </c>
      <c r="K65" s="254">
        <v>70814.179999999993</v>
      </c>
      <c r="L65" s="254">
        <v>77396.179999999993</v>
      </c>
      <c r="M65" s="254">
        <v>94446.18</v>
      </c>
      <c r="N65" s="254">
        <v>51914.18</v>
      </c>
      <c r="O65" s="254">
        <v>67689.179999999993</v>
      </c>
      <c r="P65" s="254">
        <v>80465.179999999993</v>
      </c>
      <c r="Q65" s="254">
        <v>95057.18</v>
      </c>
      <c r="R65" s="254">
        <v>111379.18</v>
      </c>
      <c r="S65" s="254">
        <v>998.89</v>
      </c>
      <c r="T65" s="254">
        <v>4165.8900000000003</v>
      </c>
      <c r="U65" s="254">
        <v>756982.76</v>
      </c>
    </row>
    <row r="66" spans="1:25" x14ac:dyDescent="0.25">
      <c r="A66" s="290"/>
      <c r="B66" s="293"/>
      <c r="C66" s="290"/>
      <c r="D66" s="293"/>
      <c r="E66" s="291"/>
      <c r="F66" s="294"/>
      <c r="G66" s="252" t="s">
        <v>178</v>
      </c>
      <c r="H66" s="254">
        <v>64458.39</v>
      </c>
      <c r="I66" s="254">
        <v>438228.39</v>
      </c>
      <c r="J66" s="254">
        <v>791303.39</v>
      </c>
      <c r="K66" s="254">
        <v>1109554.3899999999</v>
      </c>
      <c r="L66" s="254">
        <v>1157815.3899999999</v>
      </c>
      <c r="M66" s="254">
        <v>1212631.3899999999</v>
      </c>
      <c r="N66" s="254">
        <v>704546.39</v>
      </c>
      <c r="O66" s="254">
        <v>813897.39</v>
      </c>
      <c r="P66" s="254">
        <v>872384.39</v>
      </c>
      <c r="Q66" s="254">
        <v>963341.39</v>
      </c>
      <c r="R66" s="254">
        <v>1135945.3899999999</v>
      </c>
      <c r="S66" s="254">
        <v>2999.71</v>
      </c>
      <c r="T66" s="254">
        <v>62971.71</v>
      </c>
      <c r="U66" s="254">
        <v>9330077.7100000009</v>
      </c>
      <c r="Y66" s="261"/>
    </row>
    <row r="67" spans="1:25" ht="12.75" customHeight="1" x14ac:dyDescent="0.25">
      <c r="A67" s="290"/>
      <c r="B67" s="293"/>
      <c r="C67" s="291"/>
      <c r="D67" s="294"/>
      <c r="E67" s="295" t="s">
        <v>178</v>
      </c>
      <c r="F67" s="296"/>
      <c r="G67" s="297"/>
      <c r="H67" s="254">
        <v>64458.39</v>
      </c>
      <c r="I67" s="254">
        <v>438228.39</v>
      </c>
      <c r="J67" s="254">
        <v>791303.39</v>
      </c>
      <c r="K67" s="254">
        <v>1109554.3899999999</v>
      </c>
      <c r="L67" s="254">
        <v>1157815.3899999999</v>
      </c>
      <c r="M67" s="254">
        <v>1212631.3899999999</v>
      </c>
      <c r="N67" s="254">
        <v>704546.39</v>
      </c>
      <c r="O67" s="254">
        <v>813897.39</v>
      </c>
      <c r="P67" s="254">
        <v>872384.39</v>
      </c>
      <c r="Q67" s="254">
        <v>963341.39</v>
      </c>
      <c r="R67" s="254">
        <v>1135945.3899999999</v>
      </c>
      <c r="S67" s="254">
        <v>2999.71</v>
      </c>
      <c r="T67" s="254">
        <v>62971.71</v>
      </c>
      <c r="U67" s="254">
        <v>9330077.7100000009</v>
      </c>
      <c r="Y67" s="261"/>
    </row>
    <row r="68" spans="1:25" x14ac:dyDescent="0.25">
      <c r="A68" s="290"/>
      <c r="B68" s="293"/>
      <c r="C68" s="289">
        <v>800</v>
      </c>
      <c r="D68" s="292" t="s">
        <v>182</v>
      </c>
      <c r="E68" s="289">
        <v>900</v>
      </c>
      <c r="F68" s="292" t="s">
        <v>182</v>
      </c>
      <c r="G68" s="253" t="s">
        <v>183</v>
      </c>
      <c r="H68" s="254">
        <v>3481235.69</v>
      </c>
      <c r="I68" s="254">
        <v>3164705.19</v>
      </c>
      <c r="J68" s="254">
        <v>2336828.5699999998</v>
      </c>
      <c r="K68" s="254">
        <v>1850143.9</v>
      </c>
      <c r="L68" s="254">
        <v>1377649.91</v>
      </c>
      <c r="M68" s="254">
        <v>1079883.05</v>
      </c>
      <c r="N68" s="254">
        <v>1486893.53</v>
      </c>
      <c r="O68" s="254">
        <v>1383865.63</v>
      </c>
      <c r="P68" s="254">
        <v>1280089.6100000001</v>
      </c>
      <c r="Q68" s="254">
        <v>203282.94</v>
      </c>
      <c r="R68" s="254">
        <v>276048.15000000002</v>
      </c>
      <c r="S68" s="254">
        <v>677660.57</v>
      </c>
      <c r="T68" s="254">
        <v>757760.78</v>
      </c>
      <c r="U68" s="254">
        <v>19356047.52</v>
      </c>
      <c r="Y68" s="261"/>
    </row>
    <row r="69" spans="1:25" x14ac:dyDescent="0.25">
      <c r="A69" s="290"/>
      <c r="B69" s="293"/>
      <c r="C69" s="290"/>
      <c r="D69" s="293"/>
      <c r="E69" s="290"/>
      <c r="F69" s="293"/>
      <c r="G69" s="253" t="s">
        <v>184</v>
      </c>
      <c r="H69" s="254">
        <v>3464850.31</v>
      </c>
      <c r="I69" s="254">
        <v>2064237.37</v>
      </c>
      <c r="J69" s="254">
        <v>140451.09</v>
      </c>
      <c r="K69" s="254">
        <v>-2021847.24</v>
      </c>
      <c r="L69" s="254">
        <v>-4863553.8099999996</v>
      </c>
      <c r="M69" s="254">
        <v>-6395060.6600000001</v>
      </c>
      <c r="N69" s="254">
        <v>-4818591.82</v>
      </c>
      <c r="O69" s="254">
        <v>-4891786.57</v>
      </c>
      <c r="P69" s="254">
        <v>-5086746.97</v>
      </c>
      <c r="Q69" s="254">
        <v>-4447019.08</v>
      </c>
      <c r="R69" s="254">
        <v>-2795303.74</v>
      </c>
      <c r="S69" s="254">
        <v>-737185.06</v>
      </c>
      <c r="T69" s="254">
        <v>-240845.81</v>
      </c>
      <c r="U69" s="254">
        <v>-30628401.989999998</v>
      </c>
    </row>
    <row r="70" spans="1:25" x14ac:dyDescent="0.25">
      <c r="A70" s="290"/>
      <c r="B70" s="293"/>
      <c r="C70" s="290"/>
      <c r="D70" s="293"/>
      <c r="E70" s="290"/>
      <c r="F70" s="293"/>
      <c r="G70" s="253" t="s">
        <v>185</v>
      </c>
      <c r="H70" s="254">
        <v>10075623.539999999</v>
      </c>
      <c r="I70" s="254">
        <v>10078084.98</v>
      </c>
      <c r="J70" s="254">
        <v>9991596.5500000007</v>
      </c>
      <c r="K70" s="254">
        <v>10000586.210000001</v>
      </c>
      <c r="L70" s="254">
        <v>9997582.0999999996</v>
      </c>
      <c r="M70" s="254">
        <v>9998531.0800000001</v>
      </c>
      <c r="N70" s="254">
        <v>10298003.41</v>
      </c>
      <c r="O70" s="254">
        <v>10312214.25</v>
      </c>
      <c r="P70" s="254">
        <v>10312900.16</v>
      </c>
      <c r="Q70" s="254">
        <v>10313394.84</v>
      </c>
      <c r="R70" s="254">
        <v>10304239.67</v>
      </c>
      <c r="S70" s="254">
        <v>10429659.560000001</v>
      </c>
      <c r="T70" s="254">
        <v>10467779.880000001</v>
      </c>
      <c r="U70" s="254">
        <v>132580196.23</v>
      </c>
    </row>
    <row r="71" spans="1:25" x14ac:dyDescent="0.25">
      <c r="A71" s="290"/>
      <c r="B71" s="293"/>
      <c r="C71" s="290"/>
      <c r="D71" s="293"/>
      <c r="E71" s="291"/>
      <c r="F71" s="294"/>
      <c r="G71" s="252" t="s">
        <v>182</v>
      </c>
      <c r="H71" s="254">
        <v>17021709.539999999</v>
      </c>
      <c r="I71" s="254">
        <v>15307027.539999999</v>
      </c>
      <c r="J71" s="254">
        <v>12468876.210000001</v>
      </c>
      <c r="K71" s="254">
        <v>9828882.8699999992</v>
      </c>
      <c r="L71" s="254">
        <v>6511678.2000000002</v>
      </c>
      <c r="M71" s="254">
        <v>4683353.47</v>
      </c>
      <c r="N71" s="254">
        <v>6966305.1200000001</v>
      </c>
      <c r="O71" s="254">
        <v>6804293.3099999996</v>
      </c>
      <c r="P71" s="254">
        <v>6506242.7999999998</v>
      </c>
      <c r="Q71" s="254">
        <v>6069658.7000000002</v>
      </c>
      <c r="R71" s="254">
        <v>7784984.0800000001</v>
      </c>
      <c r="S71" s="254">
        <v>10370135.07</v>
      </c>
      <c r="T71" s="254">
        <v>10984694.85</v>
      </c>
      <c r="U71" s="254">
        <v>121307841.76000001</v>
      </c>
    </row>
    <row r="72" spans="1:25" ht="12.75" customHeight="1" x14ac:dyDescent="0.25">
      <c r="A72" s="290"/>
      <c r="B72" s="293"/>
      <c r="C72" s="291"/>
      <c r="D72" s="294"/>
      <c r="E72" s="295" t="s">
        <v>182</v>
      </c>
      <c r="F72" s="296"/>
      <c r="G72" s="297"/>
      <c r="H72" s="254">
        <v>17021709.539999999</v>
      </c>
      <c r="I72" s="254">
        <v>15307027.539999999</v>
      </c>
      <c r="J72" s="254">
        <v>12468876.210000001</v>
      </c>
      <c r="K72" s="254">
        <v>9828882.8699999992</v>
      </c>
      <c r="L72" s="254">
        <v>6511678.2000000002</v>
      </c>
      <c r="M72" s="254">
        <v>4683353.47</v>
      </c>
      <c r="N72" s="254">
        <v>6966305.1200000001</v>
      </c>
      <c r="O72" s="254">
        <v>6804293.3099999996</v>
      </c>
      <c r="P72" s="254">
        <v>6506242.7999999998</v>
      </c>
      <c r="Q72" s="254">
        <v>6069658.7000000002</v>
      </c>
      <c r="R72" s="254">
        <v>7784984.0800000001</v>
      </c>
      <c r="S72" s="254">
        <v>10370135.07</v>
      </c>
      <c r="T72" s="254">
        <v>10984694.85</v>
      </c>
      <c r="U72" s="254">
        <v>121307841.76000001</v>
      </c>
    </row>
    <row r="73" spans="1:25" ht="25.5" x14ac:dyDescent="0.25">
      <c r="A73" s="290"/>
      <c r="B73" s="293"/>
      <c r="C73" s="289">
        <v>900</v>
      </c>
      <c r="D73" s="292" t="s">
        <v>186</v>
      </c>
      <c r="E73" s="289">
        <v>1000</v>
      </c>
      <c r="F73" s="292" t="s">
        <v>186</v>
      </c>
      <c r="G73" s="253" t="s">
        <v>187</v>
      </c>
      <c r="H73" s="254">
        <v>384939.66</v>
      </c>
      <c r="I73" s="254">
        <v>384939.66</v>
      </c>
      <c r="J73" s="254">
        <v>384939.66</v>
      </c>
      <c r="K73" s="254">
        <v>378046.56</v>
      </c>
      <c r="L73" s="254">
        <v>386620.56</v>
      </c>
      <c r="M73" s="254">
        <v>386620.56</v>
      </c>
      <c r="N73" s="254">
        <v>412660.65</v>
      </c>
      <c r="O73" s="254">
        <v>412660.65</v>
      </c>
      <c r="P73" s="254">
        <v>412660.65</v>
      </c>
      <c r="Q73" s="254">
        <v>432752.34</v>
      </c>
      <c r="R73" s="254">
        <v>432752.34</v>
      </c>
      <c r="S73" s="254">
        <v>432752.34</v>
      </c>
      <c r="T73" s="254">
        <v>440745.6</v>
      </c>
      <c r="U73" s="254">
        <v>5283091.2300000004</v>
      </c>
    </row>
    <row r="74" spans="1:25" x14ac:dyDescent="0.25">
      <c r="A74" s="290"/>
      <c r="B74" s="293"/>
      <c r="C74" s="290"/>
      <c r="D74" s="293"/>
      <c r="E74" s="291"/>
      <c r="F74" s="294"/>
      <c r="G74" s="252" t="s">
        <v>186</v>
      </c>
      <c r="H74" s="254">
        <v>384939.66</v>
      </c>
      <c r="I74" s="254">
        <v>384939.66</v>
      </c>
      <c r="J74" s="254">
        <v>384939.66</v>
      </c>
      <c r="K74" s="254">
        <v>378046.56</v>
      </c>
      <c r="L74" s="254">
        <v>386620.56</v>
      </c>
      <c r="M74" s="254">
        <v>386620.56</v>
      </c>
      <c r="N74" s="254">
        <v>412660.65</v>
      </c>
      <c r="O74" s="254">
        <v>412660.65</v>
      </c>
      <c r="P74" s="254">
        <v>412660.65</v>
      </c>
      <c r="Q74" s="254">
        <v>432752.34</v>
      </c>
      <c r="R74" s="254">
        <v>432752.34</v>
      </c>
      <c r="S74" s="254">
        <v>432752.34</v>
      </c>
      <c r="T74" s="254">
        <v>440745.6</v>
      </c>
      <c r="U74" s="254">
        <v>5283091.2300000004</v>
      </c>
    </row>
    <row r="75" spans="1:25" ht="12.75" customHeight="1" x14ac:dyDescent="0.25">
      <c r="A75" s="290"/>
      <c r="B75" s="293"/>
      <c r="C75" s="291"/>
      <c r="D75" s="294"/>
      <c r="E75" s="295" t="s">
        <v>186</v>
      </c>
      <c r="F75" s="296"/>
      <c r="G75" s="297"/>
      <c r="H75" s="254">
        <v>384939.66</v>
      </c>
      <c r="I75" s="254">
        <v>384939.66</v>
      </c>
      <c r="J75" s="254">
        <v>384939.66</v>
      </c>
      <c r="K75" s="254">
        <v>378046.56</v>
      </c>
      <c r="L75" s="254">
        <v>386620.56</v>
      </c>
      <c r="M75" s="254">
        <v>386620.56</v>
      </c>
      <c r="N75" s="254">
        <v>412660.65</v>
      </c>
      <c r="O75" s="254">
        <v>412660.65</v>
      </c>
      <c r="P75" s="254">
        <v>412660.65</v>
      </c>
      <c r="Q75" s="254">
        <v>432752.34</v>
      </c>
      <c r="R75" s="254">
        <v>432752.34</v>
      </c>
      <c r="S75" s="254">
        <v>432752.34</v>
      </c>
      <c r="T75" s="254">
        <v>440745.6</v>
      </c>
      <c r="U75" s="254">
        <v>5283091.2300000004</v>
      </c>
    </row>
    <row r="76" spans="1:25" x14ac:dyDescent="0.25">
      <c r="A76" s="290"/>
      <c r="B76" s="293"/>
      <c r="C76" s="289">
        <v>950</v>
      </c>
      <c r="D76" s="292" t="s">
        <v>188</v>
      </c>
      <c r="E76" s="289">
        <v>1050</v>
      </c>
      <c r="F76" s="292" t="s">
        <v>188</v>
      </c>
      <c r="G76" s="253" t="s">
        <v>189</v>
      </c>
      <c r="H76" s="254">
        <v>1677932.02</v>
      </c>
      <c r="I76" s="254">
        <v>3627285.35</v>
      </c>
      <c r="J76" s="254">
        <v>3576638.68</v>
      </c>
      <c r="K76" s="254">
        <v>3525992.01</v>
      </c>
      <c r="L76" s="254">
        <v>3475345.34</v>
      </c>
      <c r="M76" s="254">
        <v>3424698.67</v>
      </c>
      <c r="N76" s="255"/>
      <c r="O76" s="255"/>
      <c r="P76" s="255"/>
      <c r="Q76" s="255"/>
      <c r="R76" s="255"/>
      <c r="S76" s="255"/>
      <c r="T76" s="255"/>
      <c r="U76" s="254">
        <v>19307892.07</v>
      </c>
    </row>
    <row r="77" spans="1:25" x14ac:dyDescent="0.25">
      <c r="A77" s="290"/>
      <c r="B77" s="293"/>
      <c r="C77" s="290"/>
      <c r="D77" s="293"/>
      <c r="E77" s="291"/>
      <c r="F77" s="294"/>
      <c r="G77" s="252" t="s">
        <v>188</v>
      </c>
      <c r="H77" s="254">
        <v>1677932.02</v>
      </c>
      <c r="I77" s="254">
        <v>3627285.35</v>
      </c>
      <c r="J77" s="254">
        <v>3576638.68</v>
      </c>
      <c r="K77" s="254">
        <v>3525992.01</v>
      </c>
      <c r="L77" s="254">
        <v>3475345.34</v>
      </c>
      <c r="M77" s="254">
        <v>3424698.67</v>
      </c>
      <c r="N77" s="255"/>
      <c r="O77" s="255"/>
      <c r="P77" s="255"/>
      <c r="Q77" s="255"/>
      <c r="R77" s="255"/>
      <c r="S77" s="255"/>
      <c r="T77" s="255"/>
      <c r="U77" s="254">
        <v>19307892.07</v>
      </c>
    </row>
    <row r="78" spans="1:25" ht="12.75" customHeight="1" x14ac:dyDescent="0.25">
      <c r="A78" s="290"/>
      <c r="B78" s="293"/>
      <c r="C78" s="291"/>
      <c r="D78" s="294"/>
      <c r="E78" s="295" t="s">
        <v>188</v>
      </c>
      <c r="F78" s="296"/>
      <c r="G78" s="297"/>
      <c r="H78" s="254">
        <v>1677932.02</v>
      </c>
      <c r="I78" s="254">
        <v>3627285.35</v>
      </c>
      <c r="J78" s="254">
        <v>3576638.68</v>
      </c>
      <c r="K78" s="254">
        <v>3525992.01</v>
      </c>
      <c r="L78" s="254">
        <v>3475345.34</v>
      </c>
      <c r="M78" s="254">
        <v>3424698.67</v>
      </c>
      <c r="N78" s="255"/>
      <c r="O78" s="255"/>
      <c r="P78" s="255"/>
      <c r="Q78" s="255"/>
      <c r="R78" s="255"/>
      <c r="S78" s="255"/>
      <c r="T78" s="255"/>
      <c r="U78" s="254">
        <v>19307892.07</v>
      </c>
    </row>
    <row r="79" spans="1:25" ht="25.5" x14ac:dyDescent="0.25">
      <c r="A79" s="290"/>
      <c r="B79" s="293"/>
      <c r="C79" s="289">
        <v>1000</v>
      </c>
      <c r="D79" s="292" t="s">
        <v>190</v>
      </c>
      <c r="E79" s="289">
        <v>1100</v>
      </c>
      <c r="F79" s="292" t="s">
        <v>190</v>
      </c>
      <c r="G79" s="253" t="s">
        <v>191</v>
      </c>
      <c r="H79" s="254">
        <v>797684</v>
      </c>
      <c r="I79" s="254">
        <v>792992</v>
      </c>
      <c r="J79" s="254">
        <v>788300</v>
      </c>
      <c r="K79" s="254">
        <v>783608</v>
      </c>
      <c r="L79" s="254">
        <v>778916</v>
      </c>
      <c r="M79" s="254">
        <v>774224</v>
      </c>
      <c r="N79" s="254">
        <v>769532</v>
      </c>
      <c r="O79" s="254">
        <v>764840</v>
      </c>
      <c r="P79" s="254">
        <v>760148</v>
      </c>
      <c r="Q79" s="254">
        <v>755456</v>
      </c>
      <c r="R79" s="254">
        <v>750764</v>
      </c>
      <c r="S79" s="254">
        <v>746072</v>
      </c>
      <c r="T79" s="254">
        <v>741380</v>
      </c>
      <c r="U79" s="254">
        <v>10003916</v>
      </c>
    </row>
    <row r="80" spans="1:25" ht="25.5" x14ac:dyDescent="0.25">
      <c r="A80" s="290"/>
      <c r="B80" s="293"/>
      <c r="C80" s="290"/>
      <c r="D80" s="293"/>
      <c r="E80" s="290"/>
      <c r="F80" s="293"/>
      <c r="G80" s="253" t="s">
        <v>192</v>
      </c>
      <c r="H80" s="254">
        <v>1645616.49</v>
      </c>
      <c r="I80" s="254">
        <v>1634421.82</v>
      </c>
      <c r="J80" s="254">
        <v>1623227.15</v>
      </c>
      <c r="K80" s="254">
        <v>1612032.48</v>
      </c>
      <c r="L80" s="254">
        <v>1600837.81</v>
      </c>
      <c r="M80" s="254">
        <v>1589643.14</v>
      </c>
      <c r="N80" s="254">
        <v>1578448.47</v>
      </c>
      <c r="O80" s="254">
        <v>1567253.8</v>
      </c>
      <c r="P80" s="254">
        <v>1556059.13</v>
      </c>
      <c r="Q80" s="254">
        <v>1544864.46</v>
      </c>
      <c r="R80" s="254">
        <v>1533669.79</v>
      </c>
      <c r="S80" s="254">
        <v>1522475.12</v>
      </c>
      <c r="T80" s="254">
        <v>1511280.45</v>
      </c>
      <c r="U80" s="254">
        <v>20519830.109999999</v>
      </c>
    </row>
    <row r="81" spans="1:21" ht="25.5" x14ac:dyDescent="0.25">
      <c r="A81" s="290"/>
      <c r="B81" s="293"/>
      <c r="C81" s="290"/>
      <c r="D81" s="293"/>
      <c r="E81" s="290"/>
      <c r="F81" s="293"/>
      <c r="G81" s="253" t="s">
        <v>193</v>
      </c>
      <c r="H81" s="254">
        <v>1406896.77</v>
      </c>
      <c r="I81" s="254">
        <v>1416330.89</v>
      </c>
      <c r="J81" s="254">
        <v>1425824.81</v>
      </c>
      <c r="K81" s="254">
        <v>1435378.96</v>
      </c>
      <c r="L81" s="254">
        <v>1445001.08</v>
      </c>
      <c r="M81" s="254">
        <v>1454691.55</v>
      </c>
      <c r="N81" s="254">
        <v>1464297.21</v>
      </c>
      <c r="O81" s="254">
        <v>1473747.99</v>
      </c>
      <c r="P81" s="254">
        <v>1483259.72</v>
      </c>
      <c r="Q81" s="254">
        <v>1492832.67</v>
      </c>
      <c r="R81" s="254">
        <v>1502482.9</v>
      </c>
      <c r="S81" s="254">
        <v>1512175.46</v>
      </c>
      <c r="T81" s="254">
        <v>1521920.37</v>
      </c>
      <c r="U81" s="254">
        <v>19034840.379999999</v>
      </c>
    </row>
    <row r="82" spans="1:21" ht="25.5" x14ac:dyDescent="0.25">
      <c r="A82" s="290"/>
      <c r="B82" s="293"/>
      <c r="C82" s="290"/>
      <c r="D82" s="293"/>
      <c r="E82" s="290"/>
      <c r="F82" s="293"/>
      <c r="G82" s="253" t="s">
        <v>194</v>
      </c>
      <c r="H82" s="254">
        <v>3505208</v>
      </c>
      <c r="I82" s="254">
        <v>3505208</v>
      </c>
      <c r="J82" s="254">
        <v>3505208</v>
      </c>
      <c r="K82" s="254">
        <v>3505208</v>
      </c>
      <c r="L82" s="254">
        <v>3505208</v>
      </c>
      <c r="M82" s="254">
        <v>3505208</v>
      </c>
      <c r="N82" s="254">
        <v>7309355</v>
      </c>
      <c r="O82" s="254">
        <v>7309355</v>
      </c>
      <c r="P82" s="254">
        <v>7309355</v>
      </c>
      <c r="Q82" s="254">
        <v>7309355</v>
      </c>
      <c r="R82" s="254">
        <v>7309355</v>
      </c>
      <c r="S82" s="254">
        <v>7309355</v>
      </c>
      <c r="T82" s="254">
        <v>7309355</v>
      </c>
      <c r="U82" s="254">
        <v>72196733</v>
      </c>
    </row>
    <row r="83" spans="1:21" x14ac:dyDescent="0.25">
      <c r="A83" s="290"/>
      <c r="B83" s="293"/>
      <c r="C83" s="290"/>
      <c r="D83" s="293"/>
      <c r="E83" s="290"/>
      <c r="F83" s="293"/>
      <c r="G83" s="253" t="s">
        <v>195</v>
      </c>
      <c r="H83" s="254">
        <v>8741.39</v>
      </c>
      <c r="I83" s="254">
        <v>8451.39</v>
      </c>
      <c r="J83" s="254">
        <v>8161.39</v>
      </c>
      <c r="K83" s="254">
        <v>7871.39</v>
      </c>
      <c r="L83" s="254">
        <v>7581.39</v>
      </c>
      <c r="M83" s="254">
        <v>7291.39</v>
      </c>
      <c r="N83" s="254">
        <v>7001.39</v>
      </c>
      <c r="O83" s="254">
        <v>6711.39</v>
      </c>
      <c r="P83" s="254">
        <v>6421.39</v>
      </c>
      <c r="Q83" s="254">
        <v>6131.39</v>
      </c>
      <c r="R83" s="254">
        <v>5841.39</v>
      </c>
      <c r="S83" s="254">
        <v>5551.39</v>
      </c>
      <c r="T83" s="254">
        <v>5261.39</v>
      </c>
      <c r="U83" s="254">
        <v>91018.07</v>
      </c>
    </row>
    <row r="84" spans="1:21" x14ac:dyDescent="0.25">
      <c r="A84" s="290"/>
      <c r="B84" s="293"/>
      <c r="C84" s="290"/>
      <c r="D84" s="293"/>
      <c r="E84" s="290"/>
      <c r="F84" s="293"/>
      <c r="G84" s="253" t="s">
        <v>196</v>
      </c>
      <c r="H84" s="254">
        <v>215876.9</v>
      </c>
      <c r="I84" s="254">
        <v>206176.9</v>
      </c>
      <c r="J84" s="254">
        <v>196476.9</v>
      </c>
      <c r="K84" s="254">
        <v>186776.9</v>
      </c>
      <c r="L84" s="254">
        <v>177076.9</v>
      </c>
      <c r="M84" s="254">
        <v>167376.9</v>
      </c>
      <c r="N84" s="254">
        <v>157676.9</v>
      </c>
      <c r="O84" s="254">
        <v>147976.9</v>
      </c>
      <c r="P84" s="254">
        <v>138276.9</v>
      </c>
      <c r="Q84" s="254">
        <v>128576.9</v>
      </c>
      <c r="R84" s="254">
        <v>118876.9</v>
      </c>
      <c r="S84" s="254">
        <v>109176.9</v>
      </c>
      <c r="T84" s="254">
        <v>99476.9</v>
      </c>
      <c r="U84" s="254">
        <v>2049799.7</v>
      </c>
    </row>
    <row r="85" spans="1:21" x14ac:dyDescent="0.25">
      <c r="A85" s="290"/>
      <c r="B85" s="293"/>
      <c r="C85" s="290"/>
      <c r="D85" s="293"/>
      <c r="E85" s="290"/>
      <c r="F85" s="293"/>
      <c r="G85" s="253" t="s">
        <v>197</v>
      </c>
      <c r="H85" s="254">
        <v>27189.65</v>
      </c>
      <c r="I85" s="254">
        <v>26132.92</v>
      </c>
      <c r="J85" s="254">
        <v>20632.599999999999</v>
      </c>
      <c r="K85" s="254">
        <v>16499.13</v>
      </c>
      <c r="L85" s="254">
        <v>14079.26</v>
      </c>
      <c r="M85" s="254">
        <v>12359.19</v>
      </c>
      <c r="N85" s="254">
        <v>11901.4</v>
      </c>
      <c r="O85" s="254">
        <v>11583.56</v>
      </c>
      <c r="P85" s="254">
        <v>11211.26</v>
      </c>
      <c r="Q85" s="254">
        <v>10911.52</v>
      </c>
      <c r="R85" s="254">
        <v>10529.07</v>
      </c>
      <c r="S85" s="254">
        <v>9134.1</v>
      </c>
      <c r="T85" s="254">
        <v>7124.59</v>
      </c>
      <c r="U85" s="254">
        <v>189288.25</v>
      </c>
    </row>
    <row r="86" spans="1:21" x14ac:dyDescent="0.25">
      <c r="A86" s="290"/>
      <c r="B86" s="293"/>
      <c r="C86" s="290"/>
      <c r="D86" s="293"/>
      <c r="E86" s="290"/>
      <c r="F86" s="293"/>
      <c r="G86" s="253" t="s">
        <v>198</v>
      </c>
      <c r="H86" s="254">
        <v>34900</v>
      </c>
      <c r="I86" s="254">
        <v>43800</v>
      </c>
      <c r="J86" s="254">
        <v>53900</v>
      </c>
      <c r="K86" s="254">
        <v>60700</v>
      </c>
      <c r="L86" s="254">
        <v>66350</v>
      </c>
      <c r="M86" s="254">
        <v>73250</v>
      </c>
      <c r="N86" s="254">
        <v>79750</v>
      </c>
      <c r="O86" s="254">
        <v>84550</v>
      </c>
      <c r="P86" s="254">
        <v>90050</v>
      </c>
      <c r="Q86" s="254">
        <v>97550</v>
      </c>
      <c r="R86" s="254">
        <v>110450</v>
      </c>
      <c r="S86" s="254">
        <v>132550</v>
      </c>
      <c r="T86" s="254">
        <v>173700</v>
      </c>
      <c r="U86" s="254">
        <v>1101500</v>
      </c>
    </row>
    <row r="87" spans="1:21" ht="25.5" x14ac:dyDescent="0.25">
      <c r="A87" s="290"/>
      <c r="B87" s="293"/>
      <c r="C87" s="290"/>
      <c r="D87" s="293"/>
      <c r="E87" s="290"/>
      <c r="F87" s="293"/>
      <c r="G87" s="253" t="s">
        <v>199</v>
      </c>
      <c r="H87" s="254">
        <v>1799.84</v>
      </c>
      <c r="I87" s="254">
        <v>2521.71</v>
      </c>
      <c r="J87" s="254">
        <v>3318.44</v>
      </c>
      <c r="K87" s="254">
        <v>3830.2</v>
      </c>
      <c r="L87" s="254">
        <v>4225.47</v>
      </c>
      <c r="M87" s="254">
        <v>4569.6000000000004</v>
      </c>
      <c r="N87" s="254">
        <v>5011.0600000000004</v>
      </c>
      <c r="O87" s="254">
        <v>5318.37</v>
      </c>
      <c r="P87" s="254">
        <v>5614.4</v>
      </c>
      <c r="Q87" s="254">
        <v>5889.18</v>
      </c>
      <c r="R87" s="254">
        <v>6791.63</v>
      </c>
      <c r="S87" s="254">
        <v>8012.07</v>
      </c>
      <c r="T87" s="254">
        <v>10272.280000000001</v>
      </c>
      <c r="U87" s="254">
        <v>67174.25</v>
      </c>
    </row>
    <row r="88" spans="1:21" ht="25.5" x14ac:dyDescent="0.25">
      <c r="A88" s="290"/>
      <c r="B88" s="293"/>
      <c r="C88" s="290"/>
      <c r="D88" s="293"/>
      <c r="E88" s="290"/>
      <c r="F88" s="293"/>
      <c r="G88" s="253" t="s">
        <v>200</v>
      </c>
      <c r="H88" s="254">
        <v>177.8</v>
      </c>
      <c r="I88" s="254">
        <v>569.71</v>
      </c>
      <c r="J88" s="254">
        <v>736.55</v>
      </c>
      <c r="K88" s="254">
        <v>782.91</v>
      </c>
      <c r="L88" s="254">
        <v>858.78</v>
      </c>
      <c r="M88" s="254">
        <v>858.78</v>
      </c>
      <c r="N88" s="254">
        <v>858.78</v>
      </c>
      <c r="O88" s="254">
        <v>858.78</v>
      </c>
      <c r="P88" s="254">
        <v>858.78</v>
      </c>
      <c r="Q88" s="254">
        <v>937.47</v>
      </c>
      <c r="R88" s="254">
        <v>937.47</v>
      </c>
      <c r="S88" s="254">
        <v>937.47</v>
      </c>
      <c r="T88" s="254">
        <v>1042.3800000000001</v>
      </c>
      <c r="U88" s="254">
        <v>10415.66</v>
      </c>
    </row>
    <row r="89" spans="1:21" ht="25.5" x14ac:dyDescent="0.25">
      <c r="A89" s="290"/>
      <c r="B89" s="293"/>
      <c r="C89" s="290"/>
      <c r="D89" s="293"/>
      <c r="E89" s="290"/>
      <c r="F89" s="293"/>
      <c r="G89" s="253" t="s">
        <v>201</v>
      </c>
      <c r="H89" s="254">
        <v>4029.38</v>
      </c>
      <c r="I89" s="254">
        <v>7704.01</v>
      </c>
      <c r="J89" s="254">
        <v>8318.11</v>
      </c>
      <c r="K89" s="254">
        <v>9445.23</v>
      </c>
      <c r="L89" s="254">
        <v>9720.23</v>
      </c>
      <c r="M89" s="254">
        <v>9720.23</v>
      </c>
      <c r="N89" s="254">
        <v>9805.16</v>
      </c>
      <c r="O89" s="254">
        <v>9805.16</v>
      </c>
      <c r="P89" s="254">
        <v>9805.16</v>
      </c>
      <c r="Q89" s="254">
        <v>10489.16</v>
      </c>
      <c r="R89" s="254">
        <v>13336.21</v>
      </c>
      <c r="S89" s="254">
        <v>17013.349999999999</v>
      </c>
      <c r="T89" s="254">
        <v>18012.349999999999</v>
      </c>
      <c r="U89" s="254">
        <v>137203.74</v>
      </c>
    </row>
    <row r="90" spans="1:21" x14ac:dyDescent="0.25">
      <c r="A90" s="290"/>
      <c r="B90" s="293"/>
      <c r="C90" s="290"/>
      <c r="D90" s="293"/>
      <c r="E90" s="290"/>
      <c r="F90" s="293"/>
      <c r="G90" s="253" t="s">
        <v>202</v>
      </c>
      <c r="H90" s="254">
        <v>400.33</v>
      </c>
      <c r="I90" s="254">
        <v>627.89</v>
      </c>
      <c r="J90" s="254">
        <v>711.33</v>
      </c>
      <c r="K90" s="254">
        <v>864.3</v>
      </c>
      <c r="L90" s="254">
        <v>864.3</v>
      </c>
      <c r="M90" s="254">
        <v>864.3</v>
      </c>
      <c r="N90" s="254">
        <v>864.3</v>
      </c>
      <c r="O90" s="254">
        <v>864.3</v>
      </c>
      <c r="P90" s="254">
        <v>864.3</v>
      </c>
      <c r="Q90" s="254">
        <v>864.3</v>
      </c>
      <c r="R90" s="254">
        <v>864.3</v>
      </c>
      <c r="S90" s="254">
        <v>893.15</v>
      </c>
      <c r="T90" s="254">
        <v>917.2</v>
      </c>
      <c r="U90" s="254">
        <v>10464.299999999999</v>
      </c>
    </row>
    <row r="91" spans="1:21" ht="25.5" x14ac:dyDescent="0.25">
      <c r="A91" s="290"/>
      <c r="B91" s="293"/>
      <c r="C91" s="290"/>
      <c r="D91" s="293"/>
      <c r="E91" s="290"/>
      <c r="F91" s="293"/>
      <c r="G91" s="253" t="s">
        <v>203</v>
      </c>
      <c r="H91" s="255"/>
      <c r="I91" s="254">
        <v>136.85</v>
      </c>
      <c r="J91" s="254">
        <v>136.85</v>
      </c>
      <c r="K91" s="254">
        <v>244.14</v>
      </c>
      <c r="L91" s="254">
        <v>244.14</v>
      </c>
      <c r="M91" s="254">
        <v>244.14</v>
      </c>
      <c r="N91" s="254">
        <v>342.72</v>
      </c>
      <c r="O91" s="254">
        <v>342.72</v>
      </c>
      <c r="P91" s="254">
        <v>342.72</v>
      </c>
      <c r="Q91" s="254">
        <v>342.72</v>
      </c>
      <c r="R91" s="254">
        <v>342.72</v>
      </c>
      <c r="S91" s="254">
        <v>342.72</v>
      </c>
      <c r="T91" s="254">
        <v>342.72</v>
      </c>
      <c r="U91" s="254">
        <v>3405.16</v>
      </c>
    </row>
    <row r="92" spans="1:21" x14ac:dyDescent="0.25">
      <c r="A92" s="290"/>
      <c r="B92" s="293"/>
      <c r="C92" s="290"/>
      <c r="D92" s="293"/>
      <c r="E92" s="291"/>
      <c r="F92" s="294"/>
      <c r="G92" s="252" t="s">
        <v>190</v>
      </c>
      <c r="H92" s="254">
        <v>7648520.5499999998</v>
      </c>
      <c r="I92" s="254">
        <v>7645074.0899999999</v>
      </c>
      <c r="J92" s="254">
        <v>7634952.1299999999</v>
      </c>
      <c r="K92" s="254">
        <v>7623241.6399999997</v>
      </c>
      <c r="L92" s="254">
        <v>7610963.3600000003</v>
      </c>
      <c r="M92" s="254">
        <v>7600301.2199999997</v>
      </c>
      <c r="N92" s="254">
        <v>11394844.390000001</v>
      </c>
      <c r="O92" s="254">
        <v>11383207.970000001</v>
      </c>
      <c r="P92" s="254">
        <v>11372266.76</v>
      </c>
      <c r="Q92" s="254">
        <v>11364200.77</v>
      </c>
      <c r="R92" s="254">
        <v>11364241.380000001</v>
      </c>
      <c r="S92" s="254">
        <v>11373688.73</v>
      </c>
      <c r="T92" s="254">
        <v>11400085.630000001</v>
      </c>
      <c r="U92" s="254">
        <v>125415588.62</v>
      </c>
    </row>
    <row r="93" spans="1:21" ht="12.75" customHeight="1" x14ac:dyDescent="0.25">
      <c r="A93" s="290"/>
      <c r="B93" s="293"/>
      <c r="C93" s="291"/>
      <c r="D93" s="294"/>
      <c r="E93" s="295" t="s">
        <v>190</v>
      </c>
      <c r="F93" s="296"/>
      <c r="G93" s="297"/>
      <c r="H93" s="254">
        <v>7648520.5499999998</v>
      </c>
      <c r="I93" s="254">
        <v>7645074.0899999999</v>
      </c>
      <c r="J93" s="254">
        <v>7634952.1299999999</v>
      </c>
      <c r="K93" s="254">
        <v>7623241.6399999997</v>
      </c>
      <c r="L93" s="254">
        <v>7610963.3600000003</v>
      </c>
      <c r="M93" s="254">
        <v>7600301.2199999997</v>
      </c>
      <c r="N93" s="254">
        <v>11394844.390000001</v>
      </c>
      <c r="O93" s="254">
        <v>11383207.970000001</v>
      </c>
      <c r="P93" s="254">
        <v>11372266.76</v>
      </c>
      <c r="Q93" s="254">
        <v>11364200.77</v>
      </c>
      <c r="R93" s="254">
        <v>11364241.380000001</v>
      </c>
      <c r="S93" s="254">
        <v>11373688.73</v>
      </c>
      <c r="T93" s="254">
        <v>11400085.630000001</v>
      </c>
      <c r="U93" s="254">
        <v>125415588.62</v>
      </c>
    </row>
    <row r="94" spans="1:21" ht="25.5" x14ac:dyDescent="0.25">
      <c r="A94" s="290"/>
      <c r="B94" s="293"/>
      <c r="C94" s="289">
        <v>1100</v>
      </c>
      <c r="D94" s="292" t="s">
        <v>204</v>
      </c>
      <c r="E94" s="289">
        <v>1200</v>
      </c>
      <c r="F94" s="292" t="s">
        <v>204</v>
      </c>
      <c r="G94" s="253" t="s">
        <v>205</v>
      </c>
      <c r="H94" s="254">
        <v>271905.53999999998</v>
      </c>
      <c r="I94" s="254">
        <v>262784.5</v>
      </c>
      <c r="J94" s="254">
        <v>245667.38</v>
      </c>
      <c r="K94" s="254">
        <v>255428.31</v>
      </c>
      <c r="L94" s="254">
        <v>271292</v>
      </c>
      <c r="M94" s="254">
        <v>279218.03999999998</v>
      </c>
      <c r="N94" s="254">
        <v>281312.96999999997</v>
      </c>
      <c r="O94" s="254">
        <v>295062.46000000002</v>
      </c>
      <c r="P94" s="254">
        <v>301332.19</v>
      </c>
      <c r="Q94" s="254">
        <v>309533.28000000003</v>
      </c>
      <c r="R94" s="254">
        <v>303212.53999999998</v>
      </c>
      <c r="S94" s="254">
        <v>312713.93</v>
      </c>
      <c r="T94" s="254">
        <v>377522.82</v>
      </c>
      <c r="U94" s="254">
        <v>3766985.96</v>
      </c>
    </row>
    <row r="95" spans="1:21" ht="25.5" x14ac:dyDescent="0.25">
      <c r="A95" s="290"/>
      <c r="B95" s="293"/>
      <c r="C95" s="290"/>
      <c r="D95" s="293"/>
      <c r="E95" s="290"/>
      <c r="F95" s="293"/>
      <c r="G95" s="253" t="s">
        <v>206</v>
      </c>
      <c r="H95" s="254">
        <v>574557.25</v>
      </c>
      <c r="I95" s="254">
        <v>571177.5</v>
      </c>
      <c r="J95" s="254">
        <v>567797.75</v>
      </c>
      <c r="K95" s="254">
        <v>564418</v>
      </c>
      <c r="L95" s="254">
        <v>561038.25</v>
      </c>
      <c r="M95" s="254">
        <v>557658.5</v>
      </c>
      <c r="N95" s="254">
        <v>554278.75</v>
      </c>
      <c r="O95" s="254">
        <v>550899</v>
      </c>
      <c r="P95" s="254">
        <v>547519.25</v>
      </c>
      <c r="Q95" s="254">
        <v>544139.5</v>
      </c>
      <c r="R95" s="254">
        <v>540759.75</v>
      </c>
      <c r="S95" s="254">
        <v>537380</v>
      </c>
      <c r="T95" s="254">
        <v>534000.25</v>
      </c>
      <c r="U95" s="254">
        <v>7205623.75</v>
      </c>
    </row>
    <row r="96" spans="1:21" x14ac:dyDescent="0.25">
      <c r="A96" s="290"/>
      <c r="B96" s="293"/>
      <c r="C96" s="290"/>
      <c r="D96" s="293"/>
      <c r="E96" s="290"/>
      <c r="F96" s="293"/>
      <c r="G96" s="253" t="s">
        <v>207</v>
      </c>
      <c r="H96" s="254">
        <v>1911787.15</v>
      </c>
      <c r="I96" s="254">
        <v>1898781.69</v>
      </c>
      <c r="J96" s="254">
        <v>1885776.23</v>
      </c>
      <c r="K96" s="254">
        <v>1872770.77</v>
      </c>
      <c r="L96" s="254">
        <v>1859765.31</v>
      </c>
      <c r="M96" s="254">
        <v>1846759.85</v>
      </c>
      <c r="N96" s="254">
        <v>1833754.39</v>
      </c>
      <c r="O96" s="254">
        <v>1820748.93</v>
      </c>
      <c r="P96" s="254">
        <v>1807743.47</v>
      </c>
      <c r="Q96" s="254">
        <v>1794738.01</v>
      </c>
      <c r="R96" s="254">
        <v>1781732.55</v>
      </c>
      <c r="S96" s="254">
        <v>1768727.09</v>
      </c>
      <c r="T96" s="254">
        <v>1755721.63</v>
      </c>
      <c r="U96" s="254">
        <v>23838807.07</v>
      </c>
    </row>
    <row r="97" spans="1:21" x14ac:dyDescent="0.25">
      <c r="A97" s="290"/>
      <c r="B97" s="293"/>
      <c r="C97" s="290"/>
      <c r="D97" s="293"/>
      <c r="E97" s="291"/>
      <c r="F97" s="294"/>
      <c r="G97" s="252" t="s">
        <v>204</v>
      </c>
      <c r="H97" s="254">
        <v>2758249.94</v>
      </c>
      <c r="I97" s="254">
        <v>2732743.69</v>
      </c>
      <c r="J97" s="254">
        <v>2699241.36</v>
      </c>
      <c r="K97" s="254">
        <v>2692617.08</v>
      </c>
      <c r="L97" s="254">
        <v>2692095.56</v>
      </c>
      <c r="M97" s="254">
        <v>2683636.39</v>
      </c>
      <c r="N97" s="254">
        <v>2669346.11</v>
      </c>
      <c r="O97" s="254">
        <v>2666710.39</v>
      </c>
      <c r="P97" s="254">
        <v>2656594.91</v>
      </c>
      <c r="Q97" s="254">
        <v>2648410.79</v>
      </c>
      <c r="R97" s="254">
        <v>2625704.84</v>
      </c>
      <c r="S97" s="254">
        <v>2618821.02</v>
      </c>
      <c r="T97" s="254">
        <v>2667244.7000000002</v>
      </c>
      <c r="U97" s="254">
        <v>34811416.780000001</v>
      </c>
    </row>
    <row r="98" spans="1:21" ht="12.75" customHeight="1" x14ac:dyDescent="0.25">
      <c r="A98" s="290"/>
      <c r="B98" s="293"/>
      <c r="C98" s="291"/>
      <c r="D98" s="294"/>
      <c r="E98" s="295" t="s">
        <v>204</v>
      </c>
      <c r="F98" s="296"/>
      <c r="G98" s="297"/>
      <c r="H98" s="254">
        <v>2758249.94</v>
      </c>
      <c r="I98" s="254">
        <v>2732743.69</v>
      </c>
      <c r="J98" s="254">
        <v>2699241.36</v>
      </c>
      <c r="K98" s="254">
        <v>2692617.08</v>
      </c>
      <c r="L98" s="254">
        <v>2692095.56</v>
      </c>
      <c r="M98" s="254">
        <v>2683636.39</v>
      </c>
      <c r="N98" s="254">
        <v>2669346.11</v>
      </c>
      <c r="O98" s="254">
        <v>2666710.39</v>
      </c>
      <c r="P98" s="254">
        <v>2656594.91</v>
      </c>
      <c r="Q98" s="254">
        <v>2648410.79</v>
      </c>
      <c r="R98" s="254">
        <v>2625704.84</v>
      </c>
      <c r="S98" s="254">
        <v>2618821.02</v>
      </c>
      <c r="T98" s="254">
        <v>2667244.7000000002</v>
      </c>
      <c r="U98" s="254">
        <v>34811416.780000001</v>
      </c>
    </row>
    <row r="99" spans="1:21" ht="12.75" customHeight="1" x14ac:dyDescent="0.25">
      <c r="A99" s="291"/>
      <c r="B99" s="294"/>
      <c r="C99" s="295" t="s">
        <v>177</v>
      </c>
      <c r="D99" s="296"/>
      <c r="E99" s="296"/>
      <c r="F99" s="296"/>
      <c r="G99" s="297"/>
      <c r="H99" s="254">
        <v>29555810.100000001</v>
      </c>
      <c r="I99" s="254">
        <v>30135298.719999999</v>
      </c>
      <c r="J99" s="254">
        <v>27555951.43</v>
      </c>
      <c r="K99" s="254">
        <v>25158334.550000001</v>
      </c>
      <c r="L99" s="254">
        <v>21834518.41</v>
      </c>
      <c r="M99" s="254">
        <v>19991241.699999999</v>
      </c>
      <c r="N99" s="254">
        <v>22147702.66</v>
      </c>
      <c r="O99" s="254">
        <v>22080769.710000001</v>
      </c>
      <c r="P99" s="254">
        <v>21820149.510000002</v>
      </c>
      <c r="Q99" s="254">
        <v>21478363.989999998</v>
      </c>
      <c r="R99" s="254">
        <v>23343628.030000001</v>
      </c>
      <c r="S99" s="254">
        <v>24798396.870000001</v>
      </c>
      <c r="T99" s="254">
        <v>25555742.489999998</v>
      </c>
      <c r="U99" s="254">
        <v>315455908.17000002</v>
      </c>
    </row>
    <row r="100" spans="1:21" x14ac:dyDescent="0.25">
      <c r="A100" s="289">
        <v>300</v>
      </c>
      <c r="B100" s="292" t="s">
        <v>208</v>
      </c>
      <c r="C100" s="289">
        <v>1200</v>
      </c>
      <c r="D100" s="292" t="s">
        <v>209</v>
      </c>
      <c r="E100" s="289">
        <v>1300</v>
      </c>
      <c r="F100" s="292" t="s">
        <v>209</v>
      </c>
      <c r="G100" s="253" t="s">
        <v>210</v>
      </c>
      <c r="H100" s="254">
        <v>187883687.90000001</v>
      </c>
      <c r="I100" s="254">
        <v>188186220.66999999</v>
      </c>
      <c r="J100" s="254">
        <v>188466699.18000001</v>
      </c>
      <c r="K100" s="254">
        <v>189050309.5</v>
      </c>
      <c r="L100" s="254">
        <v>189183877.46000001</v>
      </c>
      <c r="M100" s="254">
        <v>189465754.5</v>
      </c>
      <c r="N100" s="254">
        <v>189844448.40000001</v>
      </c>
      <c r="O100" s="254">
        <v>192398335.53999999</v>
      </c>
      <c r="P100" s="254">
        <v>192440607.66</v>
      </c>
      <c r="Q100" s="254">
        <v>192677531.62</v>
      </c>
      <c r="R100" s="254">
        <v>192760408.34</v>
      </c>
      <c r="S100" s="254">
        <v>193254212.46000001</v>
      </c>
      <c r="T100" s="254">
        <v>193753107.84</v>
      </c>
      <c r="U100" s="254">
        <v>2479365201.0700002</v>
      </c>
    </row>
    <row r="101" spans="1:21" x14ac:dyDescent="0.25">
      <c r="A101" s="290"/>
      <c r="B101" s="293"/>
      <c r="C101" s="290"/>
      <c r="D101" s="293"/>
      <c r="E101" s="290"/>
      <c r="F101" s="293"/>
      <c r="G101" s="253" t="s">
        <v>211</v>
      </c>
      <c r="H101" s="254">
        <v>-1045703.73</v>
      </c>
      <c r="I101" s="254">
        <v>-1045703.73</v>
      </c>
      <c r="J101" s="254">
        <v>-1045703.73</v>
      </c>
      <c r="K101" s="254">
        <v>-1045703.73</v>
      </c>
      <c r="L101" s="254">
        <v>-1045703.73</v>
      </c>
      <c r="M101" s="254">
        <v>-1045703.73</v>
      </c>
      <c r="N101" s="254">
        <v>-1045703.73</v>
      </c>
      <c r="O101" s="254">
        <v>-1045703.73</v>
      </c>
      <c r="P101" s="254">
        <v>-1045703.73</v>
      </c>
      <c r="Q101" s="254">
        <v>-1045703.73</v>
      </c>
      <c r="R101" s="254">
        <v>-1045703.73</v>
      </c>
      <c r="S101" s="254">
        <v>-1045703.73</v>
      </c>
      <c r="T101" s="254">
        <v>-1045703.73</v>
      </c>
      <c r="U101" s="254">
        <v>-13594148.49</v>
      </c>
    </row>
    <row r="102" spans="1:21" x14ac:dyDescent="0.25">
      <c r="A102" s="290"/>
      <c r="B102" s="293"/>
      <c r="C102" s="290"/>
      <c r="D102" s="293"/>
      <c r="E102" s="290"/>
      <c r="F102" s="293"/>
      <c r="G102" s="253" t="s">
        <v>212</v>
      </c>
      <c r="H102" s="254">
        <v>464944.65</v>
      </c>
      <c r="I102" s="254">
        <v>464944.65</v>
      </c>
      <c r="J102" s="254">
        <v>464944.65</v>
      </c>
      <c r="K102" s="254">
        <v>464944.65</v>
      </c>
      <c r="L102" s="254">
        <v>464944.65</v>
      </c>
      <c r="M102" s="254">
        <v>464944.65</v>
      </c>
      <c r="N102" s="254">
        <v>464944.65</v>
      </c>
      <c r="O102" s="254">
        <v>464944.65</v>
      </c>
      <c r="P102" s="254">
        <v>464944.65</v>
      </c>
      <c r="Q102" s="254">
        <v>464944.65</v>
      </c>
      <c r="R102" s="254">
        <v>464944.65</v>
      </c>
      <c r="S102" s="254">
        <v>464944.65</v>
      </c>
      <c r="T102" s="254">
        <v>464944.65</v>
      </c>
      <c r="U102" s="254">
        <v>6044280.4500000002</v>
      </c>
    </row>
    <row r="103" spans="1:21" x14ac:dyDescent="0.25">
      <c r="A103" s="290"/>
      <c r="B103" s="293"/>
      <c r="C103" s="290"/>
      <c r="D103" s="293"/>
      <c r="E103" s="291"/>
      <c r="F103" s="294"/>
      <c r="G103" s="252" t="s">
        <v>209</v>
      </c>
      <c r="H103" s="254">
        <v>187302928.81999999</v>
      </c>
      <c r="I103" s="254">
        <v>187605461.59</v>
      </c>
      <c r="J103" s="254">
        <v>187885940.09999999</v>
      </c>
      <c r="K103" s="254">
        <v>188469550.41999999</v>
      </c>
      <c r="L103" s="254">
        <v>188603118.38</v>
      </c>
      <c r="M103" s="254">
        <v>188884995.41999999</v>
      </c>
      <c r="N103" s="254">
        <v>189263689.31999999</v>
      </c>
      <c r="O103" s="254">
        <v>191817576.46000001</v>
      </c>
      <c r="P103" s="254">
        <v>191859848.58000001</v>
      </c>
      <c r="Q103" s="254">
        <v>192096772.53999999</v>
      </c>
      <c r="R103" s="254">
        <v>192179649.25999999</v>
      </c>
      <c r="S103" s="254">
        <v>192673453.38</v>
      </c>
      <c r="T103" s="254">
        <v>193172348.75999999</v>
      </c>
      <c r="U103" s="254">
        <v>2471815333.0300002</v>
      </c>
    </row>
    <row r="104" spans="1:21" ht="25.5" x14ac:dyDescent="0.25">
      <c r="A104" s="290"/>
      <c r="B104" s="293"/>
      <c r="C104" s="290"/>
      <c r="D104" s="293"/>
      <c r="E104" s="289">
        <v>1500</v>
      </c>
      <c r="F104" s="292" t="s">
        <v>213</v>
      </c>
      <c r="G104" s="253" t="s">
        <v>214</v>
      </c>
      <c r="H104" s="254">
        <v>1161839.25</v>
      </c>
      <c r="I104" s="254">
        <v>1031985.15</v>
      </c>
      <c r="J104" s="254">
        <v>933244.53</v>
      </c>
      <c r="K104" s="254">
        <v>564382.39</v>
      </c>
      <c r="L104" s="254">
        <v>3055403.76</v>
      </c>
      <c r="M104" s="254">
        <v>2963182.71</v>
      </c>
      <c r="N104" s="254">
        <v>2951277.11</v>
      </c>
      <c r="O104" s="254">
        <v>464260.46</v>
      </c>
      <c r="P104" s="254">
        <v>518610.18</v>
      </c>
      <c r="Q104" s="254">
        <v>1076882</v>
      </c>
      <c r="R104" s="254">
        <v>1140594.03</v>
      </c>
      <c r="S104" s="254">
        <v>1481250.17</v>
      </c>
      <c r="T104" s="254">
        <v>1283380.8899999999</v>
      </c>
      <c r="U104" s="254">
        <v>18626292.629999999</v>
      </c>
    </row>
    <row r="105" spans="1:21" ht="25.5" x14ac:dyDescent="0.25">
      <c r="A105" s="290"/>
      <c r="B105" s="293"/>
      <c r="C105" s="290"/>
      <c r="D105" s="293"/>
      <c r="E105" s="290"/>
      <c r="F105" s="293"/>
      <c r="G105" s="253" t="s">
        <v>215</v>
      </c>
      <c r="H105" s="254">
        <v>469517.37</v>
      </c>
      <c r="I105" s="254">
        <v>657911.29</v>
      </c>
      <c r="J105" s="254">
        <v>2306235.7200000002</v>
      </c>
      <c r="K105" s="254">
        <v>2776294.84</v>
      </c>
      <c r="L105" s="254">
        <v>496781.22</v>
      </c>
      <c r="M105" s="254">
        <v>770055.2</v>
      </c>
      <c r="N105" s="254">
        <v>590130.43000000005</v>
      </c>
      <c r="O105" s="254">
        <v>1193521.67</v>
      </c>
      <c r="P105" s="254">
        <v>1509140.21</v>
      </c>
      <c r="Q105" s="254">
        <v>776730.27</v>
      </c>
      <c r="R105" s="254">
        <v>987641.84</v>
      </c>
      <c r="S105" s="254">
        <v>488630.34</v>
      </c>
      <c r="T105" s="254">
        <v>501971.25</v>
      </c>
      <c r="U105" s="254">
        <v>13524561.65</v>
      </c>
    </row>
    <row r="106" spans="1:21" x14ac:dyDescent="0.25">
      <c r="A106" s="290"/>
      <c r="B106" s="293"/>
      <c r="C106" s="290"/>
      <c r="D106" s="293"/>
      <c r="E106" s="291"/>
      <c r="F106" s="294"/>
      <c r="G106" s="252" t="s">
        <v>213</v>
      </c>
      <c r="H106" s="254">
        <v>1631356.62</v>
      </c>
      <c r="I106" s="254">
        <v>1689896.44</v>
      </c>
      <c r="J106" s="254">
        <v>3239480.25</v>
      </c>
      <c r="K106" s="254">
        <v>3340677.23</v>
      </c>
      <c r="L106" s="254">
        <v>3552184.98</v>
      </c>
      <c r="M106" s="254">
        <v>3733237.91</v>
      </c>
      <c r="N106" s="254">
        <v>3541407.54</v>
      </c>
      <c r="O106" s="254">
        <v>1657782.13</v>
      </c>
      <c r="P106" s="254">
        <v>2027750.39</v>
      </c>
      <c r="Q106" s="254">
        <v>1853612.27</v>
      </c>
      <c r="R106" s="254">
        <v>2128235.87</v>
      </c>
      <c r="S106" s="254">
        <v>1969880.51</v>
      </c>
      <c r="T106" s="254">
        <v>1785352.14</v>
      </c>
      <c r="U106" s="254">
        <v>32150854.280000001</v>
      </c>
    </row>
    <row r="107" spans="1:21" x14ac:dyDescent="0.25">
      <c r="A107" s="290"/>
      <c r="B107" s="293"/>
      <c r="C107" s="290"/>
      <c r="D107" s="293"/>
      <c r="E107" s="289">
        <v>1600</v>
      </c>
      <c r="F107" s="292" t="s">
        <v>216</v>
      </c>
      <c r="G107" s="253" t="s">
        <v>217</v>
      </c>
      <c r="H107" s="254">
        <v>4208069.49</v>
      </c>
      <c r="I107" s="254">
        <v>4208069.49</v>
      </c>
      <c r="J107" s="254">
        <v>4208069.49</v>
      </c>
      <c r="K107" s="254">
        <v>4208069.49</v>
      </c>
      <c r="L107" s="254">
        <v>4208069.49</v>
      </c>
      <c r="M107" s="254">
        <v>4208069.49</v>
      </c>
      <c r="N107" s="254">
        <v>4208069.49</v>
      </c>
      <c r="O107" s="254">
        <v>4208069.49</v>
      </c>
      <c r="P107" s="254">
        <v>4208069.49</v>
      </c>
      <c r="Q107" s="254">
        <v>4208069.49</v>
      </c>
      <c r="R107" s="254">
        <v>4208069.49</v>
      </c>
      <c r="S107" s="254">
        <v>4208069.49</v>
      </c>
      <c r="T107" s="254">
        <v>4208069.49</v>
      </c>
      <c r="U107" s="254">
        <v>54704903.369999997</v>
      </c>
    </row>
    <row r="108" spans="1:21" x14ac:dyDescent="0.25">
      <c r="A108" s="290"/>
      <c r="B108" s="293"/>
      <c r="C108" s="290"/>
      <c r="D108" s="293"/>
      <c r="E108" s="291"/>
      <c r="F108" s="294"/>
      <c r="G108" s="252" t="s">
        <v>216</v>
      </c>
      <c r="H108" s="254">
        <v>4208069.49</v>
      </c>
      <c r="I108" s="254">
        <v>4208069.49</v>
      </c>
      <c r="J108" s="254">
        <v>4208069.49</v>
      </c>
      <c r="K108" s="254">
        <v>4208069.49</v>
      </c>
      <c r="L108" s="254">
        <v>4208069.49</v>
      </c>
      <c r="M108" s="254">
        <v>4208069.49</v>
      </c>
      <c r="N108" s="254">
        <v>4208069.49</v>
      </c>
      <c r="O108" s="254">
        <v>4208069.49</v>
      </c>
      <c r="P108" s="254">
        <v>4208069.49</v>
      </c>
      <c r="Q108" s="254">
        <v>4208069.49</v>
      </c>
      <c r="R108" s="254">
        <v>4208069.49</v>
      </c>
      <c r="S108" s="254">
        <v>4208069.49</v>
      </c>
      <c r="T108" s="254">
        <v>4208069.49</v>
      </c>
      <c r="U108" s="254">
        <v>54704903.369999997</v>
      </c>
    </row>
    <row r="109" spans="1:21" ht="12.75" customHeight="1" x14ac:dyDescent="0.25">
      <c r="A109" s="290"/>
      <c r="B109" s="293"/>
      <c r="C109" s="291"/>
      <c r="D109" s="294"/>
      <c r="E109" s="295" t="s">
        <v>209</v>
      </c>
      <c r="F109" s="296"/>
      <c r="G109" s="297"/>
      <c r="H109" s="254">
        <v>193142354.93000001</v>
      </c>
      <c r="I109" s="254">
        <v>193503427.52000001</v>
      </c>
      <c r="J109" s="254">
        <v>195333489.84</v>
      </c>
      <c r="K109" s="254">
        <v>196018297.13999999</v>
      </c>
      <c r="L109" s="254">
        <v>196363372.84999999</v>
      </c>
      <c r="M109" s="254">
        <v>196826302.81999999</v>
      </c>
      <c r="N109" s="254">
        <v>197013166.34999999</v>
      </c>
      <c r="O109" s="254">
        <v>197683428.08000001</v>
      </c>
      <c r="P109" s="254">
        <v>198095668.46000001</v>
      </c>
      <c r="Q109" s="254">
        <v>198158454.30000001</v>
      </c>
      <c r="R109" s="254">
        <v>198515954.62</v>
      </c>
      <c r="S109" s="254">
        <v>198851403.38</v>
      </c>
      <c r="T109" s="254">
        <v>199165770.38999999</v>
      </c>
      <c r="U109" s="254">
        <v>2558671090.6799998</v>
      </c>
    </row>
    <row r="110" spans="1:21" x14ac:dyDescent="0.25">
      <c r="A110" s="290"/>
      <c r="B110" s="293"/>
      <c r="C110" s="289">
        <v>1250</v>
      </c>
      <c r="D110" s="292" t="s">
        <v>218</v>
      </c>
      <c r="E110" s="289">
        <v>1400</v>
      </c>
      <c r="F110" s="292" t="s">
        <v>218</v>
      </c>
      <c r="G110" s="253" t="s">
        <v>219</v>
      </c>
      <c r="H110" s="254">
        <v>-67610253.379999995</v>
      </c>
      <c r="I110" s="254">
        <v>-67832948.890000001</v>
      </c>
      <c r="J110" s="254">
        <v>-68037909.799999997</v>
      </c>
      <c r="K110" s="254">
        <v>-68285462.310000002</v>
      </c>
      <c r="L110" s="254">
        <v>-68508746.709999993</v>
      </c>
      <c r="M110" s="254">
        <v>-68734636.480000004</v>
      </c>
      <c r="N110" s="254">
        <v>-68917671.560000002</v>
      </c>
      <c r="O110" s="254">
        <v>-69173500.900000006</v>
      </c>
      <c r="P110" s="254">
        <v>-69419345.799999997</v>
      </c>
      <c r="Q110" s="254">
        <v>-69665235.379999995</v>
      </c>
      <c r="R110" s="254">
        <v>-69940032.060000002</v>
      </c>
      <c r="S110" s="254">
        <v>-70198009.390000001</v>
      </c>
      <c r="T110" s="254">
        <v>-70434336.620000005</v>
      </c>
      <c r="U110" s="254">
        <v>-896758089.27999997</v>
      </c>
    </row>
    <row r="111" spans="1:21" ht="25.5" x14ac:dyDescent="0.25">
      <c r="A111" s="290"/>
      <c r="B111" s="293"/>
      <c r="C111" s="290"/>
      <c r="D111" s="293"/>
      <c r="E111" s="290"/>
      <c r="F111" s="293"/>
      <c r="G111" s="253" t="s">
        <v>220</v>
      </c>
      <c r="H111" s="254">
        <v>663503.73</v>
      </c>
      <c r="I111" s="254">
        <v>668403.73</v>
      </c>
      <c r="J111" s="254">
        <v>673303.73</v>
      </c>
      <c r="K111" s="254">
        <v>678203.73</v>
      </c>
      <c r="L111" s="254">
        <v>683103.73</v>
      </c>
      <c r="M111" s="254">
        <v>688003.73</v>
      </c>
      <c r="N111" s="254">
        <v>692903.73</v>
      </c>
      <c r="O111" s="254">
        <v>697803.73</v>
      </c>
      <c r="P111" s="254">
        <v>702703.73</v>
      </c>
      <c r="Q111" s="254">
        <v>707603.73</v>
      </c>
      <c r="R111" s="254">
        <v>712503.73</v>
      </c>
      <c r="S111" s="254">
        <v>717403.73</v>
      </c>
      <c r="T111" s="254">
        <v>722303.73</v>
      </c>
      <c r="U111" s="254">
        <v>9007748.4900000002</v>
      </c>
    </row>
    <row r="112" spans="1:21" ht="25.5" x14ac:dyDescent="0.25">
      <c r="A112" s="290"/>
      <c r="B112" s="293"/>
      <c r="C112" s="290"/>
      <c r="D112" s="293"/>
      <c r="E112" s="290"/>
      <c r="F112" s="293"/>
      <c r="G112" s="253" t="s">
        <v>221</v>
      </c>
      <c r="H112" s="254">
        <v>-425944.65</v>
      </c>
      <c r="I112" s="254">
        <v>-429844.65</v>
      </c>
      <c r="J112" s="254">
        <v>-433744.65</v>
      </c>
      <c r="K112" s="254">
        <v>-437644.65</v>
      </c>
      <c r="L112" s="254">
        <v>-441544.65</v>
      </c>
      <c r="M112" s="254">
        <v>-445444.65</v>
      </c>
      <c r="N112" s="254">
        <v>-449344.65</v>
      </c>
      <c r="O112" s="254">
        <v>-453244.65</v>
      </c>
      <c r="P112" s="254">
        <v>-457144.65</v>
      </c>
      <c r="Q112" s="254">
        <v>-461044.65</v>
      </c>
      <c r="R112" s="254">
        <v>-464944.65</v>
      </c>
      <c r="S112" s="254">
        <v>-464944.65</v>
      </c>
      <c r="T112" s="254">
        <v>-464944.65</v>
      </c>
      <c r="U112" s="254">
        <v>-5829780.4500000002</v>
      </c>
    </row>
    <row r="113" spans="1:22" x14ac:dyDescent="0.25">
      <c r="A113" s="290"/>
      <c r="B113" s="293"/>
      <c r="C113" s="290"/>
      <c r="D113" s="293"/>
      <c r="E113" s="291"/>
      <c r="F113" s="294"/>
      <c r="G113" s="252" t="s">
        <v>218</v>
      </c>
      <c r="H113" s="254">
        <v>-67372694.299999997</v>
      </c>
      <c r="I113" s="254">
        <v>-67594389.810000002</v>
      </c>
      <c r="J113" s="254">
        <v>-67798350.719999999</v>
      </c>
      <c r="K113" s="254">
        <v>-68044903.230000004</v>
      </c>
      <c r="L113" s="254">
        <v>-68267187.629999995</v>
      </c>
      <c r="M113" s="254">
        <v>-68492077.400000006</v>
      </c>
      <c r="N113" s="254">
        <v>-68674112.480000004</v>
      </c>
      <c r="O113" s="254">
        <v>-68928941.819999993</v>
      </c>
      <c r="P113" s="254">
        <v>-69173786.719999999</v>
      </c>
      <c r="Q113" s="254">
        <v>-69418676.299999997</v>
      </c>
      <c r="R113" s="254">
        <v>-69692472.980000004</v>
      </c>
      <c r="S113" s="254">
        <v>-69945550.310000002</v>
      </c>
      <c r="T113" s="254">
        <v>-70176977.540000007</v>
      </c>
      <c r="U113" s="254">
        <v>-893580121.24000001</v>
      </c>
    </row>
    <row r="114" spans="1:22" ht="12.75" customHeight="1" x14ac:dyDescent="0.25">
      <c r="A114" s="290"/>
      <c r="B114" s="293"/>
      <c r="C114" s="291"/>
      <c r="D114" s="294"/>
      <c r="E114" s="295" t="s">
        <v>218</v>
      </c>
      <c r="F114" s="296"/>
      <c r="G114" s="297"/>
      <c r="H114" s="254">
        <v>-67372694.299999997</v>
      </c>
      <c r="I114" s="254">
        <v>-67594389.810000002</v>
      </c>
      <c r="J114" s="254">
        <v>-67798350.719999999</v>
      </c>
      <c r="K114" s="254">
        <v>-68044903.230000004</v>
      </c>
      <c r="L114" s="254">
        <v>-68267187.629999995</v>
      </c>
      <c r="M114" s="254">
        <v>-68492077.400000006</v>
      </c>
      <c r="N114" s="254">
        <v>-68674112.480000004</v>
      </c>
      <c r="O114" s="254">
        <v>-68928941.819999993</v>
      </c>
      <c r="P114" s="254">
        <v>-69173786.719999999</v>
      </c>
      <c r="Q114" s="254">
        <v>-69418676.299999997</v>
      </c>
      <c r="R114" s="254">
        <v>-69692472.980000004</v>
      </c>
      <c r="S114" s="254">
        <v>-69945550.310000002</v>
      </c>
      <c r="T114" s="254">
        <v>-70176977.540000007</v>
      </c>
      <c r="U114" s="254">
        <v>-893580121.24000001</v>
      </c>
    </row>
    <row r="115" spans="1:22" ht="12.75" customHeight="1" x14ac:dyDescent="0.25">
      <c r="A115" s="291"/>
      <c r="B115" s="294"/>
      <c r="C115" s="295" t="s">
        <v>208</v>
      </c>
      <c r="D115" s="296"/>
      <c r="E115" s="296"/>
      <c r="F115" s="296"/>
      <c r="G115" s="297"/>
      <c r="H115" s="254">
        <v>125769660.63</v>
      </c>
      <c r="I115" s="254">
        <v>125909037.70999999</v>
      </c>
      <c r="J115" s="254">
        <v>127535139.12</v>
      </c>
      <c r="K115" s="254">
        <v>127973393.91</v>
      </c>
      <c r="L115" s="254">
        <v>128096185.22</v>
      </c>
      <c r="M115" s="254">
        <v>128334225.42</v>
      </c>
      <c r="N115" s="254">
        <v>128339053.87</v>
      </c>
      <c r="O115" s="254">
        <v>128754486.26000001</v>
      </c>
      <c r="P115" s="254">
        <v>128921881.73999999</v>
      </c>
      <c r="Q115" s="254">
        <v>128739778</v>
      </c>
      <c r="R115" s="254">
        <v>128823481.64</v>
      </c>
      <c r="S115" s="254">
        <v>128905853.06999999</v>
      </c>
      <c r="T115" s="254">
        <v>128988792.84999999</v>
      </c>
      <c r="U115" s="254">
        <v>1665090969.4400001</v>
      </c>
    </row>
    <row r="116" spans="1:22" x14ac:dyDescent="0.25">
      <c r="A116" s="289">
        <v>400</v>
      </c>
      <c r="B116" s="292" t="s">
        <v>222</v>
      </c>
      <c r="C116" s="289">
        <v>1400</v>
      </c>
      <c r="D116" s="292" t="s">
        <v>223</v>
      </c>
      <c r="E116" s="289">
        <v>1900</v>
      </c>
      <c r="F116" s="292" t="s">
        <v>223</v>
      </c>
      <c r="G116" s="253" t="s">
        <v>224</v>
      </c>
      <c r="H116" s="254">
        <v>-816828.14</v>
      </c>
      <c r="I116" s="254">
        <v>-465441.48</v>
      </c>
      <c r="J116" s="254">
        <v>-646660.56000000006</v>
      </c>
      <c r="K116" s="254">
        <v>-610748.80000000005</v>
      </c>
      <c r="L116" s="254">
        <v>-302826.31</v>
      </c>
      <c r="M116" s="254">
        <v>-576406.84</v>
      </c>
      <c r="N116" s="254">
        <v>-1271625.8899999999</v>
      </c>
      <c r="O116" s="254">
        <v>-893056.89</v>
      </c>
      <c r="P116" s="254">
        <v>-378059.57</v>
      </c>
      <c r="Q116" s="254">
        <v>-522182.53</v>
      </c>
      <c r="R116" s="254">
        <v>-397280.35</v>
      </c>
      <c r="S116" s="254">
        <v>-209946.87</v>
      </c>
      <c r="T116" s="254">
        <v>-667982.44999999995</v>
      </c>
      <c r="U116" s="254">
        <v>-7759046.6799999997</v>
      </c>
    </row>
    <row r="117" spans="1:22" x14ac:dyDescent="0.25">
      <c r="A117" s="290"/>
      <c r="B117" s="293"/>
      <c r="C117" s="290"/>
      <c r="D117" s="293"/>
      <c r="E117" s="290"/>
      <c r="F117" s="293"/>
      <c r="G117" s="253" t="s">
        <v>225</v>
      </c>
      <c r="H117" s="254">
        <v>-2562031.19</v>
      </c>
      <c r="I117" s="255"/>
      <c r="J117" s="255"/>
      <c r="K117" s="254">
        <v>-462708.49</v>
      </c>
      <c r="L117" s="255"/>
      <c r="M117" s="255"/>
      <c r="N117" s="254">
        <v>-491234.86</v>
      </c>
      <c r="O117" s="255"/>
      <c r="P117" s="255"/>
      <c r="Q117" s="254">
        <v>-1613328.3</v>
      </c>
      <c r="R117" s="255"/>
      <c r="S117" s="255"/>
      <c r="T117" s="254">
        <v>-2320939.86</v>
      </c>
      <c r="U117" s="254">
        <v>-7450242.7000000002</v>
      </c>
    </row>
    <row r="118" spans="1:22" ht="25.5" x14ac:dyDescent="0.25">
      <c r="A118" s="290"/>
      <c r="B118" s="293"/>
      <c r="C118" s="290"/>
      <c r="D118" s="293"/>
      <c r="E118" s="290"/>
      <c r="F118" s="293"/>
      <c r="G118" s="253" t="s">
        <v>226</v>
      </c>
      <c r="H118" s="254">
        <v>-2838463.8</v>
      </c>
      <c r="I118" s="254">
        <v>-2837795.18</v>
      </c>
      <c r="J118" s="254">
        <v>-1461154.5</v>
      </c>
      <c r="K118" s="254">
        <v>-1216655.5900000001</v>
      </c>
      <c r="L118" s="254">
        <v>-631712.09</v>
      </c>
      <c r="M118" s="254">
        <v>-1684146.53</v>
      </c>
      <c r="N118" s="254">
        <v>-1813846.14</v>
      </c>
      <c r="O118" s="254">
        <v>-2255372.5699999998</v>
      </c>
      <c r="P118" s="254">
        <v>-316167.95</v>
      </c>
      <c r="Q118" s="254">
        <v>-270162.14</v>
      </c>
      <c r="R118" s="254">
        <v>-722226.72</v>
      </c>
      <c r="S118" s="254">
        <v>-2422775.65</v>
      </c>
      <c r="T118" s="254">
        <v>-2080939.91</v>
      </c>
      <c r="U118" s="254">
        <v>-20551418.77</v>
      </c>
    </row>
    <row r="119" spans="1:22" x14ac:dyDescent="0.25">
      <c r="A119" s="290"/>
      <c r="B119" s="293"/>
      <c r="C119" s="290"/>
      <c r="D119" s="293"/>
      <c r="E119" s="290"/>
      <c r="F119" s="293"/>
      <c r="G119" s="253" t="s">
        <v>227</v>
      </c>
      <c r="H119" s="254">
        <v>-1879.67</v>
      </c>
      <c r="I119" s="254">
        <v>-1989.95</v>
      </c>
      <c r="J119" s="254">
        <v>-249.85</v>
      </c>
      <c r="K119" s="254">
        <v>-350.69</v>
      </c>
      <c r="L119" s="254">
        <v>-403.89</v>
      </c>
      <c r="M119" s="254">
        <v>-482.32</v>
      </c>
      <c r="N119" s="254">
        <v>-563.84</v>
      </c>
      <c r="O119" s="254">
        <v>-618.92999999999995</v>
      </c>
      <c r="P119" s="254">
        <v>-687.65</v>
      </c>
      <c r="Q119" s="254">
        <v>-759.36</v>
      </c>
      <c r="R119" s="254">
        <v>-820.05</v>
      </c>
      <c r="S119" s="254">
        <v>-953.79</v>
      </c>
      <c r="T119" s="254">
        <v>-1111.8399999999999</v>
      </c>
      <c r="U119" s="254">
        <v>-10871.83</v>
      </c>
    </row>
    <row r="120" spans="1:22" ht="25.5" x14ac:dyDescent="0.25">
      <c r="A120" s="290"/>
      <c r="B120" s="293"/>
      <c r="C120" s="290"/>
      <c r="D120" s="293"/>
      <c r="E120" s="290"/>
      <c r="F120" s="293"/>
      <c r="G120" s="253" t="s">
        <v>228</v>
      </c>
      <c r="H120" s="254">
        <v>-4175.0200000000004</v>
      </c>
      <c r="I120" s="254">
        <v>-4175.0200000000004</v>
      </c>
      <c r="J120" s="254">
        <v>-4175.0200000000004</v>
      </c>
      <c r="K120" s="254">
        <v>-4175.0200000000004</v>
      </c>
      <c r="L120" s="254">
        <v>-4175.0200000000004</v>
      </c>
      <c r="M120" s="254">
        <v>-4175.0200000000004</v>
      </c>
      <c r="N120" s="254">
        <v>-4175.0200000000004</v>
      </c>
      <c r="O120" s="254">
        <v>-4175.0200000000004</v>
      </c>
      <c r="P120" s="254">
        <v>-4175.0200000000004</v>
      </c>
      <c r="Q120" s="254">
        <v>-4175.0200000000004</v>
      </c>
      <c r="R120" s="254">
        <v>-4175.0200000000004</v>
      </c>
      <c r="S120" s="254">
        <v>-4175.0200000000004</v>
      </c>
      <c r="T120" s="254">
        <v>-4175.0200000000004</v>
      </c>
      <c r="U120" s="254">
        <v>-54275.26</v>
      </c>
    </row>
    <row r="121" spans="1:22" x14ac:dyDescent="0.25">
      <c r="A121" s="290"/>
      <c r="B121" s="293"/>
      <c r="C121" s="290"/>
      <c r="D121" s="293"/>
      <c r="E121" s="290"/>
      <c r="F121" s="293"/>
      <c r="G121" s="253" t="s">
        <v>229</v>
      </c>
      <c r="H121" s="254">
        <v>-350121.12</v>
      </c>
      <c r="I121" s="254">
        <v>-162424.35</v>
      </c>
      <c r="J121" s="254">
        <v>-224837.17</v>
      </c>
      <c r="K121" s="254">
        <v>-326961.89</v>
      </c>
      <c r="L121" s="254">
        <v>-319232.74</v>
      </c>
      <c r="M121" s="254">
        <v>-282496.93</v>
      </c>
      <c r="N121" s="254">
        <v>-537852.02</v>
      </c>
      <c r="O121" s="254">
        <v>-189404.97</v>
      </c>
      <c r="P121" s="254">
        <v>-290814.26</v>
      </c>
      <c r="Q121" s="254">
        <v>-331241.52</v>
      </c>
      <c r="R121" s="254">
        <v>-190935.22</v>
      </c>
      <c r="S121" s="254">
        <v>-111237.57</v>
      </c>
      <c r="T121" s="254">
        <v>-68597.08</v>
      </c>
      <c r="U121" s="254">
        <v>-3386156.84</v>
      </c>
    </row>
    <row r="122" spans="1:22" x14ac:dyDescent="0.25">
      <c r="A122" s="290"/>
      <c r="B122" s="293"/>
      <c r="C122" s="290"/>
      <c r="D122" s="293"/>
      <c r="E122" s="290"/>
      <c r="F122" s="293"/>
      <c r="G122" s="253" t="s">
        <v>230</v>
      </c>
      <c r="H122" s="254">
        <v>-9320.5</v>
      </c>
      <c r="I122" s="254">
        <v>-10971.4</v>
      </c>
      <c r="J122" s="254">
        <v>-12770.89</v>
      </c>
      <c r="K122" s="254">
        <v>-3181.42</v>
      </c>
      <c r="L122" s="254">
        <v>-4090.38</v>
      </c>
      <c r="M122" s="254">
        <v>-4773.4799999999996</v>
      </c>
      <c r="N122" s="254">
        <v>-5134.95</v>
      </c>
      <c r="O122" s="254">
        <v>-5463.57</v>
      </c>
      <c r="P122" s="254">
        <v>-5854.14</v>
      </c>
      <c r="Q122" s="254">
        <v>-6228.51</v>
      </c>
      <c r="R122" s="254">
        <v>-6732.78</v>
      </c>
      <c r="S122" s="254">
        <v>-7461.59</v>
      </c>
      <c r="T122" s="254">
        <v>-8428.2900000000009</v>
      </c>
      <c r="U122" s="254">
        <v>-90411.9</v>
      </c>
    </row>
    <row r="123" spans="1:22" ht="25.5" x14ac:dyDescent="0.25">
      <c r="A123" s="290"/>
      <c r="B123" s="293"/>
      <c r="C123" s="290"/>
      <c r="D123" s="293"/>
      <c r="E123" s="290"/>
      <c r="F123" s="293"/>
      <c r="G123" s="253" t="s">
        <v>231</v>
      </c>
      <c r="H123" s="254">
        <v>-23165.43</v>
      </c>
      <c r="I123" s="254">
        <v>-6624.63</v>
      </c>
      <c r="J123" s="254">
        <v>-17765.84</v>
      </c>
      <c r="K123" s="254">
        <v>1276.3599999999999</v>
      </c>
      <c r="L123" s="254">
        <v>-5565.88</v>
      </c>
      <c r="M123" s="254">
        <v>-11793.08</v>
      </c>
      <c r="N123" s="254">
        <v>-7402.68</v>
      </c>
      <c r="O123" s="254">
        <v>-13441.88</v>
      </c>
      <c r="P123" s="254">
        <v>-19389.48</v>
      </c>
      <c r="Q123" s="254">
        <v>-25349.08</v>
      </c>
      <c r="R123" s="254">
        <v>-31289.08</v>
      </c>
      <c r="S123" s="254">
        <v>-24987.279999999999</v>
      </c>
      <c r="T123" s="254">
        <v>-13019.68</v>
      </c>
      <c r="U123" s="254">
        <v>-198517.66</v>
      </c>
    </row>
    <row r="124" spans="1:22" x14ac:dyDescent="0.25">
      <c r="A124" s="290"/>
      <c r="B124" s="293"/>
      <c r="C124" s="290"/>
      <c r="D124" s="293"/>
      <c r="E124" s="291"/>
      <c r="F124" s="294"/>
      <c r="G124" s="252" t="s">
        <v>223</v>
      </c>
      <c r="H124" s="254">
        <v>-6605984.8700000001</v>
      </c>
      <c r="I124" s="254">
        <v>-3489422.01</v>
      </c>
      <c r="J124" s="254">
        <v>-2367613.83</v>
      </c>
      <c r="K124" s="254">
        <v>-2623505.54</v>
      </c>
      <c r="L124" s="254">
        <v>-1268006.31</v>
      </c>
      <c r="M124" s="254">
        <v>-2564274.2000000002</v>
      </c>
      <c r="N124" s="254">
        <v>-4131835.4</v>
      </c>
      <c r="O124" s="254">
        <v>-3361533.83</v>
      </c>
      <c r="P124" s="254">
        <v>-1015148.07</v>
      </c>
      <c r="Q124" s="254">
        <v>-2773426.46</v>
      </c>
      <c r="R124" s="254">
        <v>-1353459.22</v>
      </c>
      <c r="S124" s="254">
        <v>-2781537.77</v>
      </c>
      <c r="T124" s="254">
        <v>-5165194.13</v>
      </c>
      <c r="U124" s="254">
        <v>-39500941.640000001</v>
      </c>
    </row>
    <row r="125" spans="1:22" ht="12.75" customHeight="1" x14ac:dyDescent="0.25">
      <c r="A125" s="290"/>
      <c r="B125" s="293"/>
      <c r="C125" s="291"/>
      <c r="D125" s="294"/>
      <c r="E125" s="295" t="s">
        <v>223</v>
      </c>
      <c r="F125" s="296"/>
      <c r="G125" s="297"/>
      <c r="H125" s="254">
        <v>-6605984.8700000001</v>
      </c>
      <c r="I125" s="254">
        <v>-3489422.01</v>
      </c>
      <c r="J125" s="254">
        <v>-2367613.83</v>
      </c>
      <c r="K125" s="254">
        <v>-2623505.54</v>
      </c>
      <c r="L125" s="254">
        <v>-1268006.31</v>
      </c>
      <c r="M125" s="254">
        <v>-2564274.2000000002</v>
      </c>
      <c r="N125" s="254">
        <v>-4131835.4</v>
      </c>
      <c r="O125" s="254">
        <v>-3361533.83</v>
      </c>
      <c r="P125" s="254">
        <v>-1015148.07</v>
      </c>
      <c r="Q125" s="254">
        <v>-2773426.46</v>
      </c>
      <c r="R125" s="254">
        <v>-1353459.22</v>
      </c>
      <c r="S125" s="254">
        <v>-2781537.77</v>
      </c>
      <c r="T125" s="254">
        <v>-5165194.13</v>
      </c>
      <c r="U125" s="254">
        <v>-39500941.640000001</v>
      </c>
    </row>
    <row r="126" spans="1:22" x14ac:dyDescent="0.25">
      <c r="A126" s="290"/>
      <c r="B126" s="293"/>
      <c r="C126" s="289">
        <v>1500</v>
      </c>
      <c r="D126" s="292" t="s">
        <v>232</v>
      </c>
      <c r="E126" s="289">
        <v>2000</v>
      </c>
      <c r="F126" s="292" t="s">
        <v>232</v>
      </c>
      <c r="G126" s="253" t="s">
        <v>233</v>
      </c>
      <c r="H126" s="254">
        <v>-28652754.620000001</v>
      </c>
      <c r="I126" s="254">
        <v>-26416849.699999999</v>
      </c>
      <c r="J126" s="254">
        <v>-19134682.800000001</v>
      </c>
      <c r="K126" s="254">
        <v>-10658133.189999999</v>
      </c>
      <c r="L126" s="254">
        <v>-4038109.58</v>
      </c>
      <c r="M126" s="254">
        <v>-351220.17</v>
      </c>
      <c r="N126" s="254">
        <v>-3653102.58</v>
      </c>
      <c r="O126" s="254">
        <v>-4963644.83</v>
      </c>
      <c r="P126" s="254">
        <v>-7514693.6200000001</v>
      </c>
      <c r="Q126" s="254">
        <v>-9595839.5099999998</v>
      </c>
      <c r="R126" s="254">
        <v>-11052349.109999999</v>
      </c>
      <c r="S126" s="254">
        <v>-12020856.9</v>
      </c>
      <c r="T126" s="254">
        <v>-12015728.310000001</v>
      </c>
      <c r="U126" s="254">
        <v>-150067964.91999999</v>
      </c>
      <c r="V126" s="262">
        <f>+U126/13</f>
        <v>-11543689.609230768</v>
      </c>
    </row>
    <row r="127" spans="1:22" x14ac:dyDescent="0.25">
      <c r="A127" s="290"/>
      <c r="B127" s="293"/>
      <c r="C127" s="290"/>
      <c r="D127" s="293"/>
      <c r="E127" s="291"/>
      <c r="F127" s="294"/>
      <c r="G127" s="252" t="s">
        <v>232</v>
      </c>
      <c r="H127" s="254">
        <v>-28652754.620000001</v>
      </c>
      <c r="I127" s="254">
        <v>-26416849.699999999</v>
      </c>
      <c r="J127" s="254">
        <v>-19134682.800000001</v>
      </c>
      <c r="K127" s="254">
        <v>-10658133.189999999</v>
      </c>
      <c r="L127" s="254">
        <v>-4038109.58</v>
      </c>
      <c r="M127" s="254">
        <v>-351220.17</v>
      </c>
      <c r="N127" s="254">
        <v>-3653102.58</v>
      </c>
      <c r="O127" s="254">
        <v>-4963644.83</v>
      </c>
      <c r="P127" s="254">
        <v>-7514693.6200000001</v>
      </c>
      <c r="Q127" s="254">
        <v>-9595839.5099999998</v>
      </c>
      <c r="R127" s="254">
        <v>-11052349.109999999</v>
      </c>
      <c r="S127" s="254">
        <v>-12020856.9</v>
      </c>
      <c r="T127" s="254">
        <v>-12015728.310000001</v>
      </c>
      <c r="U127" s="254">
        <v>-150067964.91999999</v>
      </c>
    </row>
    <row r="128" spans="1:22" ht="12.75" customHeight="1" x14ac:dyDescent="0.25">
      <c r="A128" s="290"/>
      <c r="B128" s="293"/>
      <c r="C128" s="291"/>
      <c r="D128" s="294"/>
      <c r="E128" s="295" t="s">
        <v>232</v>
      </c>
      <c r="F128" s="296"/>
      <c r="G128" s="297"/>
      <c r="H128" s="254">
        <v>-28652754.620000001</v>
      </c>
      <c r="I128" s="254">
        <v>-26416849.699999999</v>
      </c>
      <c r="J128" s="254">
        <v>-19134682.800000001</v>
      </c>
      <c r="K128" s="254">
        <v>-10658133.189999999</v>
      </c>
      <c r="L128" s="254">
        <v>-4038109.58</v>
      </c>
      <c r="M128" s="254">
        <v>-351220.17</v>
      </c>
      <c r="N128" s="254">
        <v>-3653102.58</v>
      </c>
      <c r="O128" s="254">
        <v>-4963644.83</v>
      </c>
      <c r="P128" s="254">
        <v>-7514693.6200000001</v>
      </c>
      <c r="Q128" s="254">
        <v>-9595839.5099999998</v>
      </c>
      <c r="R128" s="254">
        <v>-11052349.109999999</v>
      </c>
      <c r="S128" s="254">
        <v>-12020856.9</v>
      </c>
      <c r="T128" s="254">
        <v>-12015728.310000001</v>
      </c>
      <c r="U128" s="254">
        <v>-150067964.91999999</v>
      </c>
    </row>
    <row r="129" spans="1:21" x14ac:dyDescent="0.25">
      <c r="A129" s="290"/>
      <c r="B129" s="293"/>
      <c r="C129" s="289">
        <v>1600</v>
      </c>
      <c r="D129" s="292" t="s">
        <v>234</v>
      </c>
      <c r="E129" s="289">
        <v>2100</v>
      </c>
      <c r="F129" s="292" t="s">
        <v>234</v>
      </c>
      <c r="G129" s="253" t="s">
        <v>235</v>
      </c>
      <c r="H129" s="254">
        <v>-1200000</v>
      </c>
      <c r="I129" s="254">
        <v>-1200000</v>
      </c>
      <c r="J129" s="254">
        <v>-1200000</v>
      </c>
      <c r="K129" s="254">
        <v>-1200000</v>
      </c>
      <c r="L129" s="254">
        <v>-1200000</v>
      </c>
      <c r="M129" s="254">
        <v>-1200000</v>
      </c>
      <c r="N129" s="254">
        <v>-1200000</v>
      </c>
      <c r="O129" s="254">
        <v>-1200000</v>
      </c>
      <c r="P129" s="254">
        <v>-1200000</v>
      </c>
      <c r="Q129" s="254">
        <v>-1200000</v>
      </c>
      <c r="R129" s="254">
        <v>-1200000</v>
      </c>
      <c r="S129" s="254">
        <v>-1200000</v>
      </c>
      <c r="T129" s="254">
        <v>-1200000</v>
      </c>
      <c r="U129" s="254">
        <v>-15600000</v>
      </c>
    </row>
    <row r="130" spans="1:21" x14ac:dyDescent="0.25">
      <c r="A130" s="290"/>
      <c r="B130" s="293"/>
      <c r="C130" s="290"/>
      <c r="D130" s="293"/>
      <c r="E130" s="291"/>
      <c r="F130" s="294"/>
      <c r="G130" s="252" t="s">
        <v>234</v>
      </c>
      <c r="H130" s="254">
        <v>-1200000</v>
      </c>
      <c r="I130" s="254">
        <v>-1200000</v>
      </c>
      <c r="J130" s="254">
        <v>-1200000</v>
      </c>
      <c r="K130" s="254">
        <v>-1200000</v>
      </c>
      <c r="L130" s="254">
        <v>-1200000</v>
      </c>
      <c r="M130" s="254">
        <v>-1200000</v>
      </c>
      <c r="N130" s="254">
        <v>-1200000</v>
      </c>
      <c r="O130" s="254">
        <v>-1200000</v>
      </c>
      <c r="P130" s="254">
        <v>-1200000</v>
      </c>
      <c r="Q130" s="254">
        <v>-1200000</v>
      </c>
      <c r="R130" s="254">
        <v>-1200000</v>
      </c>
      <c r="S130" s="254">
        <v>-1200000</v>
      </c>
      <c r="T130" s="254">
        <v>-1200000</v>
      </c>
      <c r="U130" s="254">
        <v>-15600000</v>
      </c>
    </row>
    <row r="131" spans="1:21" ht="12.75" customHeight="1" x14ac:dyDescent="0.25">
      <c r="A131" s="290"/>
      <c r="B131" s="293"/>
      <c r="C131" s="291"/>
      <c r="D131" s="294"/>
      <c r="E131" s="295" t="s">
        <v>234</v>
      </c>
      <c r="F131" s="296"/>
      <c r="G131" s="297"/>
      <c r="H131" s="254">
        <v>-1200000</v>
      </c>
      <c r="I131" s="254">
        <v>-1200000</v>
      </c>
      <c r="J131" s="254">
        <v>-1200000</v>
      </c>
      <c r="K131" s="254">
        <v>-1200000</v>
      </c>
      <c r="L131" s="254">
        <v>-1200000</v>
      </c>
      <c r="M131" s="254">
        <v>-1200000</v>
      </c>
      <c r="N131" s="254">
        <v>-1200000</v>
      </c>
      <c r="O131" s="254">
        <v>-1200000</v>
      </c>
      <c r="P131" s="254">
        <v>-1200000</v>
      </c>
      <c r="Q131" s="254">
        <v>-1200000</v>
      </c>
      <c r="R131" s="254">
        <v>-1200000</v>
      </c>
      <c r="S131" s="254">
        <v>-1200000</v>
      </c>
      <c r="T131" s="254">
        <v>-1200000</v>
      </c>
      <c r="U131" s="254">
        <v>-15600000</v>
      </c>
    </row>
    <row r="132" spans="1:21" x14ac:dyDescent="0.25">
      <c r="A132" s="290"/>
      <c r="B132" s="293"/>
      <c r="C132" s="289">
        <v>1700</v>
      </c>
      <c r="D132" s="292" t="s">
        <v>236</v>
      </c>
      <c r="E132" s="289">
        <v>2200</v>
      </c>
      <c r="F132" s="292" t="s">
        <v>236</v>
      </c>
      <c r="G132" s="253" t="s">
        <v>237</v>
      </c>
      <c r="H132" s="254">
        <v>1323158.56</v>
      </c>
      <c r="I132" s="254">
        <v>1323158.56</v>
      </c>
      <c r="J132" s="254">
        <v>1323158.56</v>
      </c>
      <c r="K132" s="254">
        <v>1263043.56</v>
      </c>
      <c r="L132" s="254">
        <v>1001666.5600000001</v>
      </c>
      <c r="M132" s="254">
        <v>-983671.44</v>
      </c>
      <c r="N132" s="254">
        <v>1302171.69</v>
      </c>
      <c r="O132" s="254">
        <v>1500802.42</v>
      </c>
      <c r="P132" s="254">
        <v>1608904.86</v>
      </c>
      <c r="Q132" s="254">
        <v>4936292.7300000004</v>
      </c>
      <c r="R132" s="254">
        <v>4843738.32</v>
      </c>
      <c r="S132" s="254">
        <v>4638380.67</v>
      </c>
      <c r="T132" s="254">
        <v>3269161.59</v>
      </c>
      <c r="U132" s="254">
        <v>27349966.640000001</v>
      </c>
    </row>
    <row r="133" spans="1:21" x14ac:dyDescent="0.25">
      <c r="A133" s="290"/>
      <c r="B133" s="293"/>
      <c r="C133" s="290"/>
      <c r="D133" s="293"/>
      <c r="E133" s="290"/>
      <c r="F133" s="293"/>
      <c r="G133" s="253" t="s">
        <v>238</v>
      </c>
      <c r="H133" s="254">
        <v>197030</v>
      </c>
      <c r="I133" s="254">
        <v>197030</v>
      </c>
      <c r="J133" s="254">
        <v>197030</v>
      </c>
      <c r="K133" s="254">
        <v>114060</v>
      </c>
      <c r="L133" s="254">
        <v>114060</v>
      </c>
      <c r="M133" s="254">
        <v>-514931.36</v>
      </c>
      <c r="N133" s="254">
        <v>8009.1</v>
      </c>
      <c r="O133" s="254">
        <v>45298.98</v>
      </c>
      <c r="P133" s="254">
        <v>65593.55</v>
      </c>
      <c r="Q133" s="254">
        <v>697584.32</v>
      </c>
      <c r="R133" s="254">
        <v>680208.65</v>
      </c>
      <c r="S133" s="254">
        <v>641655.91</v>
      </c>
      <c r="T133" s="254">
        <v>525425.04</v>
      </c>
      <c r="U133" s="254">
        <v>2968054.19</v>
      </c>
    </row>
    <row r="134" spans="1:21" x14ac:dyDescent="0.25">
      <c r="A134" s="290"/>
      <c r="B134" s="293"/>
      <c r="C134" s="290"/>
      <c r="D134" s="293"/>
      <c r="E134" s="290"/>
      <c r="F134" s="293"/>
      <c r="G134" s="253" t="s">
        <v>239</v>
      </c>
      <c r="H134" s="254">
        <v>-105269.71</v>
      </c>
      <c r="I134" s="254">
        <v>-131878.72</v>
      </c>
      <c r="J134" s="254">
        <v>-127818.74</v>
      </c>
      <c r="K134" s="254">
        <v>-47932.25</v>
      </c>
      <c r="L134" s="254">
        <v>-29141.09</v>
      </c>
      <c r="M134" s="254">
        <v>-22120.81</v>
      </c>
      <c r="N134" s="254">
        <v>-7271.86</v>
      </c>
      <c r="O134" s="254">
        <v>-12887.92</v>
      </c>
      <c r="P134" s="254">
        <v>-22288.91</v>
      </c>
      <c r="Q134" s="254">
        <v>-17412.05</v>
      </c>
      <c r="R134" s="254">
        <v>-24217.96</v>
      </c>
      <c r="S134" s="254">
        <v>-32199.85</v>
      </c>
      <c r="T134" s="254">
        <v>-42191.87</v>
      </c>
      <c r="U134" s="254">
        <v>-622631.74</v>
      </c>
    </row>
    <row r="135" spans="1:21" x14ac:dyDescent="0.25">
      <c r="A135" s="290"/>
      <c r="B135" s="293"/>
      <c r="C135" s="290"/>
      <c r="D135" s="293"/>
      <c r="E135" s="290"/>
      <c r="F135" s="293"/>
      <c r="G135" s="253" t="s">
        <v>240</v>
      </c>
      <c r="H135" s="254">
        <v>-22303.23</v>
      </c>
      <c r="I135" s="254">
        <v>-34264.47</v>
      </c>
      <c r="J135" s="254">
        <v>-44910.41</v>
      </c>
      <c r="K135" s="254">
        <v>-50484.09</v>
      </c>
      <c r="L135" s="254">
        <v>-22506.55</v>
      </c>
      <c r="M135" s="254">
        <v>-22113.49</v>
      </c>
      <c r="N135" s="254">
        <v>-21869.23</v>
      </c>
      <c r="O135" s="254">
        <v>-23477.83</v>
      </c>
      <c r="P135" s="254">
        <v>-22440.81</v>
      </c>
      <c r="Q135" s="254">
        <v>-22052.9</v>
      </c>
      <c r="R135" s="254">
        <v>-21426.12</v>
      </c>
      <c r="S135" s="254">
        <v>-21069.85</v>
      </c>
      <c r="T135" s="254">
        <v>-22357.61</v>
      </c>
      <c r="U135" s="254">
        <v>-351276.59</v>
      </c>
    </row>
    <row r="136" spans="1:21" x14ac:dyDescent="0.25">
      <c r="A136" s="290"/>
      <c r="B136" s="293"/>
      <c r="C136" s="290"/>
      <c r="D136" s="293"/>
      <c r="E136" s="290"/>
      <c r="F136" s="293"/>
      <c r="G136" s="253" t="s">
        <v>241</v>
      </c>
      <c r="H136" s="254">
        <v>-914492.66</v>
      </c>
      <c r="I136" s="254">
        <v>-305817</v>
      </c>
      <c r="J136" s="254">
        <v>-398449.24</v>
      </c>
      <c r="K136" s="254">
        <v>-503757.29</v>
      </c>
      <c r="L136" s="254">
        <v>-582506.86</v>
      </c>
      <c r="M136" s="254">
        <v>-689690.86</v>
      </c>
      <c r="N136" s="254">
        <v>-818999.86</v>
      </c>
      <c r="O136" s="254">
        <v>-928896.86</v>
      </c>
      <c r="P136" s="254">
        <v>-1038793.86</v>
      </c>
      <c r="Q136" s="254">
        <v>-1148690.8600000001</v>
      </c>
      <c r="R136" s="254">
        <v>-1258587.8600000001</v>
      </c>
      <c r="S136" s="254">
        <v>-1117561.6000000001</v>
      </c>
      <c r="T136" s="254">
        <v>-1223314.6000000001</v>
      </c>
      <c r="U136" s="254">
        <v>-10929559.41</v>
      </c>
    </row>
    <row r="137" spans="1:21" ht="25.5" x14ac:dyDescent="0.25">
      <c r="A137" s="290"/>
      <c r="B137" s="293"/>
      <c r="C137" s="290"/>
      <c r="D137" s="293"/>
      <c r="E137" s="290"/>
      <c r="F137" s="293"/>
      <c r="G137" s="253" t="s">
        <v>242</v>
      </c>
      <c r="H137" s="254">
        <v>329500</v>
      </c>
      <c r="I137" s="254">
        <v>-696950</v>
      </c>
      <c r="J137" s="254">
        <v>-1210100</v>
      </c>
      <c r="K137" s="254">
        <v>-1622550</v>
      </c>
      <c r="L137" s="254">
        <v>-1601200</v>
      </c>
      <c r="M137" s="255"/>
      <c r="N137" s="255"/>
      <c r="O137" s="255"/>
      <c r="P137" s="255"/>
      <c r="Q137" s="255"/>
      <c r="R137" s="255"/>
      <c r="S137" s="255"/>
      <c r="T137" s="255"/>
      <c r="U137" s="254">
        <v>-4801300</v>
      </c>
    </row>
    <row r="138" spans="1:21" x14ac:dyDescent="0.25">
      <c r="A138" s="290"/>
      <c r="B138" s="293"/>
      <c r="C138" s="290"/>
      <c r="D138" s="293"/>
      <c r="E138" s="290"/>
      <c r="F138" s="293"/>
      <c r="G138" s="253" t="s">
        <v>243</v>
      </c>
      <c r="H138" s="254">
        <v>-219737.37</v>
      </c>
      <c r="I138" s="254">
        <v>-315796.47999999998</v>
      </c>
      <c r="J138" s="254">
        <v>-342420.03</v>
      </c>
      <c r="K138" s="254">
        <v>-266072.49</v>
      </c>
      <c r="L138" s="254">
        <v>-169110.51</v>
      </c>
      <c r="M138" s="254">
        <v>-110273.34</v>
      </c>
      <c r="N138" s="254">
        <v>-51722.07</v>
      </c>
      <c r="O138" s="254">
        <v>-43689.63</v>
      </c>
      <c r="P138" s="254">
        <v>-47187.51</v>
      </c>
      <c r="Q138" s="254">
        <v>-43187.16</v>
      </c>
      <c r="R138" s="254">
        <v>-50170.59</v>
      </c>
      <c r="S138" s="254">
        <v>-80613.06</v>
      </c>
      <c r="T138" s="254">
        <v>-107819.31</v>
      </c>
      <c r="U138" s="254">
        <v>-1847799.55</v>
      </c>
    </row>
    <row r="139" spans="1:21" x14ac:dyDescent="0.25">
      <c r="A139" s="290"/>
      <c r="B139" s="293"/>
      <c r="C139" s="290"/>
      <c r="D139" s="293"/>
      <c r="E139" s="290"/>
      <c r="F139" s="293"/>
      <c r="G139" s="253" t="s">
        <v>244</v>
      </c>
      <c r="H139" s="254">
        <v>-88923.07</v>
      </c>
      <c r="I139" s="254">
        <v>-56196.55</v>
      </c>
      <c r="J139" s="254">
        <v>-129591.62</v>
      </c>
      <c r="K139" s="254">
        <v>-179440.06</v>
      </c>
      <c r="L139" s="254">
        <v>-29886.62</v>
      </c>
      <c r="M139" s="254">
        <v>-50679.23</v>
      </c>
      <c r="N139" s="254">
        <v>-61663.83</v>
      </c>
      <c r="O139" s="254">
        <v>-9437.83</v>
      </c>
      <c r="P139" s="254">
        <v>-19705.71</v>
      </c>
      <c r="Q139" s="254">
        <v>-29160.91</v>
      </c>
      <c r="R139" s="254">
        <v>-10756.86</v>
      </c>
      <c r="S139" s="254">
        <v>-28907.4</v>
      </c>
      <c r="T139" s="254">
        <v>-52515.48</v>
      </c>
      <c r="U139" s="254">
        <v>-746865.17</v>
      </c>
    </row>
    <row r="140" spans="1:21" x14ac:dyDescent="0.25">
      <c r="A140" s="290"/>
      <c r="B140" s="293"/>
      <c r="C140" s="290"/>
      <c r="D140" s="293"/>
      <c r="E140" s="291"/>
      <c r="F140" s="294"/>
      <c r="G140" s="252" t="s">
        <v>236</v>
      </c>
      <c r="H140" s="254">
        <v>498962.52</v>
      </c>
      <c r="I140" s="254">
        <v>-20714.66</v>
      </c>
      <c r="J140" s="254">
        <v>-733101.48</v>
      </c>
      <c r="K140" s="254">
        <v>-1293132.6200000001</v>
      </c>
      <c r="L140" s="254">
        <v>-1318625.07</v>
      </c>
      <c r="M140" s="254">
        <v>-2393480.5299999998</v>
      </c>
      <c r="N140" s="254">
        <v>348653.94</v>
      </c>
      <c r="O140" s="254">
        <v>527711.32999999996</v>
      </c>
      <c r="P140" s="254">
        <v>524081.61</v>
      </c>
      <c r="Q140" s="254">
        <v>4373373.17</v>
      </c>
      <c r="R140" s="254">
        <v>4158787.58</v>
      </c>
      <c r="S140" s="254">
        <v>3999684.82</v>
      </c>
      <c r="T140" s="254">
        <v>2346387.7599999998</v>
      </c>
      <c r="U140" s="254">
        <v>11018588.369999999</v>
      </c>
    </row>
    <row r="141" spans="1:21" ht="12.75" customHeight="1" x14ac:dyDescent="0.25">
      <c r="A141" s="290"/>
      <c r="B141" s="293"/>
      <c r="C141" s="291"/>
      <c r="D141" s="294"/>
      <c r="E141" s="295" t="s">
        <v>236</v>
      </c>
      <c r="F141" s="296"/>
      <c r="G141" s="297"/>
      <c r="H141" s="254">
        <v>498962.52</v>
      </c>
      <c r="I141" s="254">
        <v>-20714.66</v>
      </c>
      <c r="J141" s="254">
        <v>-733101.48</v>
      </c>
      <c r="K141" s="254">
        <v>-1293132.6200000001</v>
      </c>
      <c r="L141" s="254">
        <v>-1318625.07</v>
      </c>
      <c r="M141" s="254">
        <v>-2393480.5299999998</v>
      </c>
      <c r="N141" s="254">
        <v>348653.94</v>
      </c>
      <c r="O141" s="254">
        <v>527711.32999999996</v>
      </c>
      <c r="P141" s="254">
        <v>524081.61</v>
      </c>
      <c r="Q141" s="254">
        <v>4373373.17</v>
      </c>
      <c r="R141" s="254">
        <v>4158787.58</v>
      </c>
      <c r="S141" s="254">
        <v>3999684.82</v>
      </c>
      <c r="T141" s="254">
        <v>2346387.7599999998</v>
      </c>
      <c r="U141" s="254">
        <v>11018588.369999999</v>
      </c>
    </row>
    <row r="142" spans="1:21" x14ac:dyDescent="0.25">
      <c r="A142" s="290"/>
      <c r="B142" s="293"/>
      <c r="C142" s="289">
        <v>1800</v>
      </c>
      <c r="D142" s="292" t="s">
        <v>245</v>
      </c>
      <c r="E142" s="289">
        <v>2300</v>
      </c>
      <c r="F142" s="292" t="s">
        <v>245</v>
      </c>
      <c r="G142" s="253" t="s">
        <v>246</v>
      </c>
      <c r="H142" s="254">
        <v>-621511.43999999994</v>
      </c>
      <c r="I142" s="254">
        <v>-606374.43999999994</v>
      </c>
      <c r="J142" s="254">
        <v>-618531.75</v>
      </c>
      <c r="K142" s="254">
        <v>-614141.18000000005</v>
      </c>
      <c r="L142" s="254">
        <v>-549295.75</v>
      </c>
      <c r="M142" s="254">
        <v>-519563.75</v>
      </c>
      <c r="N142" s="254">
        <v>-508208.75</v>
      </c>
      <c r="O142" s="254">
        <v>-483656.28</v>
      </c>
      <c r="P142" s="254">
        <v>-482296.28</v>
      </c>
      <c r="Q142" s="254">
        <v>-493441.07</v>
      </c>
      <c r="R142" s="254">
        <v>-567712.42000000004</v>
      </c>
      <c r="S142" s="254">
        <v>-600476.34</v>
      </c>
      <c r="T142" s="254">
        <v>-641019.18999999994</v>
      </c>
      <c r="U142" s="254">
        <v>-7306228.6399999997</v>
      </c>
    </row>
    <row r="143" spans="1:21" x14ac:dyDescent="0.25">
      <c r="A143" s="290"/>
      <c r="B143" s="293"/>
      <c r="C143" s="290"/>
      <c r="D143" s="293"/>
      <c r="E143" s="291"/>
      <c r="F143" s="294"/>
      <c r="G143" s="252" t="s">
        <v>245</v>
      </c>
      <c r="H143" s="254">
        <v>-621511.43999999994</v>
      </c>
      <c r="I143" s="254">
        <v>-606374.43999999994</v>
      </c>
      <c r="J143" s="254">
        <v>-618531.75</v>
      </c>
      <c r="K143" s="254">
        <v>-614141.18000000005</v>
      </c>
      <c r="L143" s="254">
        <v>-549295.75</v>
      </c>
      <c r="M143" s="254">
        <v>-519563.75</v>
      </c>
      <c r="N143" s="254">
        <v>-508208.75</v>
      </c>
      <c r="O143" s="254">
        <v>-483656.28</v>
      </c>
      <c r="P143" s="254">
        <v>-482296.28</v>
      </c>
      <c r="Q143" s="254">
        <v>-493441.07</v>
      </c>
      <c r="R143" s="254">
        <v>-567712.42000000004</v>
      </c>
      <c r="S143" s="254">
        <v>-600476.34</v>
      </c>
      <c r="T143" s="254">
        <v>-641019.18999999994</v>
      </c>
      <c r="U143" s="254">
        <v>-7306228.6399999997</v>
      </c>
    </row>
    <row r="144" spans="1:21" ht="12.75" customHeight="1" x14ac:dyDescent="0.25">
      <c r="A144" s="290"/>
      <c r="B144" s="293"/>
      <c r="C144" s="291"/>
      <c r="D144" s="294"/>
      <c r="E144" s="295" t="s">
        <v>245</v>
      </c>
      <c r="F144" s="296"/>
      <c r="G144" s="297"/>
      <c r="H144" s="254">
        <v>-621511.43999999994</v>
      </c>
      <c r="I144" s="254">
        <v>-606374.43999999994</v>
      </c>
      <c r="J144" s="254">
        <v>-618531.75</v>
      </c>
      <c r="K144" s="254">
        <v>-614141.18000000005</v>
      </c>
      <c r="L144" s="254">
        <v>-549295.75</v>
      </c>
      <c r="M144" s="254">
        <v>-519563.75</v>
      </c>
      <c r="N144" s="254">
        <v>-508208.75</v>
      </c>
      <c r="O144" s="254">
        <v>-483656.28</v>
      </c>
      <c r="P144" s="254">
        <v>-482296.28</v>
      </c>
      <c r="Q144" s="254">
        <v>-493441.07</v>
      </c>
      <c r="R144" s="254">
        <v>-567712.42000000004</v>
      </c>
      <c r="S144" s="254">
        <v>-600476.34</v>
      </c>
      <c r="T144" s="254">
        <v>-641019.18999999994</v>
      </c>
      <c r="U144" s="254">
        <v>-7306228.6399999997</v>
      </c>
    </row>
    <row r="145" spans="1:21" x14ac:dyDescent="0.25">
      <c r="A145" s="290"/>
      <c r="B145" s="293"/>
      <c r="C145" s="289">
        <v>1900</v>
      </c>
      <c r="D145" s="292" t="s">
        <v>247</v>
      </c>
      <c r="E145" s="289">
        <v>2400</v>
      </c>
      <c r="F145" s="292" t="s">
        <v>247</v>
      </c>
      <c r="G145" s="253" t="s">
        <v>248</v>
      </c>
      <c r="H145" s="254">
        <v>-5719.83</v>
      </c>
      <c r="I145" s="254">
        <v>-5225.76</v>
      </c>
      <c r="J145" s="254">
        <v>-1226.6099999999999</v>
      </c>
      <c r="K145" s="254">
        <v>-3946.8</v>
      </c>
      <c r="L145" s="254">
        <v>-6561.04</v>
      </c>
      <c r="M145" s="254">
        <v>-3714.67</v>
      </c>
      <c r="N145" s="254">
        <v>-8874.89</v>
      </c>
      <c r="O145" s="254">
        <v>-12418.53</v>
      </c>
      <c r="P145" s="254">
        <v>-4531.7700000000004</v>
      </c>
      <c r="Q145" s="254">
        <v>-7449.19</v>
      </c>
      <c r="R145" s="254">
        <v>-11189.12</v>
      </c>
      <c r="S145" s="254">
        <v>-3385.99</v>
      </c>
      <c r="T145" s="254">
        <v>-6949.22</v>
      </c>
      <c r="U145" s="254">
        <v>-81193.42</v>
      </c>
    </row>
    <row r="146" spans="1:21" ht="25.5" x14ac:dyDescent="0.25">
      <c r="A146" s="290"/>
      <c r="B146" s="293"/>
      <c r="C146" s="290"/>
      <c r="D146" s="293"/>
      <c r="E146" s="290"/>
      <c r="F146" s="293"/>
      <c r="G146" s="253" t="s">
        <v>249</v>
      </c>
      <c r="H146" s="254">
        <v>-55471.64</v>
      </c>
      <c r="I146" s="254">
        <v>-54870.69</v>
      </c>
      <c r="J146" s="254">
        <v>-57041.5</v>
      </c>
      <c r="K146" s="254">
        <v>-58446.67</v>
      </c>
      <c r="L146" s="254">
        <v>-56852.42</v>
      </c>
      <c r="M146" s="254">
        <v>-56545.39</v>
      </c>
      <c r="N146" s="254">
        <v>-56926.81</v>
      </c>
      <c r="O146" s="254">
        <v>-55649.37</v>
      </c>
      <c r="P146" s="254">
        <v>-56031.46</v>
      </c>
      <c r="Q146" s="254">
        <v>-56841.440000000002</v>
      </c>
      <c r="R146" s="254">
        <v>-56780.36</v>
      </c>
      <c r="S146" s="254">
        <v>-57762.68</v>
      </c>
      <c r="T146" s="254">
        <v>-59694.27</v>
      </c>
      <c r="U146" s="254">
        <v>-738914.7</v>
      </c>
    </row>
    <row r="147" spans="1:21" ht="25.5" x14ac:dyDescent="0.25">
      <c r="A147" s="290"/>
      <c r="B147" s="293"/>
      <c r="C147" s="290"/>
      <c r="D147" s="293"/>
      <c r="E147" s="290"/>
      <c r="F147" s="293"/>
      <c r="G147" s="253" t="s">
        <v>250</v>
      </c>
      <c r="H147" s="254">
        <v>-230545.26</v>
      </c>
      <c r="I147" s="254">
        <v>-345310</v>
      </c>
      <c r="J147" s="254">
        <v>-114900</v>
      </c>
      <c r="K147" s="254">
        <v>-229641.67</v>
      </c>
      <c r="L147" s="254">
        <v>-344382.5</v>
      </c>
      <c r="M147" s="254">
        <v>-114700</v>
      </c>
      <c r="N147" s="254">
        <v>-229370.83</v>
      </c>
      <c r="O147" s="254">
        <v>-343297.5</v>
      </c>
      <c r="P147" s="254">
        <v>-114300</v>
      </c>
      <c r="Q147" s="254">
        <v>-228541.67</v>
      </c>
      <c r="R147" s="254">
        <v>-342160</v>
      </c>
      <c r="S147" s="254">
        <v>-114000</v>
      </c>
      <c r="T147" s="254">
        <v>-227654.17</v>
      </c>
      <c r="U147" s="254">
        <v>-2978803.6</v>
      </c>
    </row>
    <row r="148" spans="1:21" ht="25.5" x14ac:dyDescent="0.25">
      <c r="A148" s="290"/>
      <c r="B148" s="293"/>
      <c r="C148" s="290"/>
      <c r="D148" s="293"/>
      <c r="E148" s="290"/>
      <c r="F148" s="293"/>
      <c r="G148" s="253" t="s">
        <v>251</v>
      </c>
      <c r="H148" s="254">
        <v>-567855.63</v>
      </c>
      <c r="I148" s="254">
        <v>-189300</v>
      </c>
      <c r="J148" s="254">
        <v>-376602.29</v>
      </c>
      <c r="K148" s="254">
        <v>-563931.25</v>
      </c>
      <c r="L148" s="254">
        <v>-187700</v>
      </c>
      <c r="M148" s="254">
        <v>-375008.33</v>
      </c>
      <c r="N148" s="254">
        <v>-562637.5</v>
      </c>
      <c r="O148" s="254">
        <v>-187329.17</v>
      </c>
      <c r="P148" s="254">
        <v>-374305.01</v>
      </c>
      <c r="Q148" s="254">
        <v>-560682.5</v>
      </c>
      <c r="R148" s="254">
        <v>-186929.17</v>
      </c>
      <c r="S148" s="254">
        <v>-373409.38</v>
      </c>
      <c r="T148" s="254">
        <v>-559891.88</v>
      </c>
      <c r="U148" s="254">
        <v>-5065582.1100000003</v>
      </c>
    </row>
    <row r="149" spans="1:21" x14ac:dyDescent="0.25">
      <c r="A149" s="290"/>
      <c r="B149" s="293"/>
      <c r="C149" s="290"/>
      <c r="D149" s="293"/>
      <c r="E149" s="291"/>
      <c r="F149" s="294"/>
      <c r="G149" s="252" t="s">
        <v>247</v>
      </c>
      <c r="H149" s="254">
        <v>-859592.36</v>
      </c>
      <c r="I149" s="254">
        <v>-594706.44999999995</v>
      </c>
      <c r="J149" s="254">
        <v>-549770.4</v>
      </c>
      <c r="K149" s="254">
        <v>-855966.39</v>
      </c>
      <c r="L149" s="254">
        <v>-595495.96</v>
      </c>
      <c r="M149" s="254">
        <v>-549968.39</v>
      </c>
      <c r="N149" s="254">
        <v>-857810.03</v>
      </c>
      <c r="O149" s="254">
        <v>-598694.56999999995</v>
      </c>
      <c r="P149" s="254">
        <v>-549168.24</v>
      </c>
      <c r="Q149" s="254">
        <v>-853514.8</v>
      </c>
      <c r="R149" s="254">
        <v>-597058.65</v>
      </c>
      <c r="S149" s="254">
        <v>-548558.05000000005</v>
      </c>
      <c r="T149" s="254">
        <v>-854189.54</v>
      </c>
      <c r="U149" s="254">
        <v>-8864493.8300000001</v>
      </c>
    </row>
    <row r="150" spans="1:21" ht="12.75" customHeight="1" x14ac:dyDescent="0.25">
      <c r="A150" s="290"/>
      <c r="B150" s="293"/>
      <c r="C150" s="291"/>
      <c r="D150" s="294"/>
      <c r="E150" s="295" t="s">
        <v>247</v>
      </c>
      <c r="F150" s="296"/>
      <c r="G150" s="297"/>
      <c r="H150" s="254">
        <v>-859592.36</v>
      </c>
      <c r="I150" s="254">
        <v>-594706.44999999995</v>
      </c>
      <c r="J150" s="254">
        <v>-549770.4</v>
      </c>
      <c r="K150" s="254">
        <v>-855966.39</v>
      </c>
      <c r="L150" s="254">
        <v>-595495.96</v>
      </c>
      <c r="M150" s="254">
        <v>-549968.39</v>
      </c>
      <c r="N150" s="254">
        <v>-857810.03</v>
      </c>
      <c r="O150" s="254">
        <v>-598694.56999999995</v>
      </c>
      <c r="P150" s="254">
        <v>-549168.24</v>
      </c>
      <c r="Q150" s="254">
        <v>-853514.8</v>
      </c>
      <c r="R150" s="254">
        <v>-597058.65</v>
      </c>
      <c r="S150" s="254">
        <v>-548558.05000000005</v>
      </c>
      <c r="T150" s="254">
        <v>-854189.54</v>
      </c>
      <c r="U150" s="254">
        <v>-8864493.8300000001</v>
      </c>
    </row>
    <row r="151" spans="1:21" ht="25.5" x14ac:dyDescent="0.25">
      <c r="A151" s="290"/>
      <c r="B151" s="293"/>
      <c r="C151" s="289">
        <v>1950</v>
      </c>
      <c r="D151" s="292" t="s">
        <v>252</v>
      </c>
      <c r="E151" s="289">
        <v>2450</v>
      </c>
      <c r="F151" s="292" t="s">
        <v>252</v>
      </c>
      <c r="G151" s="253" t="s">
        <v>253</v>
      </c>
      <c r="H151" s="254">
        <v>-605409.76</v>
      </c>
      <c r="I151" s="254">
        <v>-605409.76</v>
      </c>
      <c r="J151" s="254">
        <v>-605409.76</v>
      </c>
      <c r="K151" s="254">
        <v>-675975.36</v>
      </c>
      <c r="L151" s="254">
        <v>-675975.36</v>
      </c>
      <c r="M151" s="254">
        <v>-675975.36</v>
      </c>
      <c r="N151" s="254">
        <v>-712216.31</v>
      </c>
      <c r="O151" s="254">
        <v>-712216.31</v>
      </c>
      <c r="P151" s="254">
        <v>-712216.31</v>
      </c>
      <c r="Q151" s="254">
        <v>-724084.74</v>
      </c>
      <c r="R151" s="254">
        <v>-724084.74</v>
      </c>
      <c r="S151" s="254">
        <v>-724084.74</v>
      </c>
      <c r="T151" s="254">
        <v>-612651.99</v>
      </c>
      <c r="U151" s="254">
        <v>-8765710.5</v>
      </c>
    </row>
    <row r="152" spans="1:21" x14ac:dyDescent="0.25">
      <c r="A152" s="290"/>
      <c r="B152" s="293"/>
      <c r="C152" s="290"/>
      <c r="D152" s="293"/>
      <c r="E152" s="291"/>
      <c r="F152" s="294"/>
      <c r="G152" s="252" t="s">
        <v>252</v>
      </c>
      <c r="H152" s="254">
        <v>-605409.76</v>
      </c>
      <c r="I152" s="254">
        <v>-605409.76</v>
      </c>
      <c r="J152" s="254">
        <v>-605409.76</v>
      </c>
      <c r="K152" s="254">
        <v>-675975.36</v>
      </c>
      <c r="L152" s="254">
        <v>-675975.36</v>
      </c>
      <c r="M152" s="254">
        <v>-675975.36</v>
      </c>
      <c r="N152" s="254">
        <v>-712216.31</v>
      </c>
      <c r="O152" s="254">
        <v>-712216.31</v>
      </c>
      <c r="P152" s="254">
        <v>-712216.31</v>
      </c>
      <c r="Q152" s="254">
        <v>-724084.74</v>
      </c>
      <c r="R152" s="254">
        <v>-724084.74</v>
      </c>
      <c r="S152" s="254">
        <v>-724084.74</v>
      </c>
      <c r="T152" s="254">
        <v>-612651.99</v>
      </c>
      <c r="U152" s="254">
        <v>-8765710.5</v>
      </c>
    </row>
    <row r="153" spans="1:21" ht="12.75" customHeight="1" x14ac:dyDescent="0.25">
      <c r="A153" s="290"/>
      <c r="B153" s="293"/>
      <c r="C153" s="291"/>
      <c r="D153" s="294"/>
      <c r="E153" s="295" t="s">
        <v>252</v>
      </c>
      <c r="F153" s="296"/>
      <c r="G153" s="297"/>
      <c r="H153" s="254">
        <v>-605409.76</v>
      </c>
      <c r="I153" s="254">
        <v>-605409.76</v>
      </c>
      <c r="J153" s="254">
        <v>-605409.76</v>
      </c>
      <c r="K153" s="254">
        <v>-675975.36</v>
      </c>
      <c r="L153" s="254">
        <v>-675975.36</v>
      </c>
      <c r="M153" s="254">
        <v>-675975.36</v>
      </c>
      <c r="N153" s="254">
        <v>-712216.31</v>
      </c>
      <c r="O153" s="254">
        <v>-712216.31</v>
      </c>
      <c r="P153" s="254">
        <v>-712216.31</v>
      </c>
      <c r="Q153" s="254">
        <v>-724084.74</v>
      </c>
      <c r="R153" s="254">
        <v>-724084.74</v>
      </c>
      <c r="S153" s="254">
        <v>-724084.74</v>
      </c>
      <c r="T153" s="254">
        <v>-612651.99</v>
      </c>
      <c r="U153" s="254">
        <v>-8765710.5</v>
      </c>
    </row>
    <row r="154" spans="1:21" x14ac:dyDescent="0.25">
      <c r="A154" s="290"/>
      <c r="B154" s="293"/>
      <c r="C154" s="289">
        <v>2100</v>
      </c>
      <c r="D154" s="292" t="s">
        <v>254</v>
      </c>
      <c r="E154" s="289">
        <v>2500</v>
      </c>
      <c r="F154" s="292" t="s">
        <v>255</v>
      </c>
      <c r="G154" s="253" t="s">
        <v>256</v>
      </c>
      <c r="H154" s="254">
        <v>-1751000</v>
      </c>
      <c r="I154" s="254">
        <v>-1751000</v>
      </c>
      <c r="J154" s="254">
        <v>-1751000</v>
      </c>
      <c r="K154" s="254">
        <v>-1751000</v>
      </c>
      <c r="L154" s="254">
        <v>-1751000</v>
      </c>
      <c r="M154" s="254">
        <v>-1025732.21</v>
      </c>
      <c r="N154" s="254">
        <v>-894695.64</v>
      </c>
      <c r="O154" s="254">
        <v>-974147.68</v>
      </c>
      <c r="P154" s="254">
        <v>-906206.13</v>
      </c>
      <c r="Q154" s="254">
        <v>-844256.47</v>
      </c>
      <c r="R154" s="254">
        <v>-801646.49</v>
      </c>
      <c r="S154" s="254">
        <v>-848879.66</v>
      </c>
      <c r="T154" s="254">
        <v>-447439.66</v>
      </c>
      <c r="U154" s="254">
        <v>-15498003.939999999</v>
      </c>
    </row>
    <row r="155" spans="1:21" x14ac:dyDescent="0.25">
      <c r="A155" s="290"/>
      <c r="B155" s="293"/>
      <c r="C155" s="290"/>
      <c r="D155" s="293"/>
      <c r="E155" s="290"/>
      <c r="F155" s="293"/>
      <c r="G155" s="253" t="s">
        <v>257</v>
      </c>
      <c r="H155" s="254">
        <v>176500</v>
      </c>
      <c r="I155" s="254">
        <v>176500</v>
      </c>
      <c r="J155" s="254">
        <v>176500</v>
      </c>
      <c r="K155" s="254">
        <v>176500</v>
      </c>
      <c r="L155" s="254">
        <v>176500</v>
      </c>
      <c r="M155" s="254">
        <v>349843.28</v>
      </c>
      <c r="N155" s="254">
        <v>132860</v>
      </c>
      <c r="O155" s="254">
        <v>121613.14</v>
      </c>
      <c r="P155" s="254">
        <v>109401.1</v>
      </c>
      <c r="Q155" s="254">
        <v>103612.91</v>
      </c>
      <c r="R155" s="254">
        <v>84462.54</v>
      </c>
      <c r="S155" s="254">
        <v>73548.52</v>
      </c>
      <c r="T155" s="254">
        <v>84325.48</v>
      </c>
      <c r="U155" s="254">
        <v>1942166.97</v>
      </c>
    </row>
    <row r="156" spans="1:21" x14ac:dyDescent="0.25">
      <c r="A156" s="290"/>
      <c r="B156" s="293"/>
      <c r="C156" s="290"/>
      <c r="D156" s="293"/>
      <c r="E156" s="290"/>
      <c r="F156" s="293"/>
      <c r="G156" s="253" t="s">
        <v>258</v>
      </c>
      <c r="H156" s="254">
        <v>103200</v>
      </c>
      <c r="I156" s="254">
        <v>103200</v>
      </c>
      <c r="J156" s="254">
        <v>103200</v>
      </c>
      <c r="K156" s="254">
        <v>103200</v>
      </c>
      <c r="L156" s="254">
        <v>103200</v>
      </c>
      <c r="M156" s="255"/>
      <c r="N156" s="255"/>
      <c r="O156" s="255"/>
      <c r="P156" s="255"/>
      <c r="Q156" s="255"/>
      <c r="R156" s="255"/>
      <c r="S156" s="255"/>
      <c r="T156" s="255"/>
      <c r="U156" s="254">
        <v>516000</v>
      </c>
    </row>
    <row r="157" spans="1:21" x14ac:dyDescent="0.25">
      <c r="A157" s="290"/>
      <c r="B157" s="293"/>
      <c r="C157" s="290"/>
      <c r="D157" s="293"/>
      <c r="E157" s="290"/>
      <c r="F157" s="293"/>
      <c r="G157" s="253" t="s">
        <v>259</v>
      </c>
      <c r="H157" s="254">
        <v>-337100</v>
      </c>
      <c r="I157" s="254">
        <v>-337100</v>
      </c>
      <c r="J157" s="254">
        <v>-337100</v>
      </c>
      <c r="K157" s="254">
        <v>-337100</v>
      </c>
      <c r="L157" s="254">
        <v>-337100</v>
      </c>
      <c r="M157" s="254">
        <v>-285965.59000000003</v>
      </c>
      <c r="N157" s="254">
        <v>-362203.74</v>
      </c>
      <c r="O157" s="254">
        <v>-309213.45</v>
      </c>
      <c r="P157" s="254">
        <v>-309822.65000000002</v>
      </c>
      <c r="Q157" s="254">
        <v>-283846.73</v>
      </c>
      <c r="R157" s="254">
        <v>-225347.37</v>
      </c>
      <c r="S157" s="254">
        <v>-193710.75</v>
      </c>
      <c r="T157" s="254">
        <v>-184041.29</v>
      </c>
      <c r="U157" s="254">
        <v>-3839651.57</v>
      </c>
    </row>
    <row r="158" spans="1:21" x14ac:dyDescent="0.25">
      <c r="A158" s="290"/>
      <c r="B158" s="293"/>
      <c r="C158" s="290"/>
      <c r="D158" s="293"/>
      <c r="E158" s="290"/>
      <c r="F158" s="293"/>
      <c r="G158" s="253" t="s">
        <v>260</v>
      </c>
      <c r="H158" s="254">
        <v>42500</v>
      </c>
      <c r="I158" s="254">
        <v>42500</v>
      </c>
      <c r="J158" s="254">
        <v>42500</v>
      </c>
      <c r="K158" s="254">
        <v>42500</v>
      </c>
      <c r="L158" s="254">
        <v>42500</v>
      </c>
      <c r="M158" s="254">
        <v>42548.22</v>
      </c>
      <c r="N158" s="254">
        <v>25662.47</v>
      </c>
      <c r="O158" s="254">
        <v>25662.47</v>
      </c>
      <c r="P158" s="254">
        <v>25662.47</v>
      </c>
      <c r="Q158" s="254">
        <v>25662.47</v>
      </c>
      <c r="R158" s="254">
        <v>25662.47</v>
      </c>
      <c r="S158" s="254">
        <v>25662.47</v>
      </c>
      <c r="T158" s="254">
        <v>25662.47</v>
      </c>
      <c r="U158" s="254">
        <v>434685.51</v>
      </c>
    </row>
    <row r="159" spans="1:21" x14ac:dyDescent="0.25">
      <c r="A159" s="290"/>
      <c r="B159" s="293"/>
      <c r="C159" s="290"/>
      <c r="D159" s="293"/>
      <c r="E159" s="290"/>
      <c r="F159" s="293"/>
      <c r="G159" s="253" t="s">
        <v>261</v>
      </c>
      <c r="H159" s="254">
        <v>27100</v>
      </c>
      <c r="I159" s="254">
        <v>27100</v>
      </c>
      <c r="J159" s="254">
        <v>27100</v>
      </c>
      <c r="K159" s="254">
        <v>27100</v>
      </c>
      <c r="L159" s="254">
        <v>27100</v>
      </c>
      <c r="M159" s="254">
        <v>44563.519999999997</v>
      </c>
      <c r="N159" s="254">
        <v>54042.89</v>
      </c>
      <c r="O159" s="254">
        <v>31939.919999999998</v>
      </c>
      <c r="P159" s="254">
        <v>30231.72</v>
      </c>
      <c r="Q159" s="254">
        <v>57102.09</v>
      </c>
      <c r="R159" s="254">
        <v>57102.09</v>
      </c>
      <c r="S159" s="254">
        <v>57102.09</v>
      </c>
      <c r="T159" s="254">
        <v>60161.29</v>
      </c>
      <c r="U159" s="254">
        <v>527745.61</v>
      </c>
    </row>
    <row r="160" spans="1:21" x14ac:dyDescent="0.25">
      <c r="A160" s="290"/>
      <c r="B160" s="293"/>
      <c r="C160" s="290"/>
      <c r="D160" s="293"/>
      <c r="E160" s="290"/>
      <c r="F160" s="293"/>
      <c r="G160" s="253" t="s">
        <v>262</v>
      </c>
      <c r="H160" s="254">
        <v>17586</v>
      </c>
      <c r="I160" s="254">
        <v>17586</v>
      </c>
      <c r="J160" s="254">
        <v>17586</v>
      </c>
      <c r="K160" s="254">
        <v>19564</v>
      </c>
      <c r="L160" s="254">
        <v>19564</v>
      </c>
      <c r="M160" s="254">
        <v>19603</v>
      </c>
      <c r="N160" s="254">
        <v>25562</v>
      </c>
      <c r="O160" s="254">
        <v>25562</v>
      </c>
      <c r="P160" s="254">
        <v>25562</v>
      </c>
      <c r="Q160" s="254">
        <v>25971.21</v>
      </c>
      <c r="R160" s="254">
        <v>25971.21</v>
      </c>
      <c r="S160" s="254">
        <v>25971.21</v>
      </c>
      <c r="T160" s="254">
        <v>26385.35</v>
      </c>
      <c r="U160" s="254">
        <v>292473.98</v>
      </c>
    </row>
    <row r="161" spans="1:21" x14ac:dyDescent="0.25">
      <c r="A161" s="290"/>
      <c r="B161" s="293"/>
      <c r="C161" s="290"/>
      <c r="D161" s="293"/>
      <c r="E161" s="290"/>
      <c r="F161" s="293"/>
      <c r="G161" s="253" t="s">
        <v>263</v>
      </c>
      <c r="H161" s="254">
        <v>92400</v>
      </c>
      <c r="I161" s="254">
        <v>92400</v>
      </c>
      <c r="J161" s="254">
        <v>92400</v>
      </c>
      <c r="K161" s="254">
        <v>92400</v>
      </c>
      <c r="L161" s="254">
        <v>92400</v>
      </c>
      <c r="M161" s="254">
        <v>92432.6</v>
      </c>
      <c r="N161" s="254">
        <v>26192.400000000001</v>
      </c>
      <c r="O161" s="254">
        <v>26192.400000000001</v>
      </c>
      <c r="P161" s="254">
        <v>26192.400000000001</v>
      </c>
      <c r="Q161" s="254">
        <v>43321.85</v>
      </c>
      <c r="R161" s="254">
        <v>43321.85</v>
      </c>
      <c r="S161" s="254">
        <v>43321.85</v>
      </c>
      <c r="T161" s="254">
        <v>60451.29</v>
      </c>
      <c r="U161" s="254">
        <v>823426.64</v>
      </c>
    </row>
    <row r="162" spans="1:21" x14ac:dyDescent="0.25">
      <c r="A162" s="290"/>
      <c r="B162" s="293"/>
      <c r="C162" s="290"/>
      <c r="D162" s="293"/>
      <c r="E162" s="291"/>
      <c r="F162" s="294"/>
      <c r="G162" s="252" t="s">
        <v>255</v>
      </c>
      <c r="H162" s="254">
        <v>-1628814</v>
      </c>
      <c r="I162" s="254">
        <v>-1628814</v>
      </c>
      <c r="J162" s="254">
        <v>-1628814</v>
      </c>
      <c r="K162" s="254">
        <v>-1626836</v>
      </c>
      <c r="L162" s="254">
        <v>-1626836</v>
      </c>
      <c r="M162" s="254">
        <v>-762707.18</v>
      </c>
      <c r="N162" s="254">
        <v>-992579.62</v>
      </c>
      <c r="O162" s="254">
        <v>-1052391.2</v>
      </c>
      <c r="P162" s="254">
        <v>-998979.09</v>
      </c>
      <c r="Q162" s="254">
        <v>-872432.67</v>
      </c>
      <c r="R162" s="254">
        <v>-790473.7</v>
      </c>
      <c r="S162" s="254">
        <v>-816984.27</v>
      </c>
      <c r="T162" s="254">
        <v>-374495.07</v>
      </c>
      <c r="U162" s="254">
        <v>-14801156.800000001</v>
      </c>
    </row>
    <row r="163" spans="1:21" x14ac:dyDescent="0.25">
      <c r="A163" s="290"/>
      <c r="B163" s="293"/>
      <c r="C163" s="290"/>
      <c r="D163" s="293"/>
      <c r="E163" s="289">
        <v>2600</v>
      </c>
      <c r="F163" s="292" t="s">
        <v>254</v>
      </c>
      <c r="G163" s="253" t="s">
        <v>264</v>
      </c>
      <c r="H163" s="254">
        <v>-97733.16</v>
      </c>
      <c r="I163" s="254">
        <v>-109614.13</v>
      </c>
      <c r="J163" s="254">
        <v>-77810.42</v>
      </c>
      <c r="K163" s="254">
        <v>-84331.61</v>
      </c>
      <c r="L163" s="254">
        <v>-71632.47</v>
      </c>
      <c r="M163" s="254">
        <v>-72908.19</v>
      </c>
      <c r="N163" s="254">
        <v>-75562.53</v>
      </c>
      <c r="O163" s="254">
        <v>-76836.2</v>
      </c>
      <c r="P163" s="254">
        <v>-104374.2</v>
      </c>
      <c r="Q163" s="254">
        <v>-79466.03</v>
      </c>
      <c r="R163" s="254">
        <v>-72014.47</v>
      </c>
      <c r="S163" s="254">
        <v>-74827.149999999994</v>
      </c>
      <c r="T163" s="254">
        <v>-80419.16</v>
      </c>
      <c r="U163" s="254">
        <v>-1077529.72</v>
      </c>
    </row>
    <row r="164" spans="1:21" x14ac:dyDescent="0.25">
      <c r="A164" s="290"/>
      <c r="B164" s="293"/>
      <c r="C164" s="290"/>
      <c r="D164" s="293"/>
      <c r="E164" s="290"/>
      <c r="F164" s="293"/>
      <c r="G164" s="253" t="s">
        <v>265</v>
      </c>
      <c r="H164" s="254">
        <v>-633</v>
      </c>
      <c r="I164" s="254">
        <v>-192</v>
      </c>
      <c r="J164" s="254">
        <v>-384</v>
      </c>
      <c r="K164" s="254">
        <v>-576</v>
      </c>
      <c r="L164" s="254">
        <v>-192</v>
      </c>
      <c r="M164" s="254">
        <v>-384</v>
      </c>
      <c r="N164" s="254">
        <v>-576</v>
      </c>
      <c r="O164" s="254">
        <v>-192</v>
      </c>
      <c r="P164" s="254">
        <v>-384</v>
      </c>
      <c r="Q164" s="254">
        <v>-576</v>
      </c>
      <c r="R164" s="254">
        <v>-768</v>
      </c>
      <c r="S164" s="254">
        <v>-384</v>
      </c>
      <c r="T164" s="254">
        <v>-576</v>
      </c>
      <c r="U164" s="254">
        <v>-5817</v>
      </c>
    </row>
    <row r="165" spans="1:21" x14ac:dyDescent="0.25">
      <c r="A165" s="290"/>
      <c r="B165" s="293"/>
      <c r="C165" s="290"/>
      <c r="D165" s="293"/>
      <c r="E165" s="290"/>
      <c r="F165" s="293"/>
      <c r="G165" s="253" t="s">
        <v>266</v>
      </c>
      <c r="H165" s="254">
        <v>-630</v>
      </c>
      <c r="I165" s="254">
        <v>-405</v>
      </c>
      <c r="J165" s="254">
        <v>-405</v>
      </c>
      <c r="K165" s="254">
        <v>-405</v>
      </c>
      <c r="L165" s="254">
        <v>-405</v>
      </c>
      <c r="M165" s="254">
        <v>-405</v>
      </c>
      <c r="N165" s="254">
        <v>-405</v>
      </c>
      <c r="O165" s="254">
        <v>-405</v>
      </c>
      <c r="P165" s="254">
        <v>-405</v>
      </c>
      <c r="Q165" s="254">
        <v>-405</v>
      </c>
      <c r="R165" s="254">
        <v>-405</v>
      </c>
      <c r="S165" s="254">
        <v>-405</v>
      </c>
      <c r="T165" s="254">
        <v>-405</v>
      </c>
      <c r="U165" s="254">
        <v>-5490</v>
      </c>
    </row>
    <row r="166" spans="1:21" x14ac:dyDescent="0.25">
      <c r="A166" s="290"/>
      <c r="B166" s="293"/>
      <c r="C166" s="290"/>
      <c r="D166" s="293"/>
      <c r="E166" s="290"/>
      <c r="F166" s="293"/>
      <c r="G166" s="253" t="s">
        <v>267</v>
      </c>
      <c r="H166" s="254">
        <v>-429</v>
      </c>
      <c r="I166" s="254">
        <v>-110</v>
      </c>
      <c r="J166" s="254">
        <v>-220</v>
      </c>
      <c r="K166" s="254">
        <v>-330</v>
      </c>
      <c r="L166" s="254">
        <v>-110</v>
      </c>
      <c r="M166" s="254">
        <v>-220</v>
      </c>
      <c r="N166" s="254">
        <v>-330</v>
      </c>
      <c r="O166" s="254">
        <v>-110</v>
      </c>
      <c r="P166" s="254">
        <v>-220</v>
      </c>
      <c r="Q166" s="254">
        <v>-330</v>
      </c>
      <c r="R166" s="254">
        <v>-440</v>
      </c>
      <c r="S166" s="254">
        <v>-220</v>
      </c>
      <c r="T166" s="254">
        <v>-330</v>
      </c>
      <c r="U166" s="254">
        <v>-3399</v>
      </c>
    </row>
    <row r="167" spans="1:21" x14ac:dyDescent="0.25">
      <c r="A167" s="290"/>
      <c r="B167" s="293"/>
      <c r="C167" s="290"/>
      <c r="D167" s="293"/>
      <c r="E167" s="290"/>
      <c r="F167" s="293"/>
      <c r="G167" s="253" t="s">
        <v>268</v>
      </c>
      <c r="H167" s="254">
        <v>-9631.43</v>
      </c>
      <c r="I167" s="254">
        <v>-21529.599999999999</v>
      </c>
      <c r="J167" s="254">
        <v>-12593.35</v>
      </c>
      <c r="K167" s="254">
        <v>-10635.84</v>
      </c>
      <c r="L167" s="254">
        <v>-10351.209999999999</v>
      </c>
      <c r="M167" s="254">
        <v>-6419.95</v>
      </c>
      <c r="N167" s="254">
        <v>-7074.84</v>
      </c>
      <c r="O167" s="254">
        <v>-21275.78</v>
      </c>
      <c r="P167" s="254">
        <v>-7065.14</v>
      </c>
      <c r="Q167" s="254">
        <v>-8661.08</v>
      </c>
      <c r="R167" s="254">
        <v>-9165.17</v>
      </c>
      <c r="S167" s="254">
        <v>-6536.48</v>
      </c>
      <c r="T167" s="254">
        <v>-13596.41</v>
      </c>
      <c r="U167" s="254">
        <v>-144536.28</v>
      </c>
    </row>
    <row r="168" spans="1:21" x14ac:dyDescent="0.25">
      <c r="A168" s="290"/>
      <c r="B168" s="293"/>
      <c r="C168" s="290"/>
      <c r="D168" s="293"/>
      <c r="E168" s="290"/>
      <c r="F168" s="293"/>
      <c r="G168" s="253" t="s">
        <v>269</v>
      </c>
      <c r="H168" s="254">
        <v>-140009</v>
      </c>
      <c r="I168" s="254">
        <v>-163609</v>
      </c>
      <c r="J168" s="254">
        <v>-157109</v>
      </c>
      <c r="K168" s="254">
        <v>-150200</v>
      </c>
      <c r="L168" s="254">
        <v>-163950</v>
      </c>
      <c r="M168" s="254">
        <v>-181866</v>
      </c>
      <c r="N168" s="254">
        <v>-174603</v>
      </c>
      <c r="O168" s="254">
        <v>-116376</v>
      </c>
      <c r="P168" s="254">
        <v>-111876</v>
      </c>
      <c r="Q168" s="254">
        <v>-158257</v>
      </c>
      <c r="R168" s="254">
        <v>-159674.57</v>
      </c>
      <c r="S168" s="254">
        <v>-185174.57</v>
      </c>
      <c r="T168" s="254">
        <v>-200974.57</v>
      </c>
      <c r="U168" s="254">
        <v>-2063678.71</v>
      </c>
    </row>
    <row r="169" spans="1:21" x14ac:dyDescent="0.25">
      <c r="A169" s="290"/>
      <c r="B169" s="293"/>
      <c r="C169" s="290"/>
      <c r="D169" s="293"/>
      <c r="E169" s="290"/>
      <c r="F169" s="293"/>
      <c r="G169" s="253" t="s">
        <v>270</v>
      </c>
      <c r="H169" s="254">
        <v>-221000</v>
      </c>
      <c r="I169" s="254">
        <v>-221000</v>
      </c>
      <c r="J169" s="254">
        <v>-221000</v>
      </c>
      <c r="K169" s="254">
        <v>-230000</v>
      </c>
      <c r="L169" s="254">
        <v>-230000</v>
      </c>
      <c r="M169" s="254">
        <v>-230000</v>
      </c>
      <c r="N169" s="254">
        <v>-226000</v>
      </c>
      <c r="O169" s="254">
        <v>-226000</v>
      </c>
      <c r="P169" s="254">
        <v>-226000</v>
      </c>
      <c r="Q169" s="254">
        <v>-248000</v>
      </c>
      <c r="R169" s="254">
        <v>-248000</v>
      </c>
      <c r="S169" s="254">
        <v>-248000</v>
      </c>
      <c r="T169" s="254">
        <v>-226000</v>
      </c>
      <c r="U169" s="254">
        <v>-3001000</v>
      </c>
    </row>
    <row r="170" spans="1:21" x14ac:dyDescent="0.25">
      <c r="A170" s="290"/>
      <c r="B170" s="293"/>
      <c r="C170" s="290"/>
      <c r="D170" s="293"/>
      <c r="E170" s="290"/>
      <c r="F170" s="293"/>
      <c r="G170" s="253" t="s">
        <v>271</v>
      </c>
      <c r="H170" s="255"/>
      <c r="I170" s="254">
        <v>0.06</v>
      </c>
      <c r="J170" s="254">
        <v>0.12</v>
      </c>
      <c r="K170" s="255"/>
      <c r="L170" s="254">
        <v>0.04</v>
      </c>
      <c r="M170" s="254">
        <v>0.09</v>
      </c>
      <c r="N170" s="254">
        <v>-3376</v>
      </c>
      <c r="O170" s="254">
        <v>-3375.95</v>
      </c>
      <c r="P170" s="254">
        <v>0.09</v>
      </c>
      <c r="Q170" s="255"/>
      <c r="R170" s="254">
        <v>0.04</v>
      </c>
      <c r="S170" s="254">
        <v>0.08</v>
      </c>
      <c r="T170" s="255"/>
      <c r="U170" s="254">
        <v>-6751.43</v>
      </c>
    </row>
    <row r="171" spans="1:21" x14ac:dyDescent="0.25">
      <c r="A171" s="290"/>
      <c r="B171" s="293"/>
      <c r="C171" s="290"/>
      <c r="D171" s="293"/>
      <c r="E171" s="290"/>
      <c r="F171" s="293"/>
      <c r="G171" s="253" t="s">
        <v>272</v>
      </c>
      <c r="H171" s="255"/>
      <c r="I171" s="255"/>
      <c r="J171" s="255"/>
      <c r="K171" s="255"/>
      <c r="L171" s="255"/>
      <c r="M171" s="255"/>
      <c r="N171" s="255"/>
      <c r="O171" s="255"/>
      <c r="P171" s="254">
        <v>-36.44</v>
      </c>
      <c r="Q171" s="255"/>
      <c r="R171" s="255"/>
      <c r="S171" s="255"/>
      <c r="T171" s="255"/>
      <c r="U171" s="254">
        <v>-36.44</v>
      </c>
    </row>
    <row r="172" spans="1:21" x14ac:dyDescent="0.25">
      <c r="A172" s="290"/>
      <c r="B172" s="293"/>
      <c r="C172" s="290"/>
      <c r="D172" s="293"/>
      <c r="E172" s="290"/>
      <c r="F172" s="293"/>
      <c r="G172" s="253" t="s">
        <v>273</v>
      </c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4">
        <v>50</v>
      </c>
      <c r="T172" s="254">
        <v>50</v>
      </c>
      <c r="U172" s="254">
        <v>100</v>
      </c>
    </row>
    <row r="173" spans="1:21" x14ac:dyDescent="0.25">
      <c r="A173" s="290"/>
      <c r="B173" s="293"/>
      <c r="C173" s="290"/>
      <c r="D173" s="293"/>
      <c r="E173" s="291"/>
      <c r="F173" s="294"/>
      <c r="G173" s="252" t="s">
        <v>254</v>
      </c>
      <c r="H173" s="254">
        <v>-470065.59</v>
      </c>
      <c r="I173" s="254">
        <v>-516459.67</v>
      </c>
      <c r="J173" s="254">
        <v>-469521.65</v>
      </c>
      <c r="K173" s="254">
        <v>-476478.45</v>
      </c>
      <c r="L173" s="254">
        <v>-476640.64</v>
      </c>
      <c r="M173" s="254">
        <v>-492203.05</v>
      </c>
      <c r="N173" s="254">
        <v>-487927.37</v>
      </c>
      <c r="O173" s="254">
        <v>-444570.93</v>
      </c>
      <c r="P173" s="254">
        <v>-450360.69</v>
      </c>
      <c r="Q173" s="254">
        <v>-495695.11</v>
      </c>
      <c r="R173" s="254">
        <v>-490467.17</v>
      </c>
      <c r="S173" s="254">
        <v>-515497.12</v>
      </c>
      <c r="T173" s="254">
        <v>-522251.14</v>
      </c>
      <c r="U173" s="254">
        <v>-6308138.5800000001</v>
      </c>
    </row>
    <row r="174" spans="1:21" ht="12.75" customHeight="1" x14ac:dyDescent="0.25">
      <c r="A174" s="290"/>
      <c r="B174" s="293"/>
      <c r="C174" s="291"/>
      <c r="D174" s="294"/>
      <c r="E174" s="295" t="s">
        <v>254</v>
      </c>
      <c r="F174" s="296"/>
      <c r="G174" s="297"/>
      <c r="H174" s="254">
        <v>-2098879.59</v>
      </c>
      <c r="I174" s="254">
        <v>-2145273.67</v>
      </c>
      <c r="J174" s="254">
        <v>-2098335.65</v>
      </c>
      <c r="K174" s="254">
        <v>-2103314.4500000002</v>
      </c>
      <c r="L174" s="254">
        <v>-2103476.64</v>
      </c>
      <c r="M174" s="254">
        <v>-1254910.23</v>
      </c>
      <c r="N174" s="254">
        <v>-1480506.99</v>
      </c>
      <c r="O174" s="254">
        <v>-1496962.13</v>
      </c>
      <c r="P174" s="254">
        <v>-1449339.78</v>
      </c>
      <c r="Q174" s="254">
        <v>-1368127.78</v>
      </c>
      <c r="R174" s="254">
        <v>-1280940.8700000001</v>
      </c>
      <c r="S174" s="254">
        <v>-1332481.3899999999</v>
      </c>
      <c r="T174" s="254">
        <v>-896746.21</v>
      </c>
      <c r="U174" s="254">
        <v>-21109295.379999999</v>
      </c>
    </row>
    <row r="175" spans="1:21" ht="12.75" customHeight="1" x14ac:dyDescent="0.25">
      <c r="A175" s="291"/>
      <c r="B175" s="294"/>
      <c r="C175" s="295" t="s">
        <v>222</v>
      </c>
      <c r="D175" s="296"/>
      <c r="E175" s="296"/>
      <c r="F175" s="296"/>
      <c r="G175" s="297"/>
      <c r="H175" s="254">
        <v>-40145170.119999997</v>
      </c>
      <c r="I175" s="254">
        <v>-35078750.689999998</v>
      </c>
      <c r="J175" s="254">
        <v>-27307445.670000002</v>
      </c>
      <c r="K175" s="254">
        <v>-20024168.73</v>
      </c>
      <c r="L175" s="254">
        <v>-11748984.67</v>
      </c>
      <c r="M175" s="254">
        <v>-9509392.6300000008</v>
      </c>
      <c r="N175" s="254">
        <v>-12195026.119999999</v>
      </c>
      <c r="O175" s="254">
        <v>-12288996.619999999</v>
      </c>
      <c r="P175" s="254">
        <v>-12398780.689999999</v>
      </c>
      <c r="Q175" s="254">
        <v>-12635061.189999999</v>
      </c>
      <c r="R175" s="254">
        <v>-12616817.43</v>
      </c>
      <c r="S175" s="254">
        <v>-15208310.369999999</v>
      </c>
      <c r="T175" s="254">
        <v>-19039141.609999999</v>
      </c>
      <c r="U175" s="254">
        <v>-240196046.53999999</v>
      </c>
    </row>
    <row r="176" spans="1:21" x14ac:dyDescent="0.25">
      <c r="A176" s="289">
        <v>500</v>
      </c>
      <c r="B176" s="292" t="s">
        <v>274</v>
      </c>
      <c r="C176" s="289">
        <v>2200</v>
      </c>
      <c r="D176" s="292" t="s">
        <v>274</v>
      </c>
      <c r="E176" s="289">
        <v>2700</v>
      </c>
      <c r="F176" s="292" t="s">
        <v>274</v>
      </c>
      <c r="G176" s="253" t="s">
        <v>275</v>
      </c>
      <c r="H176" s="254">
        <v>-19760000</v>
      </c>
      <c r="I176" s="254">
        <v>-19732000</v>
      </c>
      <c r="J176" s="254">
        <v>-19689000</v>
      </c>
      <c r="K176" s="254">
        <v>-19679000</v>
      </c>
      <c r="L176" s="254">
        <v>-19679000</v>
      </c>
      <c r="M176" s="254">
        <v>-19664000</v>
      </c>
      <c r="N176" s="254">
        <v>-19659000</v>
      </c>
      <c r="O176" s="254">
        <v>-19617000</v>
      </c>
      <c r="P176" s="254">
        <v>-19597000</v>
      </c>
      <c r="Q176" s="254">
        <v>-19587000</v>
      </c>
      <c r="R176" s="254">
        <v>-19552000</v>
      </c>
      <c r="S176" s="254">
        <v>-19535000</v>
      </c>
      <c r="T176" s="254">
        <v>-19510000</v>
      </c>
      <c r="U176" s="254">
        <v>-255260000</v>
      </c>
    </row>
    <row r="177" spans="1:22" x14ac:dyDescent="0.25">
      <c r="A177" s="290"/>
      <c r="B177" s="293"/>
      <c r="C177" s="290"/>
      <c r="D177" s="293"/>
      <c r="E177" s="290"/>
      <c r="F177" s="293"/>
      <c r="G177" s="253" t="s">
        <v>276</v>
      </c>
      <c r="H177" s="254">
        <v>-39503000</v>
      </c>
      <c r="I177" s="254">
        <v>-39388000</v>
      </c>
      <c r="J177" s="254">
        <v>-39305000</v>
      </c>
      <c r="K177" s="254">
        <v>-39230000</v>
      </c>
      <c r="L177" s="254">
        <v>-39180000</v>
      </c>
      <c r="M177" s="254">
        <v>-39140000</v>
      </c>
      <c r="N177" s="254">
        <v>-39140000</v>
      </c>
      <c r="O177" s="254">
        <v>-39066000</v>
      </c>
      <c r="P177" s="254">
        <v>-39034000</v>
      </c>
      <c r="Q177" s="254">
        <v>-39004000</v>
      </c>
      <c r="R177" s="254">
        <v>-38974000</v>
      </c>
      <c r="S177" s="254">
        <v>-38949000</v>
      </c>
      <c r="T177" s="254">
        <v>-38949000</v>
      </c>
      <c r="U177" s="254">
        <v>-508862000</v>
      </c>
    </row>
    <row r="178" spans="1:22" x14ac:dyDescent="0.25">
      <c r="A178" s="290"/>
      <c r="B178" s="293"/>
      <c r="C178" s="290"/>
      <c r="D178" s="293"/>
      <c r="E178" s="290"/>
      <c r="F178" s="293"/>
      <c r="G178" s="253" t="s">
        <v>277</v>
      </c>
      <c r="H178" s="254">
        <f>+H176+H177</f>
        <v>-59263000</v>
      </c>
      <c r="I178" s="254">
        <f t="shared" ref="I178:T178" si="2">+I176+I177</f>
        <v>-59120000</v>
      </c>
      <c r="J178" s="254">
        <f t="shared" si="2"/>
        <v>-58994000</v>
      </c>
      <c r="K178" s="254">
        <f t="shared" si="2"/>
        <v>-58909000</v>
      </c>
      <c r="L178" s="254">
        <f t="shared" si="2"/>
        <v>-58859000</v>
      </c>
      <c r="M178" s="254">
        <f t="shared" si="2"/>
        <v>-58804000</v>
      </c>
      <c r="N178" s="254">
        <f t="shared" si="2"/>
        <v>-58799000</v>
      </c>
      <c r="O178" s="254">
        <f t="shared" si="2"/>
        <v>-58683000</v>
      </c>
      <c r="P178" s="254">
        <f t="shared" si="2"/>
        <v>-58631000</v>
      </c>
      <c r="Q178" s="254">
        <f t="shared" si="2"/>
        <v>-58591000</v>
      </c>
      <c r="R178" s="254">
        <f t="shared" si="2"/>
        <v>-58526000</v>
      </c>
      <c r="S178" s="254">
        <f t="shared" si="2"/>
        <v>-58484000</v>
      </c>
      <c r="T178" s="254">
        <f t="shared" si="2"/>
        <v>-58459000</v>
      </c>
      <c r="U178" s="254">
        <f>SUM(H178:T178)</f>
        <v>-764122000</v>
      </c>
      <c r="V178" s="262">
        <f>+U178/13</f>
        <v>-58778615.384615384</v>
      </c>
    </row>
    <row r="179" spans="1:22" x14ac:dyDescent="0.25">
      <c r="A179" s="290"/>
      <c r="B179" s="293"/>
      <c r="C179" s="290"/>
      <c r="D179" s="293"/>
      <c r="E179" s="290"/>
      <c r="F179" s="293"/>
      <c r="G179" s="253" t="s">
        <v>278</v>
      </c>
      <c r="H179" s="254">
        <v>1200000</v>
      </c>
      <c r="I179" s="254">
        <v>1200000</v>
      </c>
      <c r="J179" s="254">
        <v>1200000</v>
      </c>
      <c r="K179" s="254">
        <v>1200000</v>
      </c>
      <c r="L179" s="254">
        <v>1200000</v>
      </c>
      <c r="M179" s="254">
        <v>1200000</v>
      </c>
      <c r="N179" s="254">
        <v>1200000</v>
      </c>
      <c r="O179" s="254">
        <v>1200000</v>
      </c>
      <c r="P179" s="254">
        <v>1200000</v>
      </c>
      <c r="Q179" s="254">
        <v>1200000</v>
      </c>
      <c r="R179" s="254">
        <v>1200000</v>
      </c>
      <c r="S179" s="254">
        <v>1200000</v>
      </c>
      <c r="T179" s="254">
        <v>1200000</v>
      </c>
      <c r="U179" s="254">
        <v>15600000</v>
      </c>
    </row>
    <row r="180" spans="1:22" x14ac:dyDescent="0.25">
      <c r="A180" s="290"/>
      <c r="B180" s="293"/>
      <c r="C180" s="290"/>
      <c r="D180" s="293"/>
      <c r="E180" s="291"/>
      <c r="F180" s="294"/>
      <c r="G180" s="252" t="s">
        <v>274</v>
      </c>
      <c r="H180" s="254">
        <v>-58063000</v>
      </c>
      <c r="I180" s="254">
        <v>-57920000</v>
      </c>
      <c r="J180" s="254">
        <v>-57794000</v>
      </c>
      <c r="K180" s="254">
        <v>-57709000</v>
      </c>
      <c r="L180" s="254">
        <v>-57659000</v>
      </c>
      <c r="M180" s="254">
        <v>-57604000</v>
      </c>
      <c r="N180" s="254">
        <v>-57599000</v>
      </c>
      <c r="O180" s="254">
        <v>-57483000</v>
      </c>
      <c r="P180" s="254">
        <v>-57431000</v>
      </c>
      <c r="Q180" s="254">
        <v>-57391000</v>
      </c>
      <c r="R180" s="254">
        <v>-57326000</v>
      </c>
      <c r="S180" s="254">
        <v>-57284000</v>
      </c>
      <c r="T180" s="254">
        <v>-57259000</v>
      </c>
      <c r="U180" s="254">
        <v>-748522000</v>
      </c>
    </row>
    <row r="181" spans="1:22" ht="12.75" customHeight="1" x14ac:dyDescent="0.25">
      <c r="A181" s="290"/>
      <c r="B181" s="293"/>
      <c r="C181" s="291"/>
      <c r="D181" s="294"/>
      <c r="E181" s="295" t="s">
        <v>274</v>
      </c>
      <c r="F181" s="296"/>
      <c r="G181" s="297"/>
      <c r="H181" s="254">
        <v>-58063000</v>
      </c>
      <c r="I181" s="254">
        <v>-57920000</v>
      </c>
      <c r="J181" s="254">
        <v>-57794000</v>
      </c>
      <c r="K181" s="254">
        <v>-57709000</v>
      </c>
      <c r="L181" s="254">
        <v>-57659000</v>
      </c>
      <c r="M181" s="254">
        <v>-57604000</v>
      </c>
      <c r="N181" s="254">
        <v>-57599000</v>
      </c>
      <c r="O181" s="254">
        <v>-57483000</v>
      </c>
      <c r="P181" s="254">
        <v>-57431000</v>
      </c>
      <c r="Q181" s="254">
        <v>-57391000</v>
      </c>
      <c r="R181" s="254">
        <v>-57326000</v>
      </c>
      <c r="S181" s="254">
        <v>-57284000</v>
      </c>
      <c r="T181" s="254">
        <v>-57259000</v>
      </c>
      <c r="U181" s="254">
        <v>-748522000</v>
      </c>
    </row>
    <row r="182" spans="1:22" ht="12.75" customHeight="1" x14ac:dyDescent="0.25">
      <c r="A182" s="291"/>
      <c r="B182" s="294"/>
      <c r="C182" s="295" t="s">
        <v>274</v>
      </c>
      <c r="D182" s="296"/>
      <c r="E182" s="296"/>
      <c r="F182" s="296"/>
      <c r="G182" s="297"/>
      <c r="H182" s="254">
        <v>-58063000</v>
      </c>
      <c r="I182" s="254">
        <v>-57920000</v>
      </c>
      <c r="J182" s="254">
        <v>-57794000</v>
      </c>
      <c r="K182" s="254">
        <v>-57709000</v>
      </c>
      <c r="L182" s="254">
        <v>-57659000</v>
      </c>
      <c r="M182" s="254">
        <v>-57604000</v>
      </c>
      <c r="N182" s="254">
        <v>-57599000</v>
      </c>
      <c r="O182" s="254">
        <v>-57483000</v>
      </c>
      <c r="P182" s="254">
        <v>-57431000</v>
      </c>
      <c r="Q182" s="254">
        <v>-57391000</v>
      </c>
      <c r="R182" s="254">
        <v>-57326000</v>
      </c>
      <c r="S182" s="254">
        <v>-57284000</v>
      </c>
      <c r="T182" s="254">
        <v>-57259000</v>
      </c>
      <c r="U182" s="254">
        <v>-748522000</v>
      </c>
    </row>
    <row r="183" spans="1:22" x14ac:dyDescent="0.25">
      <c r="A183" s="289">
        <v>600</v>
      </c>
      <c r="B183" s="292" t="s">
        <v>279</v>
      </c>
      <c r="C183" s="289">
        <v>2300</v>
      </c>
      <c r="D183" s="292" t="s">
        <v>280</v>
      </c>
      <c r="E183" s="289">
        <v>2800</v>
      </c>
      <c r="F183" s="292" t="s">
        <v>280</v>
      </c>
      <c r="G183" s="253" t="s">
        <v>281</v>
      </c>
      <c r="H183" s="254">
        <v>-24412031</v>
      </c>
      <c r="I183" s="254">
        <v>-24412031</v>
      </c>
      <c r="J183" s="254">
        <v>-24412031</v>
      </c>
      <c r="K183" s="254">
        <v>-24412031</v>
      </c>
      <c r="L183" s="254">
        <v>-24412031</v>
      </c>
      <c r="M183" s="254">
        <v>-24412007.850000001</v>
      </c>
      <c r="N183" s="254">
        <v>-25647730.239999998</v>
      </c>
      <c r="O183" s="254">
        <v>-25647730.239999998</v>
      </c>
      <c r="P183" s="254">
        <v>-25647730.239999998</v>
      </c>
      <c r="Q183" s="254">
        <v>-29438203.780000001</v>
      </c>
      <c r="R183" s="254">
        <v>-29438203.780000001</v>
      </c>
      <c r="S183" s="254">
        <v>-29438203.780000001</v>
      </c>
      <c r="T183" s="254">
        <v>-29979116.079999998</v>
      </c>
      <c r="U183" s="254">
        <v>-341709080.99000001</v>
      </c>
    </row>
    <row r="184" spans="1:22" x14ac:dyDescent="0.25">
      <c r="A184" s="290"/>
      <c r="B184" s="293"/>
      <c r="C184" s="290"/>
      <c r="D184" s="293"/>
      <c r="E184" s="290"/>
      <c r="F184" s="293"/>
      <c r="G184" s="253" t="s">
        <v>282</v>
      </c>
      <c r="H184" s="254">
        <v>-457101</v>
      </c>
      <c r="I184" s="254">
        <v>-457101</v>
      </c>
      <c r="J184" s="254">
        <v>-457101</v>
      </c>
      <c r="K184" s="254">
        <v>-457101</v>
      </c>
      <c r="L184" s="254">
        <v>-457101</v>
      </c>
      <c r="M184" s="254">
        <v>-457068.01</v>
      </c>
      <c r="N184" s="254">
        <v>543127.5</v>
      </c>
      <c r="O184" s="254">
        <v>543127.5</v>
      </c>
      <c r="P184" s="254">
        <v>543127.5</v>
      </c>
      <c r="Q184" s="254">
        <v>452058.13</v>
      </c>
      <c r="R184" s="254">
        <v>452058.13</v>
      </c>
      <c r="S184" s="254">
        <v>452058.13</v>
      </c>
      <c r="T184" s="254">
        <v>550788.79</v>
      </c>
      <c r="U184" s="254">
        <v>793772.67</v>
      </c>
    </row>
    <row r="185" spans="1:22" x14ac:dyDescent="0.25">
      <c r="A185" s="290"/>
      <c r="B185" s="293"/>
      <c r="C185" s="290"/>
      <c r="D185" s="293"/>
      <c r="E185" s="290"/>
      <c r="F185" s="293"/>
      <c r="G185" s="253" t="s">
        <v>283</v>
      </c>
      <c r="H185" s="254">
        <v>172400</v>
      </c>
      <c r="I185" s="254">
        <v>172400</v>
      </c>
      <c r="J185" s="254">
        <v>172400</v>
      </c>
      <c r="K185" s="254">
        <v>172400</v>
      </c>
      <c r="L185" s="254">
        <v>172400</v>
      </c>
      <c r="M185" s="254">
        <v>140400</v>
      </c>
      <c r="N185" s="255"/>
      <c r="O185" s="255"/>
      <c r="P185" s="255"/>
      <c r="Q185" s="255"/>
      <c r="R185" s="255"/>
      <c r="S185" s="255"/>
      <c r="T185" s="254">
        <v>817600</v>
      </c>
      <c r="U185" s="254">
        <v>1820000</v>
      </c>
    </row>
    <row r="186" spans="1:22" x14ac:dyDescent="0.25">
      <c r="A186" s="290"/>
      <c r="B186" s="293"/>
      <c r="C186" s="290"/>
      <c r="D186" s="293"/>
      <c r="E186" s="290"/>
      <c r="F186" s="293"/>
      <c r="G186" s="253" t="s">
        <v>284</v>
      </c>
      <c r="H186" s="254">
        <v>227300</v>
      </c>
      <c r="I186" s="254">
        <v>227300</v>
      </c>
      <c r="J186" s="254">
        <v>227300</v>
      </c>
      <c r="K186" s="254">
        <v>227300</v>
      </c>
      <c r="L186" s="254">
        <v>227300</v>
      </c>
      <c r="M186" s="254">
        <v>227250.96</v>
      </c>
      <c r="N186" s="254">
        <v>221273.3</v>
      </c>
      <c r="O186" s="254">
        <v>221273.3</v>
      </c>
      <c r="P186" s="254">
        <v>221273.3</v>
      </c>
      <c r="Q186" s="254">
        <v>221273.3</v>
      </c>
      <c r="R186" s="254">
        <v>221273.3</v>
      </c>
      <c r="S186" s="254">
        <v>221273.3</v>
      </c>
      <c r="T186" s="254">
        <v>221273.3</v>
      </c>
      <c r="U186" s="254">
        <v>2912664.06</v>
      </c>
    </row>
    <row r="187" spans="1:22" x14ac:dyDescent="0.25">
      <c r="A187" s="290"/>
      <c r="B187" s="293"/>
      <c r="C187" s="290"/>
      <c r="D187" s="293"/>
      <c r="E187" s="290"/>
      <c r="F187" s="293"/>
      <c r="G187" s="253" t="s">
        <v>285</v>
      </c>
      <c r="H187" s="254">
        <v>17300</v>
      </c>
      <c r="I187" s="254">
        <v>17300</v>
      </c>
      <c r="J187" s="254">
        <v>17300</v>
      </c>
      <c r="K187" s="254">
        <v>17300</v>
      </c>
      <c r="L187" s="254">
        <v>17300</v>
      </c>
      <c r="M187" s="254">
        <v>17321.91</v>
      </c>
      <c r="N187" s="254">
        <v>18566.62</v>
      </c>
      <c r="O187" s="254">
        <v>18566.62</v>
      </c>
      <c r="P187" s="254">
        <v>19741.099999999999</v>
      </c>
      <c r="Q187" s="254">
        <v>19741.099999999999</v>
      </c>
      <c r="R187" s="254">
        <v>20728.060000000001</v>
      </c>
      <c r="S187" s="254">
        <v>20728.060000000001</v>
      </c>
      <c r="T187" s="254">
        <v>20728.060000000001</v>
      </c>
      <c r="U187" s="254">
        <v>242621.53</v>
      </c>
    </row>
    <row r="188" spans="1:22" x14ac:dyDescent="0.25">
      <c r="A188" s="290"/>
      <c r="B188" s="293"/>
      <c r="C188" s="290"/>
      <c r="D188" s="293"/>
      <c r="E188" s="290"/>
      <c r="F188" s="293"/>
      <c r="G188" s="253" t="s">
        <v>286</v>
      </c>
      <c r="H188" s="254">
        <v>-963700</v>
      </c>
      <c r="I188" s="254">
        <v>-963700</v>
      </c>
      <c r="J188" s="254">
        <v>-963700</v>
      </c>
      <c r="K188" s="254">
        <v>-963700</v>
      </c>
      <c r="L188" s="254">
        <v>-963700</v>
      </c>
      <c r="M188" s="254">
        <v>-897324.52</v>
      </c>
      <c r="N188" s="254">
        <v>-891293.19</v>
      </c>
      <c r="O188" s="254">
        <v>-885262.61</v>
      </c>
      <c r="P188" s="254">
        <v>-879232.03</v>
      </c>
      <c r="Q188" s="254">
        <v>-873201.45</v>
      </c>
      <c r="R188" s="254">
        <v>-867170.87</v>
      </c>
      <c r="S188" s="254">
        <v>-861140.29</v>
      </c>
      <c r="T188" s="254">
        <v>-855109.71</v>
      </c>
      <c r="U188" s="254">
        <v>-11828234.67</v>
      </c>
    </row>
    <row r="189" spans="1:22" ht="25.5" x14ac:dyDescent="0.25">
      <c r="A189" s="290"/>
      <c r="B189" s="293"/>
      <c r="C189" s="290"/>
      <c r="D189" s="293"/>
      <c r="E189" s="290"/>
      <c r="F189" s="293"/>
      <c r="G189" s="253" t="s">
        <v>287</v>
      </c>
      <c r="H189" s="254">
        <v>520800</v>
      </c>
      <c r="I189" s="254">
        <v>520800</v>
      </c>
      <c r="J189" s="254">
        <v>520800</v>
      </c>
      <c r="K189" s="254">
        <v>520800</v>
      </c>
      <c r="L189" s="254">
        <v>520800</v>
      </c>
      <c r="M189" s="254">
        <v>554995.43999999994</v>
      </c>
      <c r="N189" s="254">
        <v>545534.39</v>
      </c>
      <c r="O189" s="254">
        <v>549120.91</v>
      </c>
      <c r="P189" s="254">
        <v>552730.55000000005</v>
      </c>
      <c r="Q189" s="254">
        <v>556957.19999999995</v>
      </c>
      <c r="R189" s="254">
        <v>560617.18999999994</v>
      </c>
      <c r="S189" s="254">
        <v>564300.75</v>
      </c>
      <c r="T189" s="254">
        <v>568008.07999999996</v>
      </c>
      <c r="U189" s="254">
        <v>7056264.5099999998</v>
      </c>
    </row>
    <row r="190" spans="1:22" x14ac:dyDescent="0.25">
      <c r="A190" s="290"/>
      <c r="B190" s="293"/>
      <c r="C190" s="290"/>
      <c r="D190" s="293"/>
      <c r="E190" s="290"/>
      <c r="F190" s="293"/>
      <c r="G190" s="253" t="s">
        <v>288</v>
      </c>
      <c r="H190" s="254">
        <v>-108000</v>
      </c>
      <c r="I190" s="254">
        <v>-108000</v>
      </c>
      <c r="J190" s="254">
        <v>-108000</v>
      </c>
      <c r="K190" s="254">
        <v>-108000</v>
      </c>
      <c r="L190" s="254">
        <v>-108000</v>
      </c>
      <c r="M190" s="254">
        <v>-66303.77</v>
      </c>
      <c r="N190" s="254">
        <v>-62511.94</v>
      </c>
      <c r="O190" s="254">
        <v>-58719.74</v>
      </c>
      <c r="P190" s="254">
        <v>-54927.53</v>
      </c>
      <c r="Q190" s="254">
        <v>-51135.33</v>
      </c>
      <c r="R190" s="254">
        <v>-47343.12</v>
      </c>
      <c r="S190" s="254">
        <v>-43550.92</v>
      </c>
      <c r="T190" s="254">
        <v>-39758.720000000001</v>
      </c>
      <c r="U190" s="254">
        <v>-964251.07</v>
      </c>
    </row>
    <row r="191" spans="1:22" x14ac:dyDescent="0.25">
      <c r="A191" s="290"/>
      <c r="B191" s="293"/>
      <c r="C191" s="290"/>
      <c r="D191" s="293"/>
      <c r="E191" s="290"/>
      <c r="F191" s="293"/>
      <c r="G191" s="253" t="s">
        <v>289</v>
      </c>
      <c r="H191" s="254">
        <v>233500</v>
      </c>
      <c r="I191" s="254">
        <v>233500</v>
      </c>
      <c r="J191" s="254">
        <v>233500</v>
      </c>
      <c r="K191" s="254">
        <v>233500</v>
      </c>
      <c r="L191" s="254">
        <v>233500</v>
      </c>
      <c r="M191" s="254">
        <v>233473.74</v>
      </c>
      <c r="N191" s="254">
        <v>115516.07</v>
      </c>
      <c r="O191" s="254">
        <v>94051.56</v>
      </c>
      <c r="P191" s="254">
        <v>72746.48</v>
      </c>
      <c r="Q191" s="254">
        <v>54199.49</v>
      </c>
      <c r="R191" s="254">
        <v>33981.01</v>
      </c>
      <c r="S191" s="254">
        <v>28463.06</v>
      </c>
      <c r="T191" s="254">
        <v>28570.63</v>
      </c>
      <c r="U191" s="254">
        <v>1828502.04</v>
      </c>
    </row>
    <row r="192" spans="1:22" ht="25.5" x14ac:dyDescent="0.25">
      <c r="A192" s="290"/>
      <c r="B192" s="293"/>
      <c r="C192" s="290"/>
      <c r="D192" s="293"/>
      <c r="E192" s="290"/>
      <c r="F192" s="293"/>
      <c r="G192" s="253" t="s">
        <v>290</v>
      </c>
      <c r="H192" s="254">
        <v>173784</v>
      </c>
      <c r="I192" s="254">
        <v>173784</v>
      </c>
      <c r="J192" s="254">
        <v>173784</v>
      </c>
      <c r="K192" s="254">
        <v>149494</v>
      </c>
      <c r="L192" s="254">
        <v>149494</v>
      </c>
      <c r="M192" s="254">
        <v>149474</v>
      </c>
      <c r="N192" s="254">
        <v>166676.06</v>
      </c>
      <c r="O192" s="254">
        <v>166676.06</v>
      </c>
      <c r="P192" s="254">
        <v>166676.06</v>
      </c>
      <c r="Q192" s="254">
        <v>167543.44</v>
      </c>
      <c r="R192" s="254">
        <v>167543.44</v>
      </c>
      <c r="S192" s="254">
        <v>167543.44</v>
      </c>
      <c r="T192" s="254">
        <v>168503.83</v>
      </c>
      <c r="U192" s="254">
        <v>2140976.33</v>
      </c>
    </row>
    <row r="193" spans="1:21" ht="25.5" x14ac:dyDescent="0.25">
      <c r="A193" s="290"/>
      <c r="B193" s="293"/>
      <c r="C193" s="290"/>
      <c r="D193" s="293"/>
      <c r="E193" s="290"/>
      <c r="F193" s="293"/>
      <c r="G193" s="253" t="s">
        <v>291</v>
      </c>
      <c r="H193" s="254">
        <v>-1343000</v>
      </c>
      <c r="I193" s="254">
        <v>-1343000</v>
      </c>
      <c r="J193" s="254">
        <v>-1343000</v>
      </c>
      <c r="K193" s="254">
        <v>-1343000</v>
      </c>
      <c r="L193" s="254">
        <v>-1343000</v>
      </c>
      <c r="M193" s="254">
        <v>-1330576.95</v>
      </c>
      <c r="N193" s="254">
        <v>-2774631.15</v>
      </c>
      <c r="O193" s="254">
        <v>-2774631.15</v>
      </c>
      <c r="P193" s="254">
        <v>-2774631.15</v>
      </c>
      <c r="Q193" s="254">
        <v>-2774631.15</v>
      </c>
      <c r="R193" s="254">
        <v>-2774631.15</v>
      </c>
      <c r="S193" s="254">
        <v>-2774631.15</v>
      </c>
      <c r="T193" s="254">
        <v>-2774631.15</v>
      </c>
      <c r="U193" s="254">
        <v>-27467995</v>
      </c>
    </row>
    <row r="194" spans="1:21" x14ac:dyDescent="0.25">
      <c r="A194" s="290"/>
      <c r="B194" s="293"/>
      <c r="C194" s="290"/>
      <c r="D194" s="293"/>
      <c r="E194" s="290"/>
      <c r="F194" s="293"/>
      <c r="G194" s="253" t="s">
        <v>292</v>
      </c>
      <c r="H194" s="254">
        <v>580800</v>
      </c>
      <c r="I194" s="254">
        <v>580800</v>
      </c>
      <c r="J194" s="254">
        <v>580800</v>
      </c>
      <c r="K194" s="254">
        <v>580800</v>
      </c>
      <c r="L194" s="254">
        <v>45000</v>
      </c>
      <c r="M194" s="255"/>
      <c r="N194" s="255"/>
      <c r="O194" s="255"/>
      <c r="P194" s="255"/>
      <c r="Q194" s="255"/>
      <c r="R194" s="255"/>
      <c r="S194" s="255"/>
      <c r="T194" s="255"/>
      <c r="U194" s="254">
        <v>2368200</v>
      </c>
    </row>
    <row r="195" spans="1:21" x14ac:dyDescent="0.25">
      <c r="A195" s="290"/>
      <c r="B195" s="293"/>
      <c r="C195" s="290"/>
      <c r="D195" s="293"/>
      <c r="E195" s="290"/>
      <c r="F195" s="293"/>
      <c r="G195" s="253" t="s">
        <v>293</v>
      </c>
      <c r="H195" s="254">
        <v>67500</v>
      </c>
      <c r="I195" s="254">
        <v>67500</v>
      </c>
      <c r="J195" s="254">
        <v>67500</v>
      </c>
      <c r="K195" s="254">
        <v>67500</v>
      </c>
      <c r="L195" s="254">
        <v>67500</v>
      </c>
      <c r="M195" s="254">
        <v>55905.59</v>
      </c>
      <c r="N195" s="254">
        <v>54852.2</v>
      </c>
      <c r="O195" s="254">
        <v>54852.2</v>
      </c>
      <c r="P195" s="254">
        <v>54852.2</v>
      </c>
      <c r="Q195" s="254">
        <v>51948.26</v>
      </c>
      <c r="R195" s="254">
        <v>50980.28</v>
      </c>
      <c r="S195" s="254">
        <v>50012.3</v>
      </c>
      <c r="T195" s="254">
        <v>49044.32</v>
      </c>
      <c r="U195" s="254">
        <v>759947.35</v>
      </c>
    </row>
    <row r="196" spans="1:21" x14ac:dyDescent="0.25">
      <c r="A196" s="290"/>
      <c r="B196" s="293"/>
      <c r="C196" s="290"/>
      <c r="D196" s="293"/>
      <c r="E196" s="290"/>
      <c r="F196" s="293"/>
      <c r="G196" s="253" t="s">
        <v>294</v>
      </c>
      <c r="H196" s="254">
        <v>94900</v>
      </c>
      <c r="I196" s="254">
        <v>94900</v>
      </c>
      <c r="J196" s="254">
        <v>94900</v>
      </c>
      <c r="K196" s="254">
        <v>94900</v>
      </c>
      <c r="L196" s="254">
        <v>94900</v>
      </c>
      <c r="M196" s="254">
        <v>105991.14</v>
      </c>
      <c r="N196" s="254">
        <v>106786.39</v>
      </c>
      <c r="O196" s="254">
        <v>112005.7</v>
      </c>
      <c r="P196" s="254">
        <v>114385.68</v>
      </c>
      <c r="Q196" s="254">
        <v>117498.83</v>
      </c>
      <c r="R196" s="254">
        <v>115099.46</v>
      </c>
      <c r="S196" s="254">
        <v>118706.2</v>
      </c>
      <c r="T196" s="254">
        <v>143307.65</v>
      </c>
      <c r="U196" s="254">
        <v>1408281.05</v>
      </c>
    </row>
    <row r="197" spans="1:21" ht="25.5" x14ac:dyDescent="0.25">
      <c r="A197" s="290"/>
      <c r="B197" s="293"/>
      <c r="C197" s="290"/>
      <c r="D197" s="293"/>
      <c r="E197" s="290"/>
      <c r="F197" s="293"/>
      <c r="G197" s="253" t="s">
        <v>295</v>
      </c>
      <c r="H197" s="254">
        <v>-513300</v>
      </c>
      <c r="I197" s="254">
        <v>-513300</v>
      </c>
      <c r="J197" s="254">
        <v>-513300</v>
      </c>
      <c r="K197" s="254">
        <v>-513300</v>
      </c>
      <c r="L197" s="254">
        <v>-513300</v>
      </c>
      <c r="M197" s="254">
        <v>-552200.97</v>
      </c>
      <c r="N197" s="254">
        <v>-555847.28</v>
      </c>
      <c r="O197" s="254">
        <v>-559434.80000000005</v>
      </c>
      <c r="P197" s="254">
        <v>-563045.43999999994</v>
      </c>
      <c r="Q197" s="254">
        <v>-566679.35</v>
      </c>
      <c r="R197" s="254">
        <v>-570342.56000000006</v>
      </c>
      <c r="S197" s="254">
        <v>-574021.87</v>
      </c>
      <c r="T197" s="254">
        <v>-577721.03</v>
      </c>
      <c r="U197" s="254">
        <v>-7085793.2999999998</v>
      </c>
    </row>
    <row r="198" spans="1:21" ht="25.5" x14ac:dyDescent="0.25">
      <c r="A198" s="290"/>
      <c r="B198" s="293"/>
      <c r="C198" s="290"/>
      <c r="D198" s="293"/>
      <c r="E198" s="290"/>
      <c r="F198" s="293"/>
      <c r="G198" s="253" t="s">
        <v>296</v>
      </c>
      <c r="H198" s="254">
        <v>-18700</v>
      </c>
      <c r="I198" s="254">
        <v>-18700</v>
      </c>
      <c r="J198" s="254">
        <v>-18700</v>
      </c>
      <c r="K198" s="254">
        <v>-18700</v>
      </c>
      <c r="L198" s="254">
        <v>-18700</v>
      </c>
      <c r="M198" s="254">
        <v>-18652.05</v>
      </c>
      <c r="N198" s="254">
        <v>-894.74</v>
      </c>
      <c r="O198" s="254">
        <v>-894.74</v>
      </c>
      <c r="P198" s="254">
        <v>-894.74</v>
      </c>
      <c r="Q198" s="254">
        <v>-894.74</v>
      </c>
      <c r="R198" s="254">
        <v>-894.74</v>
      </c>
      <c r="S198" s="254">
        <v>-894.74</v>
      </c>
      <c r="T198" s="254">
        <v>-894.74</v>
      </c>
      <c r="U198" s="254">
        <v>-118415.23</v>
      </c>
    </row>
    <row r="199" spans="1:21" ht="25.5" x14ac:dyDescent="0.25">
      <c r="A199" s="290"/>
      <c r="B199" s="293"/>
      <c r="C199" s="290"/>
      <c r="D199" s="293"/>
      <c r="E199" s="290"/>
      <c r="F199" s="293"/>
      <c r="G199" s="253" t="s">
        <v>297</v>
      </c>
      <c r="H199" s="255"/>
      <c r="I199" s="255"/>
      <c r="J199" s="255"/>
      <c r="K199" s="255"/>
      <c r="L199" s="254">
        <v>-3700</v>
      </c>
      <c r="M199" s="254">
        <v>34206.58</v>
      </c>
      <c r="N199" s="254">
        <v>33562.04</v>
      </c>
      <c r="O199" s="254">
        <v>33562.04</v>
      </c>
      <c r="P199" s="254">
        <v>33562.04</v>
      </c>
      <c r="Q199" s="254">
        <v>31785.24</v>
      </c>
      <c r="R199" s="254">
        <v>31192.959999999999</v>
      </c>
      <c r="S199" s="254">
        <v>30600.7</v>
      </c>
      <c r="T199" s="254">
        <v>30008.41</v>
      </c>
      <c r="U199" s="254">
        <v>254780.01</v>
      </c>
    </row>
    <row r="200" spans="1:21" ht="25.5" x14ac:dyDescent="0.25">
      <c r="A200" s="290"/>
      <c r="B200" s="293"/>
      <c r="C200" s="290"/>
      <c r="D200" s="293"/>
      <c r="E200" s="290"/>
      <c r="F200" s="293"/>
      <c r="G200" s="253" t="s">
        <v>298</v>
      </c>
      <c r="H200" s="255"/>
      <c r="I200" s="255"/>
      <c r="J200" s="255"/>
      <c r="K200" s="255"/>
      <c r="L200" s="254">
        <v>-431200</v>
      </c>
      <c r="M200" s="254">
        <v>-431200</v>
      </c>
      <c r="N200" s="254">
        <v>-431200</v>
      </c>
      <c r="O200" s="254">
        <v>-431200</v>
      </c>
      <c r="P200" s="254">
        <v>-431200</v>
      </c>
      <c r="Q200" s="254">
        <v>-431200</v>
      </c>
      <c r="R200" s="254">
        <v>-431200</v>
      </c>
      <c r="S200" s="254">
        <v>-431200</v>
      </c>
      <c r="T200" s="254">
        <v>-431200</v>
      </c>
      <c r="U200" s="254">
        <v>-3880800</v>
      </c>
    </row>
    <row r="201" spans="1:21" ht="25.5" x14ac:dyDescent="0.25">
      <c r="A201" s="290"/>
      <c r="B201" s="293"/>
      <c r="C201" s="290"/>
      <c r="D201" s="293"/>
      <c r="E201" s="290"/>
      <c r="F201" s="293"/>
      <c r="G201" s="253" t="s">
        <v>299</v>
      </c>
      <c r="H201" s="255"/>
      <c r="I201" s="255"/>
      <c r="J201" s="255"/>
      <c r="K201" s="255"/>
      <c r="L201" s="254">
        <v>269500</v>
      </c>
      <c r="M201" s="254">
        <v>292600</v>
      </c>
      <c r="N201" s="254">
        <v>294700</v>
      </c>
      <c r="O201" s="254">
        <v>296800</v>
      </c>
      <c r="P201" s="254">
        <v>298900</v>
      </c>
      <c r="Q201" s="254">
        <v>301000</v>
      </c>
      <c r="R201" s="254">
        <v>303100</v>
      </c>
      <c r="S201" s="254">
        <v>305200</v>
      </c>
      <c r="T201" s="254">
        <v>307300</v>
      </c>
      <c r="U201" s="254">
        <v>2669100</v>
      </c>
    </row>
    <row r="202" spans="1:21" ht="25.5" x14ac:dyDescent="0.25">
      <c r="A202" s="290"/>
      <c r="B202" s="293"/>
      <c r="C202" s="290"/>
      <c r="D202" s="293"/>
      <c r="E202" s="290"/>
      <c r="F202" s="293"/>
      <c r="G202" s="253" t="s">
        <v>300</v>
      </c>
      <c r="H202" s="255"/>
      <c r="I202" s="255"/>
      <c r="J202" s="255"/>
      <c r="K202" s="255"/>
      <c r="L202" s="254">
        <v>161700</v>
      </c>
      <c r="M202" s="254">
        <v>138600</v>
      </c>
      <c r="N202" s="254">
        <v>136500</v>
      </c>
      <c r="O202" s="254">
        <v>134400</v>
      </c>
      <c r="P202" s="254">
        <v>132300</v>
      </c>
      <c r="Q202" s="254">
        <v>130200</v>
      </c>
      <c r="R202" s="254">
        <v>128100</v>
      </c>
      <c r="S202" s="254">
        <v>126000</v>
      </c>
      <c r="T202" s="254">
        <v>123900</v>
      </c>
      <c r="U202" s="254">
        <v>1211700</v>
      </c>
    </row>
    <row r="203" spans="1:21" ht="25.5" x14ac:dyDescent="0.25">
      <c r="A203" s="290"/>
      <c r="B203" s="293"/>
      <c r="C203" s="290"/>
      <c r="D203" s="293"/>
      <c r="E203" s="290"/>
      <c r="F203" s="293"/>
      <c r="G203" s="253" t="s">
        <v>301</v>
      </c>
      <c r="H203" s="255"/>
      <c r="I203" s="255"/>
      <c r="J203" s="255"/>
      <c r="K203" s="255"/>
      <c r="L203" s="254">
        <v>98900</v>
      </c>
      <c r="M203" s="254">
        <v>84804.27</v>
      </c>
      <c r="N203" s="254">
        <v>83519.350000000006</v>
      </c>
      <c r="O203" s="254">
        <v>82234.44</v>
      </c>
      <c r="P203" s="254">
        <v>80949.52</v>
      </c>
      <c r="Q203" s="254">
        <v>79664.62</v>
      </c>
      <c r="R203" s="254">
        <v>78379.7</v>
      </c>
      <c r="S203" s="254">
        <v>77094.789999999994</v>
      </c>
      <c r="T203" s="254">
        <v>75809.87</v>
      </c>
      <c r="U203" s="254">
        <v>741356.56</v>
      </c>
    </row>
    <row r="204" spans="1:21" ht="25.5" x14ac:dyDescent="0.25">
      <c r="A204" s="290"/>
      <c r="B204" s="293"/>
      <c r="C204" s="290"/>
      <c r="D204" s="293"/>
      <c r="E204" s="290"/>
      <c r="F204" s="293"/>
      <c r="G204" s="253" t="s">
        <v>302</v>
      </c>
      <c r="H204" s="255"/>
      <c r="I204" s="255"/>
      <c r="J204" s="255"/>
      <c r="K204" s="255"/>
      <c r="L204" s="254">
        <v>-837300</v>
      </c>
      <c r="M204" s="254">
        <v>-837300</v>
      </c>
      <c r="N204" s="254">
        <v>-837300</v>
      </c>
      <c r="O204" s="254">
        <v>-837300</v>
      </c>
      <c r="P204" s="254">
        <v>-837300</v>
      </c>
      <c r="Q204" s="254">
        <v>-837300</v>
      </c>
      <c r="R204" s="254">
        <v>-837300</v>
      </c>
      <c r="S204" s="254">
        <v>-837300</v>
      </c>
      <c r="T204" s="254">
        <v>-837300</v>
      </c>
      <c r="U204" s="254">
        <v>-7535700</v>
      </c>
    </row>
    <row r="205" spans="1:21" ht="25.5" x14ac:dyDescent="0.25">
      <c r="A205" s="290"/>
      <c r="B205" s="293"/>
      <c r="C205" s="290"/>
      <c r="D205" s="293"/>
      <c r="E205" s="290"/>
      <c r="F205" s="293"/>
      <c r="G205" s="253" t="s">
        <v>303</v>
      </c>
      <c r="H205" s="255"/>
      <c r="I205" s="255"/>
      <c r="J205" s="255"/>
      <c r="K205" s="255"/>
      <c r="L205" s="254">
        <v>117200</v>
      </c>
      <c r="M205" s="254">
        <v>153225</v>
      </c>
      <c r="N205" s="254">
        <v>156500</v>
      </c>
      <c r="O205" s="254">
        <v>159800</v>
      </c>
      <c r="P205" s="254">
        <v>163100</v>
      </c>
      <c r="Q205" s="254">
        <v>166400</v>
      </c>
      <c r="R205" s="254">
        <v>169700</v>
      </c>
      <c r="S205" s="254">
        <v>173000</v>
      </c>
      <c r="T205" s="254">
        <v>176300</v>
      </c>
      <c r="U205" s="254">
        <v>1435225</v>
      </c>
    </row>
    <row r="206" spans="1:21" ht="25.5" x14ac:dyDescent="0.25">
      <c r="A206" s="290"/>
      <c r="B206" s="293"/>
      <c r="C206" s="290"/>
      <c r="D206" s="293"/>
      <c r="E206" s="290"/>
      <c r="F206" s="293"/>
      <c r="G206" s="253" t="s">
        <v>304</v>
      </c>
      <c r="H206" s="255"/>
      <c r="I206" s="255"/>
      <c r="J206" s="255"/>
      <c r="K206" s="255"/>
      <c r="L206" s="254">
        <v>708500</v>
      </c>
      <c r="M206" s="254">
        <v>684075</v>
      </c>
      <c r="N206" s="254">
        <v>680800</v>
      </c>
      <c r="O206" s="254">
        <v>677500</v>
      </c>
      <c r="P206" s="254">
        <v>674200</v>
      </c>
      <c r="Q206" s="254">
        <v>670900</v>
      </c>
      <c r="R206" s="254">
        <v>667600</v>
      </c>
      <c r="S206" s="254">
        <v>664300</v>
      </c>
      <c r="T206" s="254">
        <v>661000</v>
      </c>
      <c r="U206" s="254">
        <v>6088875</v>
      </c>
    </row>
    <row r="207" spans="1:21" ht="25.5" x14ac:dyDescent="0.25">
      <c r="A207" s="290"/>
      <c r="B207" s="293"/>
      <c r="C207" s="290"/>
      <c r="D207" s="293"/>
      <c r="E207" s="290"/>
      <c r="F207" s="293"/>
      <c r="G207" s="253" t="s">
        <v>305</v>
      </c>
      <c r="H207" s="255"/>
      <c r="I207" s="255"/>
      <c r="J207" s="255"/>
      <c r="K207" s="255"/>
      <c r="L207" s="254">
        <v>440400</v>
      </c>
      <c r="M207" s="254">
        <v>418560.39</v>
      </c>
      <c r="N207" s="254">
        <v>416556.53</v>
      </c>
      <c r="O207" s="254">
        <v>414537.39</v>
      </c>
      <c r="P207" s="254">
        <v>412518.25</v>
      </c>
      <c r="Q207" s="254">
        <v>410499.1</v>
      </c>
      <c r="R207" s="254">
        <v>408479.95</v>
      </c>
      <c r="S207" s="254">
        <v>406460.8</v>
      </c>
      <c r="T207" s="254">
        <v>404441.65</v>
      </c>
      <c r="U207" s="254">
        <v>3732454.06</v>
      </c>
    </row>
    <row r="208" spans="1:21" x14ac:dyDescent="0.25">
      <c r="A208" s="290"/>
      <c r="B208" s="293"/>
      <c r="C208" s="290"/>
      <c r="D208" s="293"/>
      <c r="E208" s="290"/>
      <c r="F208" s="293"/>
      <c r="G208" s="253" t="s">
        <v>306</v>
      </c>
      <c r="H208" s="255"/>
      <c r="I208" s="255"/>
      <c r="J208" s="255"/>
      <c r="K208" s="255"/>
      <c r="L208" s="255"/>
      <c r="M208" s="254">
        <v>103184.87</v>
      </c>
      <c r="N208" s="254">
        <v>19010.47</v>
      </c>
      <c r="O208" s="254">
        <v>19010.47</v>
      </c>
      <c r="P208" s="254">
        <v>19010.47</v>
      </c>
      <c r="Q208" s="254">
        <v>19010.47</v>
      </c>
      <c r="R208" s="254">
        <v>19010.47</v>
      </c>
      <c r="S208" s="254">
        <v>19010.47</v>
      </c>
      <c r="T208" s="254">
        <v>19010.47</v>
      </c>
      <c r="U208" s="254">
        <v>236258.16</v>
      </c>
    </row>
    <row r="209" spans="1:21" x14ac:dyDescent="0.25">
      <c r="A209" s="290"/>
      <c r="B209" s="293"/>
      <c r="C209" s="290"/>
      <c r="D209" s="293"/>
      <c r="E209" s="291"/>
      <c r="F209" s="294"/>
      <c r="G209" s="252" t="s">
        <v>280</v>
      </c>
      <c r="H209" s="254">
        <v>-25727548</v>
      </c>
      <c r="I209" s="254">
        <v>-25727548</v>
      </c>
      <c r="J209" s="254">
        <v>-25727548</v>
      </c>
      <c r="K209" s="254">
        <v>-25751838</v>
      </c>
      <c r="L209" s="254">
        <v>-25763638</v>
      </c>
      <c r="M209" s="254">
        <v>-25608565.23</v>
      </c>
      <c r="N209" s="254">
        <v>-27607927.620000001</v>
      </c>
      <c r="O209" s="254">
        <v>-27617655.09</v>
      </c>
      <c r="P209" s="254">
        <v>-27628887.98</v>
      </c>
      <c r="Q209" s="254">
        <v>-31522566.620000001</v>
      </c>
      <c r="R209" s="254">
        <v>-31539242.27</v>
      </c>
      <c r="S209" s="254">
        <v>-31536190.75</v>
      </c>
      <c r="T209" s="254">
        <v>-31130136.370000001</v>
      </c>
      <c r="U209" s="254">
        <v>-362889291.93000001</v>
      </c>
    </row>
    <row r="210" spans="1:21" ht="12.75" customHeight="1" x14ac:dyDescent="0.25">
      <c r="A210" s="290"/>
      <c r="B210" s="293"/>
      <c r="C210" s="291"/>
      <c r="D210" s="294"/>
      <c r="E210" s="295" t="s">
        <v>280</v>
      </c>
      <c r="F210" s="296"/>
      <c r="G210" s="297"/>
      <c r="H210" s="254">
        <v>-25727548</v>
      </c>
      <c r="I210" s="254">
        <v>-25727548</v>
      </c>
      <c r="J210" s="254">
        <v>-25727548</v>
      </c>
      <c r="K210" s="254">
        <v>-25751838</v>
      </c>
      <c r="L210" s="254">
        <v>-25763638</v>
      </c>
      <c r="M210" s="254">
        <v>-25608565.23</v>
      </c>
      <c r="N210" s="254">
        <v>-27607927.620000001</v>
      </c>
      <c r="O210" s="254">
        <v>-27617655.09</v>
      </c>
      <c r="P210" s="254">
        <v>-27628887.98</v>
      </c>
      <c r="Q210" s="254">
        <v>-31522566.620000001</v>
      </c>
      <c r="R210" s="254">
        <v>-31539242.27</v>
      </c>
      <c r="S210" s="254">
        <v>-31536190.75</v>
      </c>
      <c r="T210" s="254">
        <v>-31130136.370000001</v>
      </c>
      <c r="U210" s="254">
        <v>-362889291.93000001</v>
      </c>
    </row>
    <row r="211" spans="1:21" ht="25.5" x14ac:dyDescent="0.25">
      <c r="A211" s="290"/>
      <c r="B211" s="293"/>
      <c r="C211" s="289">
        <v>2400</v>
      </c>
      <c r="D211" s="292" t="s">
        <v>307</v>
      </c>
      <c r="E211" s="289">
        <v>2900</v>
      </c>
      <c r="F211" s="292" t="s">
        <v>307</v>
      </c>
      <c r="G211" s="253" t="s">
        <v>308</v>
      </c>
      <c r="H211" s="254">
        <v>-161150</v>
      </c>
      <c r="I211" s="254">
        <v>-158375</v>
      </c>
      <c r="J211" s="254">
        <v>-155600</v>
      </c>
      <c r="K211" s="254">
        <v>-152825</v>
      </c>
      <c r="L211" s="254">
        <v>-150050</v>
      </c>
      <c r="M211" s="254">
        <v>-147275</v>
      </c>
      <c r="N211" s="254">
        <v>-144500</v>
      </c>
      <c r="O211" s="254">
        <v>-144500</v>
      </c>
      <c r="P211" s="254">
        <v>-144500</v>
      </c>
      <c r="Q211" s="254">
        <v>-136850</v>
      </c>
      <c r="R211" s="254">
        <v>-134300</v>
      </c>
      <c r="S211" s="254">
        <v>-131750</v>
      </c>
      <c r="T211" s="254">
        <v>-129200</v>
      </c>
      <c r="U211" s="254">
        <v>-1890875</v>
      </c>
    </row>
    <row r="212" spans="1:21" x14ac:dyDescent="0.25">
      <c r="A212" s="290"/>
      <c r="B212" s="293"/>
      <c r="C212" s="290"/>
      <c r="D212" s="293"/>
      <c r="E212" s="291"/>
      <c r="F212" s="294"/>
      <c r="G212" s="252" t="s">
        <v>307</v>
      </c>
      <c r="H212" s="254">
        <v>-161150</v>
      </c>
      <c r="I212" s="254">
        <v>-158375</v>
      </c>
      <c r="J212" s="254">
        <v>-155600</v>
      </c>
      <c r="K212" s="254">
        <v>-152825</v>
      </c>
      <c r="L212" s="254">
        <v>-150050</v>
      </c>
      <c r="M212" s="254">
        <v>-147275</v>
      </c>
      <c r="N212" s="254">
        <v>-144500</v>
      </c>
      <c r="O212" s="254">
        <v>-144500</v>
      </c>
      <c r="P212" s="254">
        <v>-144500</v>
      </c>
      <c r="Q212" s="254">
        <v>-136850</v>
      </c>
      <c r="R212" s="254">
        <v>-134300</v>
      </c>
      <c r="S212" s="254">
        <v>-131750</v>
      </c>
      <c r="T212" s="254">
        <v>-129200</v>
      </c>
      <c r="U212" s="254">
        <v>-1890875</v>
      </c>
    </row>
    <row r="213" spans="1:21" ht="12.75" customHeight="1" x14ac:dyDescent="0.25">
      <c r="A213" s="290"/>
      <c r="B213" s="293"/>
      <c r="C213" s="291"/>
      <c r="D213" s="294"/>
      <c r="E213" s="295" t="s">
        <v>307</v>
      </c>
      <c r="F213" s="296"/>
      <c r="G213" s="297"/>
      <c r="H213" s="254">
        <v>-161150</v>
      </c>
      <c r="I213" s="254">
        <v>-158375</v>
      </c>
      <c r="J213" s="254">
        <v>-155600</v>
      </c>
      <c r="K213" s="254">
        <v>-152825</v>
      </c>
      <c r="L213" s="254">
        <v>-150050</v>
      </c>
      <c r="M213" s="254">
        <v>-147275</v>
      </c>
      <c r="N213" s="254">
        <v>-144500</v>
      </c>
      <c r="O213" s="254">
        <v>-144500</v>
      </c>
      <c r="P213" s="254">
        <v>-144500</v>
      </c>
      <c r="Q213" s="254">
        <v>-136850</v>
      </c>
      <c r="R213" s="254">
        <v>-134300</v>
      </c>
      <c r="S213" s="254">
        <v>-131750</v>
      </c>
      <c r="T213" s="254">
        <v>-129200</v>
      </c>
      <c r="U213" s="254">
        <v>-1890875</v>
      </c>
    </row>
    <row r="214" spans="1:21" x14ac:dyDescent="0.25">
      <c r="A214" s="290"/>
      <c r="B214" s="293"/>
      <c r="C214" s="289">
        <v>2500</v>
      </c>
      <c r="D214" s="292" t="s">
        <v>309</v>
      </c>
      <c r="E214" s="289">
        <v>3000</v>
      </c>
      <c r="F214" s="292" t="s">
        <v>309</v>
      </c>
      <c r="G214" s="253" t="s">
        <v>310</v>
      </c>
      <c r="H214" s="254">
        <v>-374903.53</v>
      </c>
      <c r="I214" s="254">
        <v>-379889.95</v>
      </c>
      <c r="J214" s="254">
        <v>-383305.4</v>
      </c>
      <c r="K214" s="254">
        <v>-382163.18</v>
      </c>
      <c r="L214" s="254">
        <v>-374591.12</v>
      </c>
      <c r="M214" s="254">
        <v>-353091.78</v>
      </c>
      <c r="N214" s="254">
        <v>-304308.46999999997</v>
      </c>
      <c r="O214" s="254">
        <v>-247763.39</v>
      </c>
      <c r="P214" s="254">
        <v>-191638.32</v>
      </c>
      <c r="Q214" s="254">
        <v>-142779.03</v>
      </c>
      <c r="R214" s="254">
        <v>-89516.42</v>
      </c>
      <c r="S214" s="254">
        <v>-74980.2</v>
      </c>
      <c r="T214" s="254">
        <v>-75263.570000000007</v>
      </c>
      <c r="U214" s="254">
        <v>-3374194.36</v>
      </c>
    </row>
    <row r="215" spans="1:21" x14ac:dyDescent="0.25">
      <c r="A215" s="290"/>
      <c r="B215" s="293"/>
      <c r="C215" s="290"/>
      <c r="D215" s="293"/>
      <c r="E215" s="290"/>
      <c r="F215" s="293"/>
      <c r="G215" s="253" t="s">
        <v>311</v>
      </c>
      <c r="H215" s="254">
        <v>-431200</v>
      </c>
      <c r="I215" s="254">
        <v>-431200</v>
      </c>
      <c r="J215" s="254">
        <v>-431200</v>
      </c>
      <c r="K215" s="254">
        <v>-431200</v>
      </c>
      <c r="L215" s="254">
        <v>-260600</v>
      </c>
      <c r="M215" s="254">
        <v>-223404.27</v>
      </c>
      <c r="N215" s="254">
        <v>-220019.35</v>
      </c>
      <c r="O215" s="254">
        <v>-216634.44</v>
      </c>
      <c r="P215" s="254">
        <v>-213249.52</v>
      </c>
      <c r="Q215" s="254">
        <v>-209864.62</v>
      </c>
      <c r="R215" s="254">
        <v>-206479.7</v>
      </c>
      <c r="S215" s="254">
        <v>-203094.79</v>
      </c>
      <c r="T215" s="254">
        <v>-199709.87</v>
      </c>
      <c r="U215" s="254">
        <v>-3677856.56</v>
      </c>
    </row>
    <row r="216" spans="1:21" x14ac:dyDescent="0.25">
      <c r="A216" s="290"/>
      <c r="B216" s="293"/>
      <c r="C216" s="290"/>
      <c r="D216" s="293"/>
      <c r="E216" s="290"/>
      <c r="F216" s="293"/>
      <c r="G216" s="253" t="s">
        <v>312</v>
      </c>
      <c r="H216" s="254">
        <v>-118800</v>
      </c>
      <c r="I216" s="254">
        <v>-118800</v>
      </c>
      <c r="J216" s="254">
        <v>-118800</v>
      </c>
      <c r="K216" s="254">
        <v>-118800</v>
      </c>
      <c r="L216" s="254">
        <v>-108800</v>
      </c>
      <c r="M216" s="254">
        <v>-90112.17</v>
      </c>
      <c r="N216" s="254">
        <v>-88414.24</v>
      </c>
      <c r="O216" s="254">
        <v>-88414.24</v>
      </c>
      <c r="P216" s="254">
        <v>-88414.24</v>
      </c>
      <c r="Q216" s="254">
        <v>-83733.5</v>
      </c>
      <c r="R216" s="254">
        <v>-82173.240000000005</v>
      </c>
      <c r="S216" s="254">
        <v>-80613</v>
      </c>
      <c r="T216" s="254">
        <v>-79052.73</v>
      </c>
      <c r="U216" s="254">
        <v>-1264927.3600000001</v>
      </c>
    </row>
    <row r="217" spans="1:21" x14ac:dyDescent="0.25">
      <c r="A217" s="290"/>
      <c r="B217" s="293"/>
      <c r="C217" s="290"/>
      <c r="D217" s="293"/>
      <c r="E217" s="290"/>
      <c r="F217" s="293"/>
      <c r="G217" s="253" t="s">
        <v>313</v>
      </c>
      <c r="H217" s="254">
        <v>282100</v>
      </c>
      <c r="I217" s="254">
        <v>284200</v>
      </c>
      <c r="J217" s="254">
        <v>286300</v>
      </c>
      <c r="K217" s="254">
        <v>288400</v>
      </c>
      <c r="L217" s="255"/>
      <c r="M217" s="255"/>
      <c r="N217" s="255"/>
      <c r="O217" s="255"/>
      <c r="P217" s="255"/>
      <c r="Q217" s="255"/>
      <c r="R217" s="255"/>
      <c r="S217" s="255"/>
      <c r="T217" s="255"/>
      <c r="U217" s="254">
        <v>1141000</v>
      </c>
    </row>
    <row r="218" spans="1:21" x14ac:dyDescent="0.25">
      <c r="A218" s="290"/>
      <c r="B218" s="293"/>
      <c r="C218" s="290"/>
      <c r="D218" s="293"/>
      <c r="E218" s="290"/>
      <c r="F218" s="293"/>
      <c r="G218" s="253" t="s">
        <v>314</v>
      </c>
      <c r="H218" s="254">
        <v>-107600</v>
      </c>
      <c r="I218" s="254">
        <v>-107600</v>
      </c>
      <c r="J218" s="254">
        <v>-107600</v>
      </c>
      <c r="K218" s="254">
        <v>-107600</v>
      </c>
      <c r="L218" s="254">
        <v>21000</v>
      </c>
      <c r="M218" s="255"/>
      <c r="N218" s="255"/>
      <c r="O218" s="255"/>
      <c r="P218" s="255"/>
      <c r="Q218" s="255"/>
      <c r="R218" s="255"/>
      <c r="S218" s="255"/>
      <c r="T218" s="255"/>
      <c r="U218" s="254">
        <v>-409400</v>
      </c>
    </row>
    <row r="219" spans="1:21" x14ac:dyDescent="0.25">
      <c r="A219" s="290"/>
      <c r="B219" s="293"/>
      <c r="C219" s="290"/>
      <c r="D219" s="293"/>
      <c r="E219" s="290"/>
      <c r="F219" s="293"/>
      <c r="G219" s="253" t="s">
        <v>315</v>
      </c>
      <c r="H219" s="254">
        <v>-825700</v>
      </c>
      <c r="I219" s="254">
        <v>-825700</v>
      </c>
      <c r="J219" s="254">
        <v>-825700</v>
      </c>
      <c r="K219" s="254">
        <v>-825700</v>
      </c>
      <c r="L219" s="254">
        <v>-1148900</v>
      </c>
      <c r="M219" s="254">
        <v>-1102635.3899999999</v>
      </c>
      <c r="N219" s="254">
        <v>-1097356.53</v>
      </c>
      <c r="O219" s="254">
        <v>-1092037.3899999999</v>
      </c>
      <c r="P219" s="254">
        <v>-1086718.25</v>
      </c>
      <c r="Q219" s="254">
        <v>-1081399.1000000001</v>
      </c>
      <c r="R219" s="254">
        <v>-1076079.95</v>
      </c>
      <c r="S219" s="254">
        <v>-1070760.8</v>
      </c>
      <c r="T219" s="254">
        <v>-1065441.6499999999</v>
      </c>
      <c r="U219" s="254">
        <v>-13124129.060000001</v>
      </c>
    </row>
    <row r="220" spans="1:21" x14ac:dyDescent="0.25">
      <c r="A220" s="290"/>
      <c r="B220" s="293"/>
      <c r="C220" s="290"/>
      <c r="D220" s="293"/>
      <c r="E220" s="290"/>
      <c r="F220" s="293"/>
      <c r="G220" s="253" t="s">
        <v>316</v>
      </c>
      <c r="H220" s="254">
        <v>136700</v>
      </c>
      <c r="I220" s="254">
        <v>139950</v>
      </c>
      <c r="J220" s="254">
        <v>143200</v>
      </c>
      <c r="K220" s="254">
        <v>146450</v>
      </c>
      <c r="L220" s="255"/>
      <c r="M220" s="255"/>
      <c r="N220" s="255"/>
      <c r="O220" s="255"/>
      <c r="P220" s="255"/>
      <c r="Q220" s="255"/>
      <c r="R220" s="255"/>
      <c r="S220" s="255"/>
      <c r="T220" s="255"/>
      <c r="U220" s="254">
        <v>566300</v>
      </c>
    </row>
    <row r="221" spans="1:21" x14ac:dyDescent="0.25">
      <c r="A221" s="290"/>
      <c r="B221" s="293"/>
      <c r="C221" s="290"/>
      <c r="D221" s="293"/>
      <c r="E221" s="290"/>
      <c r="F221" s="293"/>
      <c r="G221" s="253" t="s">
        <v>317</v>
      </c>
      <c r="H221" s="254">
        <v>-433300</v>
      </c>
      <c r="I221" s="254">
        <v>-433300</v>
      </c>
      <c r="J221" s="254">
        <v>-433300</v>
      </c>
      <c r="K221" s="254">
        <v>-433300</v>
      </c>
      <c r="L221" s="254">
        <v>32500</v>
      </c>
      <c r="M221" s="255"/>
      <c r="N221" s="255"/>
      <c r="O221" s="255"/>
      <c r="P221" s="255"/>
      <c r="Q221" s="255"/>
      <c r="R221" s="255"/>
      <c r="S221" s="255"/>
      <c r="T221" s="255"/>
      <c r="U221" s="254">
        <v>-1700700</v>
      </c>
    </row>
    <row r="222" spans="1:21" x14ac:dyDescent="0.25">
      <c r="A222" s="290"/>
      <c r="B222" s="293"/>
      <c r="C222" s="290"/>
      <c r="D222" s="293"/>
      <c r="E222" s="291"/>
      <c r="F222" s="294"/>
      <c r="G222" s="252" t="s">
        <v>309</v>
      </c>
      <c r="H222" s="254">
        <v>-1872703.53</v>
      </c>
      <c r="I222" s="254">
        <v>-1872339.95</v>
      </c>
      <c r="J222" s="254">
        <v>-1870405.4</v>
      </c>
      <c r="K222" s="254">
        <v>-1863913.18</v>
      </c>
      <c r="L222" s="254">
        <v>-1839391.12</v>
      </c>
      <c r="M222" s="254">
        <v>-1769243.61</v>
      </c>
      <c r="N222" s="254">
        <v>-1710098.59</v>
      </c>
      <c r="O222" s="254">
        <v>-1644849.46</v>
      </c>
      <c r="P222" s="254">
        <v>-1580020.33</v>
      </c>
      <c r="Q222" s="254">
        <v>-1517776.25</v>
      </c>
      <c r="R222" s="254">
        <v>-1454249.31</v>
      </c>
      <c r="S222" s="254">
        <v>-1429448.79</v>
      </c>
      <c r="T222" s="254">
        <v>-1419467.82</v>
      </c>
      <c r="U222" s="254">
        <v>-21843907.34</v>
      </c>
    </row>
    <row r="223" spans="1:21" ht="12.75" customHeight="1" x14ac:dyDescent="0.25">
      <c r="A223" s="290"/>
      <c r="B223" s="293"/>
      <c r="C223" s="291"/>
      <c r="D223" s="294"/>
      <c r="E223" s="295" t="s">
        <v>309</v>
      </c>
      <c r="F223" s="296"/>
      <c r="G223" s="297"/>
      <c r="H223" s="254">
        <v>-1872703.53</v>
      </c>
      <c r="I223" s="254">
        <v>-1872339.95</v>
      </c>
      <c r="J223" s="254">
        <v>-1870405.4</v>
      </c>
      <c r="K223" s="254">
        <v>-1863913.18</v>
      </c>
      <c r="L223" s="254">
        <v>-1839391.12</v>
      </c>
      <c r="M223" s="254">
        <v>-1769243.61</v>
      </c>
      <c r="N223" s="254">
        <v>-1710098.59</v>
      </c>
      <c r="O223" s="254">
        <v>-1644849.46</v>
      </c>
      <c r="P223" s="254">
        <v>-1580020.33</v>
      </c>
      <c r="Q223" s="254">
        <v>-1517776.25</v>
      </c>
      <c r="R223" s="254">
        <v>-1454249.31</v>
      </c>
      <c r="S223" s="254">
        <v>-1429448.79</v>
      </c>
      <c r="T223" s="254">
        <v>-1419467.82</v>
      </c>
      <c r="U223" s="254">
        <v>-21843907.34</v>
      </c>
    </row>
    <row r="224" spans="1:21" ht="25.5" x14ac:dyDescent="0.25">
      <c r="A224" s="290"/>
      <c r="B224" s="293"/>
      <c r="C224" s="289">
        <v>2600</v>
      </c>
      <c r="D224" s="292" t="s">
        <v>318</v>
      </c>
      <c r="E224" s="289">
        <v>3100</v>
      </c>
      <c r="F224" s="292" t="s">
        <v>319</v>
      </c>
      <c r="G224" s="253" t="s">
        <v>320</v>
      </c>
      <c r="H224" s="254">
        <v>-271905.53999999998</v>
      </c>
      <c r="I224" s="254">
        <v>-262784.5</v>
      </c>
      <c r="J224" s="254">
        <v>-245667.38</v>
      </c>
      <c r="K224" s="254">
        <v>-255428.31</v>
      </c>
      <c r="L224" s="254">
        <v>-271292</v>
      </c>
      <c r="M224" s="254">
        <v>-279218.03999999998</v>
      </c>
      <c r="N224" s="254">
        <v>-281312.96999999997</v>
      </c>
      <c r="O224" s="254">
        <v>-295062.46000000002</v>
      </c>
      <c r="P224" s="254">
        <v>-301332.19</v>
      </c>
      <c r="Q224" s="254">
        <v>-309533.28000000003</v>
      </c>
      <c r="R224" s="254">
        <v>-303212.53999999998</v>
      </c>
      <c r="S224" s="254">
        <v>-312713.93</v>
      </c>
      <c r="T224" s="254">
        <v>-377522.82</v>
      </c>
      <c r="U224" s="254">
        <v>-3766985.96</v>
      </c>
    </row>
    <row r="225" spans="1:21" x14ac:dyDescent="0.25">
      <c r="A225" s="290"/>
      <c r="B225" s="293"/>
      <c r="C225" s="290"/>
      <c r="D225" s="293"/>
      <c r="E225" s="290"/>
      <c r="F225" s="293"/>
      <c r="G225" s="253" t="s">
        <v>321</v>
      </c>
      <c r="H225" s="254">
        <v>-1443096.43</v>
      </c>
      <c r="I225" s="254">
        <v>-1452387.01</v>
      </c>
      <c r="J225" s="254">
        <v>-1461737.39</v>
      </c>
      <c r="K225" s="254">
        <v>-1471854.05</v>
      </c>
      <c r="L225" s="254">
        <v>-1482036.02</v>
      </c>
      <c r="M225" s="254">
        <v>-1491577.63</v>
      </c>
      <c r="N225" s="254">
        <v>-1466653.88</v>
      </c>
      <c r="O225" s="254">
        <v>-1476102.02</v>
      </c>
      <c r="P225" s="254">
        <v>-1485611.11</v>
      </c>
      <c r="Q225" s="254">
        <v>-1496745.59</v>
      </c>
      <c r="R225" s="254">
        <v>-1506387.28</v>
      </c>
      <c r="S225" s="254">
        <v>-1516091.1</v>
      </c>
      <c r="T225" s="254">
        <v>-1525857.48</v>
      </c>
      <c r="U225" s="254">
        <v>-19276136.989999998</v>
      </c>
    </row>
    <row r="226" spans="1:21" x14ac:dyDescent="0.25">
      <c r="A226" s="290"/>
      <c r="B226" s="293"/>
      <c r="C226" s="290"/>
      <c r="D226" s="293"/>
      <c r="E226" s="290"/>
      <c r="F226" s="293"/>
      <c r="G226" s="253" t="s">
        <v>322</v>
      </c>
      <c r="H226" s="254">
        <v>-286169</v>
      </c>
      <c r="I226" s="254">
        <v>-286169</v>
      </c>
      <c r="J226" s="254">
        <v>-286169</v>
      </c>
      <c r="K226" s="254">
        <v>-180592</v>
      </c>
      <c r="L226" s="254">
        <v>-180592</v>
      </c>
      <c r="M226" s="254">
        <v>-180592</v>
      </c>
      <c r="N226" s="254">
        <v>-175454</v>
      </c>
      <c r="O226" s="254">
        <v>-175454</v>
      </c>
      <c r="P226" s="254">
        <v>-175454</v>
      </c>
      <c r="Q226" s="254">
        <v>-177739</v>
      </c>
      <c r="R226" s="254">
        <v>-177739</v>
      </c>
      <c r="S226" s="254">
        <v>-177739</v>
      </c>
      <c r="T226" s="254">
        <v>-180269</v>
      </c>
      <c r="U226" s="254">
        <v>-2640131</v>
      </c>
    </row>
    <row r="227" spans="1:21" x14ac:dyDescent="0.25">
      <c r="A227" s="290"/>
      <c r="B227" s="293"/>
      <c r="C227" s="290"/>
      <c r="D227" s="293"/>
      <c r="E227" s="290"/>
      <c r="F227" s="293"/>
      <c r="G227" s="253" t="s">
        <v>323</v>
      </c>
      <c r="H227" s="254">
        <v>-3913103.68</v>
      </c>
      <c r="I227" s="254">
        <v>-3913103.68</v>
      </c>
      <c r="J227" s="254">
        <v>-3916103.6800000002</v>
      </c>
      <c r="K227" s="254">
        <v>-3916103.6800000002</v>
      </c>
      <c r="L227" s="254">
        <v>-3916103.6800000002</v>
      </c>
      <c r="M227" s="254">
        <v>-3916103.6800000002</v>
      </c>
      <c r="N227" s="254">
        <v>-3404782.68</v>
      </c>
      <c r="O227" s="254">
        <v>-3404782.68</v>
      </c>
      <c r="P227" s="254">
        <v>-3407876.68</v>
      </c>
      <c r="Q227" s="254">
        <v>-3407876.68</v>
      </c>
      <c r="R227" s="254">
        <v>-3420876.68</v>
      </c>
      <c r="S227" s="254">
        <v>-3420876.68</v>
      </c>
      <c r="T227" s="254">
        <v>-3420876.68</v>
      </c>
      <c r="U227" s="254">
        <v>-47378570.840000004</v>
      </c>
    </row>
    <row r="228" spans="1:21" x14ac:dyDescent="0.25">
      <c r="A228" s="290"/>
      <c r="B228" s="293"/>
      <c r="C228" s="290"/>
      <c r="D228" s="293"/>
      <c r="E228" s="290"/>
      <c r="F228" s="293"/>
      <c r="G228" s="253" t="s">
        <v>324</v>
      </c>
      <c r="H228" s="254">
        <v>3867471.67</v>
      </c>
      <c r="I228" s="254">
        <v>3867471.67</v>
      </c>
      <c r="J228" s="254">
        <v>3870471.67</v>
      </c>
      <c r="K228" s="254">
        <v>3870471.67</v>
      </c>
      <c r="L228" s="254">
        <v>3870471.67</v>
      </c>
      <c r="M228" s="254">
        <v>3870471.67</v>
      </c>
      <c r="N228" s="254">
        <v>3355871.67</v>
      </c>
      <c r="O228" s="254">
        <v>3355871.67</v>
      </c>
      <c r="P228" s="254">
        <v>3355871.67</v>
      </c>
      <c r="Q228" s="254">
        <v>3355871.67</v>
      </c>
      <c r="R228" s="254">
        <v>3366271.67</v>
      </c>
      <c r="S228" s="254">
        <v>3366271.67</v>
      </c>
      <c r="T228" s="254">
        <v>3366271.67</v>
      </c>
      <c r="U228" s="254">
        <v>46739131.710000001</v>
      </c>
    </row>
    <row r="229" spans="1:21" x14ac:dyDescent="0.25">
      <c r="A229" s="290"/>
      <c r="B229" s="293"/>
      <c r="C229" s="290"/>
      <c r="D229" s="293"/>
      <c r="E229" s="291"/>
      <c r="F229" s="294"/>
      <c r="G229" s="252" t="s">
        <v>319</v>
      </c>
      <c r="H229" s="254">
        <v>-2046802.98</v>
      </c>
      <c r="I229" s="254">
        <v>-2046972.52</v>
      </c>
      <c r="J229" s="254">
        <v>-2039205.78</v>
      </c>
      <c r="K229" s="254">
        <v>-1953506.37</v>
      </c>
      <c r="L229" s="254">
        <v>-1979552.03</v>
      </c>
      <c r="M229" s="254">
        <v>-1997019.68</v>
      </c>
      <c r="N229" s="254">
        <v>-1972331.86</v>
      </c>
      <c r="O229" s="254">
        <v>-1995529.49</v>
      </c>
      <c r="P229" s="254">
        <v>-2014402.31</v>
      </c>
      <c r="Q229" s="254">
        <v>-2036022.88</v>
      </c>
      <c r="R229" s="254">
        <v>-2041943.83</v>
      </c>
      <c r="S229" s="254">
        <v>-2061149.04</v>
      </c>
      <c r="T229" s="254">
        <v>-2138254.31</v>
      </c>
      <c r="U229" s="254">
        <v>-26322693.079999998</v>
      </c>
    </row>
    <row r="230" spans="1:21" ht="25.5" x14ac:dyDescent="0.25">
      <c r="A230" s="290"/>
      <c r="B230" s="293"/>
      <c r="C230" s="290"/>
      <c r="D230" s="293"/>
      <c r="E230" s="289">
        <v>3200</v>
      </c>
      <c r="F230" s="292" t="s">
        <v>325</v>
      </c>
      <c r="G230" s="253" t="s">
        <v>326</v>
      </c>
      <c r="H230" s="255"/>
      <c r="I230" s="255"/>
      <c r="J230" s="255"/>
      <c r="K230" s="255"/>
      <c r="L230" s="255"/>
      <c r="M230" s="255"/>
      <c r="N230" s="254">
        <v>-430095</v>
      </c>
      <c r="O230" s="254">
        <v>-516792.12</v>
      </c>
      <c r="P230" s="254">
        <v>-603489.19999999995</v>
      </c>
      <c r="Q230" s="254">
        <v>-190186.28</v>
      </c>
      <c r="R230" s="254">
        <v>-276883.36</v>
      </c>
      <c r="S230" s="254">
        <v>-363580.44</v>
      </c>
      <c r="T230" s="254">
        <v>-450277.52</v>
      </c>
      <c r="U230" s="254">
        <v>-2831303.92</v>
      </c>
    </row>
    <row r="231" spans="1:21" x14ac:dyDescent="0.25">
      <c r="A231" s="290"/>
      <c r="B231" s="293"/>
      <c r="C231" s="290"/>
      <c r="D231" s="293"/>
      <c r="E231" s="291"/>
      <c r="F231" s="294"/>
      <c r="G231" s="252" t="s">
        <v>325</v>
      </c>
      <c r="H231" s="255"/>
      <c r="I231" s="255"/>
      <c r="J231" s="255"/>
      <c r="K231" s="255"/>
      <c r="L231" s="255"/>
      <c r="M231" s="255"/>
      <c r="N231" s="254">
        <v>-430095</v>
      </c>
      <c r="O231" s="254">
        <v>-516792.12</v>
      </c>
      <c r="P231" s="254">
        <v>-603489.19999999995</v>
      </c>
      <c r="Q231" s="254">
        <v>-190186.28</v>
      </c>
      <c r="R231" s="254">
        <v>-276883.36</v>
      </c>
      <c r="S231" s="254">
        <v>-363580.44</v>
      </c>
      <c r="T231" s="254">
        <v>-450277.52</v>
      </c>
      <c r="U231" s="254">
        <v>-2831303.92</v>
      </c>
    </row>
    <row r="232" spans="1:21" ht="12.75" customHeight="1" x14ac:dyDescent="0.25">
      <c r="A232" s="290"/>
      <c r="B232" s="293"/>
      <c r="C232" s="291"/>
      <c r="D232" s="294"/>
      <c r="E232" s="295" t="s">
        <v>318</v>
      </c>
      <c r="F232" s="296"/>
      <c r="G232" s="297"/>
      <c r="H232" s="254">
        <v>-2046802.98</v>
      </c>
      <c r="I232" s="254">
        <v>-2046972.52</v>
      </c>
      <c r="J232" s="254">
        <v>-2039205.78</v>
      </c>
      <c r="K232" s="254">
        <v>-1953506.37</v>
      </c>
      <c r="L232" s="254">
        <v>-1979552.03</v>
      </c>
      <c r="M232" s="254">
        <v>-1997019.68</v>
      </c>
      <c r="N232" s="254">
        <v>-2402426.86</v>
      </c>
      <c r="O232" s="254">
        <v>-2512321.61</v>
      </c>
      <c r="P232" s="254">
        <v>-2617891.5099999998</v>
      </c>
      <c r="Q232" s="254">
        <v>-2226209.16</v>
      </c>
      <c r="R232" s="254">
        <v>-2318827.19</v>
      </c>
      <c r="S232" s="254">
        <v>-2424729.48</v>
      </c>
      <c r="T232" s="254">
        <v>-2588531.83</v>
      </c>
      <c r="U232" s="254">
        <v>-29153997</v>
      </c>
    </row>
    <row r="233" spans="1:21" ht="12.75" customHeight="1" x14ac:dyDescent="0.25">
      <c r="A233" s="291"/>
      <c r="B233" s="294"/>
      <c r="C233" s="295" t="s">
        <v>279</v>
      </c>
      <c r="D233" s="296"/>
      <c r="E233" s="296"/>
      <c r="F233" s="296"/>
      <c r="G233" s="297"/>
      <c r="H233" s="254">
        <v>-29808204.510000002</v>
      </c>
      <c r="I233" s="254">
        <v>-29805235.469999999</v>
      </c>
      <c r="J233" s="254">
        <v>-29792759.18</v>
      </c>
      <c r="K233" s="254">
        <v>-29722082.550000001</v>
      </c>
      <c r="L233" s="254">
        <v>-29732631.149999999</v>
      </c>
      <c r="M233" s="254">
        <v>-29522103.52</v>
      </c>
      <c r="N233" s="254">
        <v>-31864953.07</v>
      </c>
      <c r="O233" s="254">
        <v>-31919326.16</v>
      </c>
      <c r="P233" s="254">
        <v>-31971299.82</v>
      </c>
      <c r="Q233" s="254">
        <v>-35403402.030000001</v>
      </c>
      <c r="R233" s="254">
        <v>-35446618.770000003</v>
      </c>
      <c r="S233" s="254">
        <v>-35522119.020000003</v>
      </c>
      <c r="T233" s="254">
        <v>-35267336.020000003</v>
      </c>
      <c r="U233" s="254">
        <v>-415778071.26999998</v>
      </c>
    </row>
    <row r="234" spans="1:21" x14ac:dyDescent="0.25">
      <c r="A234" s="289">
        <v>700</v>
      </c>
      <c r="B234" s="292" t="s">
        <v>327</v>
      </c>
      <c r="C234" s="289">
        <v>2800</v>
      </c>
      <c r="D234" s="292" t="s">
        <v>328</v>
      </c>
      <c r="E234" s="289">
        <v>3400</v>
      </c>
      <c r="F234" s="292" t="s">
        <v>328</v>
      </c>
      <c r="G234" s="253" t="s">
        <v>329</v>
      </c>
      <c r="H234" s="254">
        <v>-3307446</v>
      </c>
      <c r="I234" s="254">
        <v>-3308374</v>
      </c>
      <c r="J234" s="254">
        <v>-3308444</v>
      </c>
      <c r="K234" s="254">
        <v>-3313275</v>
      </c>
      <c r="L234" s="254">
        <v>-3313585</v>
      </c>
      <c r="M234" s="254">
        <v>-3313798</v>
      </c>
      <c r="N234" s="254">
        <v>-3318046</v>
      </c>
      <c r="O234" s="254">
        <v>-3319218</v>
      </c>
      <c r="P234" s="254">
        <v>-3319374</v>
      </c>
      <c r="Q234" s="254">
        <v>-3323385</v>
      </c>
      <c r="R234" s="254">
        <v>-3323570</v>
      </c>
      <c r="S234" s="254">
        <v>-3324019</v>
      </c>
      <c r="T234" s="254">
        <v>-3327573</v>
      </c>
      <c r="U234" s="254">
        <v>-43120107</v>
      </c>
    </row>
    <row r="235" spans="1:21" x14ac:dyDescent="0.25">
      <c r="A235" s="290"/>
      <c r="B235" s="293"/>
      <c r="C235" s="290"/>
      <c r="D235" s="293"/>
      <c r="E235" s="291"/>
      <c r="F235" s="294"/>
      <c r="G235" s="252" t="s">
        <v>328</v>
      </c>
      <c r="H235" s="254">
        <v>-3307446</v>
      </c>
      <c r="I235" s="254">
        <v>-3308374</v>
      </c>
      <c r="J235" s="254">
        <v>-3308444</v>
      </c>
      <c r="K235" s="254">
        <v>-3313275</v>
      </c>
      <c r="L235" s="254">
        <v>-3313585</v>
      </c>
      <c r="M235" s="254">
        <v>-3313798</v>
      </c>
      <c r="N235" s="254">
        <v>-3318046</v>
      </c>
      <c r="O235" s="254">
        <v>-3319218</v>
      </c>
      <c r="P235" s="254">
        <v>-3319374</v>
      </c>
      <c r="Q235" s="254">
        <v>-3323385</v>
      </c>
      <c r="R235" s="254">
        <v>-3323570</v>
      </c>
      <c r="S235" s="254">
        <v>-3324019</v>
      </c>
      <c r="T235" s="254">
        <v>-3327573</v>
      </c>
      <c r="U235" s="254">
        <v>-43120107</v>
      </c>
    </row>
    <row r="236" spans="1:21" ht="12.75" customHeight="1" x14ac:dyDescent="0.25">
      <c r="A236" s="290"/>
      <c r="B236" s="293"/>
      <c r="C236" s="291"/>
      <c r="D236" s="294"/>
      <c r="E236" s="295" t="s">
        <v>328</v>
      </c>
      <c r="F236" s="296"/>
      <c r="G236" s="297"/>
      <c r="H236" s="254">
        <v>-3307446</v>
      </c>
      <c r="I236" s="254">
        <v>-3308374</v>
      </c>
      <c r="J236" s="254">
        <v>-3308444</v>
      </c>
      <c r="K236" s="254">
        <v>-3313275</v>
      </c>
      <c r="L236" s="254">
        <v>-3313585</v>
      </c>
      <c r="M236" s="254">
        <v>-3313798</v>
      </c>
      <c r="N236" s="254">
        <v>-3318046</v>
      </c>
      <c r="O236" s="254">
        <v>-3319218</v>
      </c>
      <c r="P236" s="254">
        <v>-3319374</v>
      </c>
      <c r="Q236" s="254">
        <v>-3323385</v>
      </c>
      <c r="R236" s="254">
        <v>-3323570</v>
      </c>
      <c r="S236" s="254">
        <v>-3324019</v>
      </c>
      <c r="T236" s="254">
        <v>-3327573</v>
      </c>
      <c r="U236" s="254">
        <v>-43120107</v>
      </c>
    </row>
    <row r="237" spans="1:21" x14ac:dyDescent="0.25">
      <c r="A237" s="290"/>
      <c r="B237" s="293"/>
      <c r="C237" s="289">
        <v>2900</v>
      </c>
      <c r="D237" s="292" t="s">
        <v>330</v>
      </c>
      <c r="E237" s="289">
        <v>3500</v>
      </c>
      <c r="F237" s="292" t="s">
        <v>330</v>
      </c>
      <c r="G237" s="253" t="s">
        <v>331</v>
      </c>
      <c r="H237" s="254">
        <v>-46887782.009999998</v>
      </c>
      <c r="I237" s="254">
        <v>-46909126.009999998</v>
      </c>
      <c r="J237" s="254">
        <v>-46910708.009999998</v>
      </c>
      <c r="K237" s="254">
        <v>-47002786.869999997</v>
      </c>
      <c r="L237" s="254">
        <v>-47008844.270000003</v>
      </c>
      <c r="M237" s="254">
        <v>-47013077.420000002</v>
      </c>
      <c r="N237" s="254">
        <v>-47108954.780000001</v>
      </c>
      <c r="O237" s="254">
        <v>-47135137.259999998</v>
      </c>
      <c r="P237" s="254">
        <v>-47138845.380000003</v>
      </c>
      <c r="Q237" s="254">
        <v>-47234114.189999998</v>
      </c>
      <c r="R237" s="254">
        <v>-47238851.710000001</v>
      </c>
      <c r="S237" s="254">
        <v>-47250736.740000002</v>
      </c>
      <c r="T237" s="254">
        <v>-47346623.659999996</v>
      </c>
      <c r="U237" s="254">
        <v>-612185588.30999994</v>
      </c>
    </row>
    <row r="238" spans="1:21" x14ac:dyDescent="0.25">
      <c r="A238" s="290"/>
      <c r="B238" s="293"/>
      <c r="C238" s="290"/>
      <c r="D238" s="293"/>
      <c r="E238" s="290"/>
      <c r="F238" s="293"/>
      <c r="G238" s="253" t="s">
        <v>332</v>
      </c>
      <c r="H238" s="254">
        <v>2643353.61</v>
      </c>
      <c r="I238" s="254">
        <v>2643353.61</v>
      </c>
      <c r="J238" s="254">
        <v>2643353.61</v>
      </c>
      <c r="K238" s="254">
        <v>2643353.61</v>
      </c>
      <c r="L238" s="254">
        <v>2643353.61</v>
      </c>
      <c r="M238" s="254">
        <v>2643353.61</v>
      </c>
      <c r="N238" s="254">
        <v>2643353.61</v>
      </c>
      <c r="O238" s="254">
        <v>2643353.61</v>
      </c>
      <c r="P238" s="254">
        <v>2643353.61</v>
      </c>
      <c r="Q238" s="254">
        <v>2643353.61</v>
      </c>
      <c r="R238" s="254">
        <v>2643353.61</v>
      </c>
      <c r="S238" s="254">
        <v>2643353.61</v>
      </c>
      <c r="T238" s="254">
        <v>2643353.61</v>
      </c>
      <c r="U238" s="254">
        <v>34363596.93</v>
      </c>
    </row>
    <row r="239" spans="1:21" x14ac:dyDescent="0.25">
      <c r="A239" s="290"/>
      <c r="B239" s="293"/>
      <c r="C239" s="290"/>
      <c r="D239" s="293"/>
      <c r="E239" s="291"/>
      <c r="F239" s="294"/>
      <c r="G239" s="252" t="s">
        <v>330</v>
      </c>
      <c r="H239" s="254">
        <v>-44244428.399999999</v>
      </c>
      <c r="I239" s="254">
        <v>-44265772.399999999</v>
      </c>
      <c r="J239" s="254">
        <v>-44267354.399999999</v>
      </c>
      <c r="K239" s="254">
        <v>-44359433.259999998</v>
      </c>
      <c r="L239" s="254">
        <v>-44365490.659999996</v>
      </c>
      <c r="M239" s="254">
        <v>-44369723.810000002</v>
      </c>
      <c r="N239" s="254">
        <v>-44465601.170000002</v>
      </c>
      <c r="O239" s="254">
        <v>-44491783.649999999</v>
      </c>
      <c r="P239" s="254">
        <v>-44495491.770000003</v>
      </c>
      <c r="Q239" s="254">
        <v>-44590760.579999998</v>
      </c>
      <c r="R239" s="254">
        <v>-44595498.100000001</v>
      </c>
      <c r="S239" s="254">
        <v>-44607383.130000003</v>
      </c>
      <c r="T239" s="254">
        <v>-44703270.049999997</v>
      </c>
      <c r="U239" s="254">
        <v>-577821991.38</v>
      </c>
    </row>
    <row r="240" spans="1:21" ht="12.75" customHeight="1" x14ac:dyDescent="0.25">
      <c r="A240" s="290"/>
      <c r="B240" s="293"/>
      <c r="C240" s="291"/>
      <c r="D240" s="294"/>
      <c r="E240" s="295" t="s">
        <v>330</v>
      </c>
      <c r="F240" s="296"/>
      <c r="G240" s="297"/>
      <c r="H240" s="254">
        <v>-44244428.399999999</v>
      </c>
      <c r="I240" s="254">
        <v>-44265772.399999999</v>
      </c>
      <c r="J240" s="254">
        <v>-44267354.399999999</v>
      </c>
      <c r="K240" s="254">
        <v>-44359433.259999998</v>
      </c>
      <c r="L240" s="254">
        <v>-44365490.659999996</v>
      </c>
      <c r="M240" s="254">
        <v>-44369723.810000002</v>
      </c>
      <c r="N240" s="254">
        <v>-44465601.170000002</v>
      </c>
      <c r="O240" s="254">
        <v>-44491783.649999999</v>
      </c>
      <c r="P240" s="254">
        <v>-44495491.770000003</v>
      </c>
      <c r="Q240" s="254">
        <v>-44590760.579999998</v>
      </c>
      <c r="R240" s="254">
        <v>-44595498.100000001</v>
      </c>
      <c r="S240" s="254">
        <v>-44607383.130000003</v>
      </c>
      <c r="T240" s="254">
        <v>-44703270.049999997</v>
      </c>
      <c r="U240" s="254">
        <v>-577821991.38</v>
      </c>
    </row>
    <row r="241" spans="1:22" ht="12.75" customHeight="1" x14ac:dyDescent="0.25">
      <c r="A241" s="290"/>
      <c r="B241" s="293"/>
      <c r="C241" s="263"/>
      <c r="D241" s="264"/>
      <c r="E241" s="265"/>
      <c r="F241" s="266"/>
      <c r="G241" s="267" t="s">
        <v>333</v>
      </c>
      <c r="H241" s="254">
        <f>+H240+H236</f>
        <v>-47551874.399999999</v>
      </c>
      <c r="I241" s="254">
        <f t="shared" ref="I241:T241" si="3">+I240+I236</f>
        <v>-47574146.399999999</v>
      </c>
      <c r="J241" s="254">
        <f t="shared" si="3"/>
        <v>-47575798.399999999</v>
      </c>
      <c r="K241" s="254">
        <f t="shared" si="3"/>
        <v>-47672708.259999998</v>
      </c>
      <c r="L241" s="254">
        <f t="shared" si="3"/>
        <v>-47679075.659999996</v>
      </c>
      <c r="M241" s="254">
        <f t="shared" si="3"/>
        <v>-47683521.810000002</v>
      </c>
      <c r="N241" s="254">
        <f t="shared" si="3"/>
        <v>-47783647.170000002</v>
      </c>
      <c r="O241" s="254">
        <f t="shared" si="3"/>
        <v>-47811001.649999999</v>
      </c>
      <c r="P241" s="254">
        <f t="shared" si="3"/>
        <v>-47814865.770000003</v>
      </c>
      <c r="Q241" s="254">
        <f t="shared" si="3"/>
        <v>-47914145.579999998</v>
      </c>
      <c r="R241" s="254">
        <f t="shared" si="3"/>
        <v>-47919068.100000001</v>
      </c>
      <c r="S241" s="254">
        <f t="shared" si="3"/>
        <v>-47931402.130000003</v>
      </c>
      <c r="T241" s="254">
        <f t="shared" si="3"/>
        <v>-48030843.049999997</v>
      </c>
      <c r="U241" s="254">
        <f>SUM(H241:T241)</f>
        <v>-620942098.37999988</v>
      </c>
      <c r="V241" s="262">
        <f>+U241/13</f>
        <v>-47764776.798461527</v>
      </c>
    </row>
    <row r="242" spans="1:22" x14ac:dyDescent="0.25">
      <c r="A242" s="290"/>
      <c r="B242" s="293"/>
      <c r="C242" s="289">
        <v>3100</v>
      </c>
      <c r="D242" s="292" t="s">
        <v>334</v>
      </c>
      <c r="E242" s="289">
        <v>3700</v>
      </c>
      <c r="F242" s="292" t="s">
        <v>334</v>
      </c>
      <c r="G242" s="253" t="s">
        <v>335</v>
      </c>
      <c r="H242" s="254">
        <v>-8123923.7199999997</v>
      </c>
      <c r="I242" s="254">
        <v>-8123923.7199999997</v>
      </c>
      <c r="J242" s="254">
        <v>-8123923.7199999997</v>
      </c>
      <c r="K242" s="254">
        <v>-7065221.6399999997</v>
      </c>
      <c r="L242" s="254">
        <v>-7065221.6399999997</v>
      </c>
      <c r="M242" s="254">
        <v>-7065221.6399999997</v>
      </c>
      <c r="N242" s="254">
        <v>-6004806.2800000003</v>
      </c>
      <c r="O242" s="254">
        <v>-11215535.310000001</v>
      </c>
      <c r="P242" s="254">
        <v>-11215535.310000001</v>
      </c>
      <c r="Q242" s="254">
        <v>-9748708.6300000008</v>
      </c>
      <c r="R242" s="254">
        <v>-10136738.76</v>
      </c>
      <c r="S242" s="254">
        <v>-10136738.76</v>
      </c>
      <c r="T242" s="254">
        <v>-9056432.5800000001</v>
      </c>
      <c r="U242" s="254">
        <v>-113081931.70999999</v>
      </c>
    </row>
    <row r="243" spans="1:22" x14ac:dyDescent="0.25">
      <c r="A243" s="290"/>
      <c r="B243" s="293"/>
      <c r="C243" s="290"/>
      <c r="D243" s="293"/>
      <c r="E243" s="291"/>
      <c r="F243" s="294"/>
      <c r="G243" s="252" t="s">
        <v>334</v>
      </c>
      <c r="H243" s="254">
        <v>-8123923.7199999997</v>
      </c>
      <c r="I243" s="254">
        <v>-8123923.7199999997</v>
      </c>
      <c r="J243" s="254">
        <v>-8123923.7199999997</v>
      </c>
      <c r="K243" s="254">
        <v>-7065221.6399999997</v>
      </c>
      <c r="L243" s="254">
        <v>-7065221.6399999997</v>
      </c>
      <c r="M243" s="254">
        <v>-7065221.6399999997</v>
      </c>
      <c r="N243" s="254">
        <v>-6004806.2800000003</v>
      </c>
      <c r="O243" s="254">
        <v>-11215535.310000001</v>
      </c>
      <c r="P243" s="254">
        <v>-11215535.310000001</v>
      </c>
      <c r="Q243" s="254">
        <v>-9748708.6300000008</v>
      </c>
      <c r="R243" s="254">
        <v>-10136738.76</v>
      </c>
      <c r="S243" s="254">
        <v>-10136738.76</v>
      </c>
      <c r="T243" s="254">
        <v>-9056432.5800000001</v>
      </c>
      <c r="U243" s="254">
        <v>-113081931.70999999</v>
      </c>
    </row>
    <row r="244" spans="1:22" x14ac:dyDescent="0.25">
      <c r="A244" s="290"/>
      <c r="B244" s="293"/>
      <c r="C244" s="290"/>
      <c r="D244" s="293"/>
      <c r="E244" s="268"/>
      <c r="F244" s="269"/>
      <c r="G244" s="252" t="s">
        <v>336</v>
      </c>
      <c r="H244" s="254">
        <v>-1502219.21</v>
      </c>
      <c r="I244" s="254">
        <v>-3556123.41</v>
      </c>
      <c r="J244" s="254">
        <v>-4749580.6900000004</v>
      </c>
      <c r="K244" s="254">
        <v>-5762092.6100000003</v>
      </c>
      <c r="L244" s="254">
        <v>-5755483.0700000003</v>
      </c>
      <c r="M244" s="254">
        <v>-5810633</v>
      </c>
      <c r="N244" s="254">
        <v>-5210729.03</v>
      </c>
      <c r="O244" s="254">
        <v>163085.19</v>
      </c>
      <c r="P244" s="254">
        <v>388030.13</v>
      </c>
      <c r="Q244" s="254">
        <v>174974.26</v>
      </c>
      <c r="R244" s="254">
        <v>318415.07</v>
      </c>
      <c r="S244" s="254">
        <v>-246037.63</v>
      </c>
      <c r="T244" s="254">
        <v>-1349870.97</v>
      </c>
      <c r="U244" s="254">
        <v>-32898264.969999999</v>
      </c>
    </row>
    <row r="245" spans="1:22" ht="12.75" customHeight="1" x14ac:dyDescent="0.25">
      <c r="A245" s="290"/>
      <c r="B245" s="293"/>
      <c r="C245" s="291"/>
      <c r="D245" s="294"/>
      <c r="E245" s="295" t="s">
        <v>334</v>
      </c>
      <c r="F245" s="296"/>
      <c r="G245" s="297"/>
      <c r="H245" s="254">
        <v>-9626142.9299999997</v>
      </c>
      <c r="I245" s="254">
        <v>-11680047.130000001</v>
      </c>
      <c r="J245" s="254">
        <v>-12873504.41</v>
      </c>
      <c r="K245" s="254">
        <v>-12827314.25</v>
      </c>
      <c r="L245" s="254">
        <v>-12820704.710000001</v>
      </c>
      <c r="M245" s="254">
        <v>-12875854.640000001</v>
      </c>
      <c r="N245" s="254">
        <v>-11215535.310000001</v>
      </c>
      <c r="O245" s="254">
        <v>-11052450.119999999</v>
      </c>
      <c r="P245" s="254">
        <v>-10827505.18</v>
      </c>
      <c r="Q245" s="254">
        <v>-9573734.3699999992</v>
      </c>
      <c r="R245" s="254">
        <v>-9818323.6899999995</v>
      </c>
      <c r="S245" s="254">
        <v>-10382776.390000001</v>
      </c>
      <c r="T245" s="254">
        <v>-10406303.550000001</v>
      </c>
      <c r="U245" s="254">
        <v>-145980196.68000001</v>
      </c>
    </row>
    <row r="246" spans="1:22" ht="12.75" customHeight="1" x14ac:dyDescent="0.25">
      <c r="A246" s="291"/>
      <c r="B246" s="294"/>
      <c r="C246" s="295" t="s">
        <v>327</v>
      </c>
      <c r="D246" s="296"/>
      <c r="E246" s="296"/>
      <c r="F246" s="296"/>
      <c r="G246" s="297"/>
      <c r="H246" s="254">
        <v>-57178017.329999998</v>
      </c>
      <c r="I246" s="254">
        <v>-59254193.530000001</v>
      </c>
      <c r="J246" s="254">
        <v>-60449302.810000002</v>
      </c>
      <c r="K246" s="254">
        <v>-60500022.509999998</v>
      </c>
      <c r="L246" s="254">
        <v>-60499780.369999997</v>
      </c>
      <c r="M246" s="254">
        <v>-60559376.450000003</v>
      </c>
      <c r="N246" s="254">
        <v>-58999182.479999997</v>
      </c>
      <c r="O246" s="254">
        <v>-58863451.770000003</v>
      </c>
      <c r="P246" s="254">
        <v>-58642370.950000003</v>
      </c>
      <c r="Q246" s="254">
        <v>-57487879.950000003</v>
      </c>
      <c r="R246" s="254">
        <v>-57737391.789999999</v>
      </c>
      <c r="S246" s="254">
        <v>-58314178.520000003</v>
      </c>
      <c r="T246" s="254">
        <v>-58437146.600000001</v>
      </c>
      <c r="U246" s="254">
        <v>-766922295.05999994</v>
      </c>
    </row>
    <row r="247" spans="1:22" ht="12.75" customHeight="1" x14ac:dyDescent="0.25">
      <c r="A247" s="295" t="s">
        <v>121</v>
      </c>
      <c r="B247" s="296"/>
      <c r="C247" s="296"/>
      <c r="D247" s="296"/>
      <c r="E247" s="296"/>
      <c r="F247" s="296"/>
      <c r="G247" s="297"/>
      <c r="H247" s="254">
        <v>0</v>
      </c>
      <c r="I247" s="254">
        <v>0</v>
      </c>
      <c r="J247" s="254">
        <v>0</v>
      </c>
      <c r="K247" s="254">
        <v>0</v>
      </c>
      <c r="L247" s="254">
        <v>0</v>
      </c>
      <c r="M247" s="254">
        <v>0</v>
      </c>
      <c r="N247" s="254">
        <v>0</v>
      </c>
      <c r="O247" s="254">
        <v>0</v>
      </c>
      <c r="P247" s="254">
        <v>0</v>
      </c>
      <c r="Q247" s="254">
        <v>0</v>
      </c>
      <c r="R247" s="254">
        <v>0</v>
      </c>
      <c r="S247" s="254">
        <v>0</v>
      </c>
      <c r="T247" s="254">
        <v>0</v>
      </c>
      <c r="U247" s="254">
        <v>0</v>
      </c>
    </row>
    <row r="248" spans="1:22" x14ac:dyDescent="0.25">
      <c r="A248" s="270">
        <v>40295</v>
      </c>
      <c r="B248" s="271" t="s">
        <v>337</v>
      </c>
      <c r="C248" s="272">
        <v>0.62936342000000001</v>
      </c>
    </row>
    <row r="249" spans="1:22" x14ac:dyDescent="0.25">
      <c r="G249" s="250" t="s">
        <v>338</v>
      </c>
      <c r="H249" s="273">
        <v>362003</v>
      </c>
      <c r="I249" s="273">
        <v>349879</v>
      </c>
      <c r="J249" s="273">
        <v>338027</v>
      </c>
      <c r="K249" s="273">
        <v>326100</v>
      </c>
      <c r="L249" s="273">
        <v>317233</v>
      </c>
      <c r="M249" s="273">
        <v>308062</v>
      </c>
      <c r="N249" s="273">
        <v>298891</v>
      </c>
      <c r="O249" s="273">
        <v>289728</v>
      </c>
      <c r="P249" s="273">
        <v>280565</v>
      </c>
      <c r="Q249" s="273">
        <v>271402</v>
      </c>
      <c r="R249" s="273">
        <v>262238</v>
      </c>
      <c r="S249" s="273">
        <v>253075</v>
      </c>
      <c r="T249" s="273">
        <v>243912</v>
      </c>
    </row>
    <row r="251" spans="1:22" x14ac:dyDescent="0.25">
      <c r="G251" s="250" t="s">
        <v>339</v>
      </c>
      <c r="H251" s="274">
        <f>+H28+H41</f>
        <v>2802747</v>
      </c>
      <c r="I251" s="274">
        <f t="shared" ref="I251:U251" si="4">+I28+I41</f>
        <v>3617484</v>
      </c>
      <c r="J251" s="274">
        <f t="shared" si="4"/>
        <v>2844263</v>
      </c>
      <c r="K251" s="274">
        <f t="shared" si="4"/>
        <v>2362123</v>
      </c>
      <c r="L251" s="274">
        <f t="shared" si="4"/>
        <v>1410905</v>
      </c>
      <c r="M251" s="274">
        <f t="shared" si="4"/>
        <v>896865</v>
      </c>
      <c r="N251" s="274">
        <f t="shared" si="4"/>
        <v>866397</v>
      </c>
      <c r="O251" s="274">
        <f t="shared" si="4"/>
        <v>800777</v>
      </c>
      <c r="P251" s="274">
        <f t="shared" si="4"/>
        <v>770678</v>
      </c>
      <c r="Q251" s="274">
        <f t="shared" si="4"/>
        <v>829974</v>
      </c>
      <c r="R251" s="274">
        <f t="shared" si="4"/>
        <v>1206550</v>
      </c>
      <c r="S251" s="274">
        <f t="shared" si="4"/>
        <v>1689878</v>
      </c>
      <c r="T251" s="274">
        <f t="shared" si="4"/>
        <v>2741614</v>
      </c>
      <c r="U251" s="274">
        <f t="shared" si="4"/>
        <v>22840255</v>
      </c>
    </row>
    <row r="252" spans="1:22" x14ac:dyDescent="0.25">
      <c r="G252" s="250" t="s">
        <v>340</v>
      </c>
      <c r="H252" s="250">
        <v>0.37959999999999999</v>
      </c>
      <c r="I252" s="250">
        <v>0.37959999999999999</v>
      </c>
      <c r="J252" s="250">
        <v>0.37959999999999999</v>
      </c>
      <c r="K252" s="250">
        <v>0.37959999999999999</v>
      </c>
      <c r="L252" s="250">
        <v>0.37959999999999999</v>
      </c>
      <c r="M252" s="250">
        <v>0.37959999999999999</v>
      </c>
      <c r="N252" s="250">
        <v>0.37959999999999999</v>
      </c>
      <c r="O252" s="250">
        <v>0.37959999999999999</v>
      </c>
      <c r="P252" s="250">
        <v>0.37959999999999999</v>
      </c>
      <c r="Q252" s="250">
        <v>0.37959999999999999</v>
      </c>
      <c r="R252" s="250">
        <v>0.37959999999999999</v>
      </c>
      <c r="S252" s="250">
        <v>0.37959999999999999</v>
      </c>
      <c r="T252" s="250">
        <v>0.37959999999999999</v>
      </c>
    </row>
    <row r="253" spans="1:22" x14ac:dyDescent="0.25">
      <c r="G253" s="250" t="s">
        <v>340</v>
      </c>
      <c r="H253" s="262">
        <f>+H251*H252</f>
        <v>1063922.7612000001</v>
      </c>
      <c r="I253" s="262">
        <f t="shared" ref="I253:T253" si="5">+I251*I252</f>
        <v>1373196.9264</v>
      </c>
      <c r="J253" s="262">
        <f t="shared" si="5"/>
        <v>1079682.2348</v>
      </c>
      <c r="K253" s="262">
        <f t="shared" si="5"/>
        <v>896661.89079999994</v>
      </c>
      <c r="L253" s="262">
        <f t="shared" si="5"/>
        <v>535579.53799999994</v>
      </c>
      <c r="M253" s="262">
        <f t="shared" si="5"/>
        <v>340449.95399999997</v>
      </c>
      <c r="N253" s="262">
        <f t="shared" si="5"/>
        <v>328884.30119999999</v>
      </c>
      <c r="O253" s="262">
        <f t="shared" si="5"/>
        <v>303974.94919999997</v>
      </c>
      <c r="P253" s="262">
        <f t="shared" si="5"/>
        <v>292549.3688</v>
      </c>
      <c r="Q253" s="262">
        <f t="shared" si="5"/>
        <v>315058.13039999997</v>
      </c>
      <c r="R253" s="262">
        <f t="shared" si="5"/>
        <v>458006.38</v>
      </c>
      <c r="S253" s="262">
        <f t="shared" si="5"/>
        <v>641477.6888</v>
      </c>
      <c r="T253" s="262">
        <f t="shared" si="5"/>
        <v>1040716.6744</v>
      </c>
    </row>
    <row r="254" spans="1:22" x14ac:dyDescent="0.25">
      <c r="G254" s="250" t="s">
        <v>341</v>
      </c>
      <c r="H254" s="275">
        <f>+H251-H253</f>
        <v>1738824.2387999999</v>
      </c>
      <c r="I254" s="275">
        <f t="shared" ref="I254:T254" si="6">+I251-I253</f>
        <v>2244287.0735999998</v>
      </c>
      <c r="J254" s="275">
        <f t="shared" si="6"/>
        <v>1764580.7652</v>
      </c>
      <c r="K254" s="275">
        <f t="shared" si="6"/>
        <v>1465461.1092000001</v>
      </c>
      <c r="L254" s="275">
        <f t="shared" si="6"/>
        <v>875325.46200000006</v>
      </c>
      <c r="M254" s="275">
        <f t="shared" si="6"/>
        <v>556415.04600000009</v>
      </c>
      <c r="N254" s="275">
        <f t="shared" si="6"/>
        <v>537512.69880000001</v>
      </c>
      <c r="O254" s="275">
        <f t="shared" si="6"/>
        <v>496802.05080000003</v>
      </c>
      <c r="P254" s="275">
        <f t="shared" si="6"/>
        <v>478128.6312</v>
      </c>
      <c r="Q254" s="275">
        <f t="shared" si="6"/>
        <v>514915.86960000003</v>
      </c>
      <c r="R254" s="275">
        <f t="shared" si="6"/>
        <v>748543.62</v>
      </c>
      <c r="S254" s="275">
        <f t="shared" si="6"/>
        <v>1048400.3112</v>
      </c>
      <c r="T254" s="275">
        <f t="shared" si="6"/>
        <v>1700897.3256000001</v>
      </c>
    </row>
    <row r="256" spans="1:22" x14ac:dyDescent="0.25">
      <c r="G256" s="250" t="s">
        <v>342</v>
      </c>
      <c r="H256" s="276">
        <f>+H254+H249+H245</f>
        <v>-7525315.6911999993</v>
      </c>
      <c r="I256" s="276">
        <f t="shared" ref="I256:T256" si="7">+I254+I249+I245</f>
        <v>-9085881.056400001</v>
      </c>
      <c r="J256" s="276">
        <f t="shared" si="7"/>
        <v>-10770896.6448</v>
      </c>
      <c r="K256" s="276">
        <f t="shared" si="7"/>
        <v>-11035753.140799999</v>
      </c>
      <c r="L256" s="276">
        <f t="shared" si="7"/>
        <v>-11628146.248000002</v>
      </c>
      <c r="M256" s="276">
        <f t="shared" si="7"/>
        <v>-12011377.594000001</v>
      </c>
      <c r="N256" s="276">
        <f t="shared" si="7"/>
        <v>-10379131.611200001</v>
      </c>
      <c r="O256" s="276">
        <f t="shared" si="7"/>
        <v>-10265920.0692</v>
      </c>
      <c r="P256" s="276">
        <f t="shared" si="7"/>
        <v>-10068811.548799999</v>
      </c>
      <c r="Q256" s="276">
        <f t="shared" si="7"/>
        <v>-8787416.5003999993</v>
      </c>
      <c r="R256" s="276">
        <f t="shared" si="7"/>
        <v>-8807542.0700000003</v>
      </c>
      <c r="S256" s="276">
        <f t="shared" si="7"/>
        <v>-9081301.0788000003</v>
      </c>
      <c r="T256" s="276">
        <f t="shared" si="7"/>
        <v>-8461494.2244000006</v>
      </c>
      <c r="U256" s="276">
        <f>SUM(H256:T256)</f>
        <v>-127908987.478</v>
      </c>
      <c r="V256" s="262">
        <f>+U256/13</f>
        <v>-9839152.8829230778</v>
      </c>
    </row>
    <row r="258" spans="7:22" x14ac:dyDescent="0.25">
      <c r="G258" s="250" t="s">
        <v>343</v>
      </c>
      <c r="H258" s="262">
        <f>+H256+H241</f>
        <v>-55077190.091199994</v>
      </c>
      <c r="I258" s="262">
        <f t="shared" ref="I258:T258" si="8">+I256+I241</f>
        <v>-56660027.4564</v>
      </c>
      <c r="J258" s="262">
        <f t="shared" si="8"/>
        <v>-58346695.044799998</v>
      </c>
      <c r="K258" s="262">
        <f t="shared" si="8"/>
        <v>-58708461.400799997</v>
      </c>
      <c r="L258" s="262">
        <f t="shared" si="8"/>
        <v>-59307221.908</v>
      </c>
      <c r="M258" s="262">
        <f t="shared" si="8"/>
        <v>-59694899.403999999</v>
      </c>
      <c r="N258" s="262">
        <f t="shared" si="8"/>
        <v>-58162778.781200007</v>
      </c>
      <c r="O258" s="262">
        <f t="shared" si="8"/>
        <v>-58076921.7192</v>
      </c>
      <c r="P258" s="262">
        <f t="shared" si="8"/>
        <v>-57883677.318800002</v>
      </c>
      <c r="Q258" s="262">
        <f t="shared" si="8"/>
        <v>-56701562.080399998</v>
      </c>
      <c r="R258" s="262">
        <f t="shared" si="8"/>
        <v>-56726610.170000002</v>
      </c>
      <c r="S258" s="262">
        <f t="shared" si="8"/>
        <v>-57012703.208800003</v>
      </c>
      <c r="T258" s="262">
        <f t="shared" si="8"/>
        <v>-56492337.274399996</v>
      </c>
      <c r="U258" s="276">
        <f>SUM(H258:T258)</f>
        <v>-748851085.85799992</v>
      </c>
      <c r="V258" s="262">
        <f>+U258/13</f>
        <v>-57603929.681384608</v>
      </c>
    </row>
    <row r="260" spans="7:22" x14ac:dyDescent="0.25">
      <c r="G260" s="250" t="s">
        <v>344</v>
      </c>
      <c r="H260" s="276">
        <f>+H258+H178+H126</f>
        <v>-142992944.7112</v>
      </c>
      <c r="I260" s="276">
        <f t="shared" ref="I260:T260" si="9">+I258+I178+I126</f>
        <v>-142196877.1564</v>
      </c>
      <c r="J260" s="276">
        <f t="shared" si="9"/>
        <v>-136475377.8448</v>
      </c>
      <c r="K260" s="276">
        <f t="shared" si="9"/>
        <v>-128275594.59079999</v>
      </c>
      <c r="L260" s="276">
        <f t="shared" si="9"/>
        <v>-122204331.48799999</v>
      </c>
      <c r="M260" s="276">
        <f t="shared" si="9"/>
        <v>-118850119.574</v>
      </c>
      <c r="N260" s="276">
        <f t="shared" si="9"/>
        <v>-120614881.3612</v>
      </c>
      <c r="O260" s="276">
        <f t="shared" si="9"/>
        <v>-121723566.5492</v>
      </c>
      <c r="P260" s="276">
        <f t="shared" si="9"/>
        <v>-124029370.93880001</v>
      </c>
      <c r="Q260" s="276">
        <f t="shared" si="9"/>
        <v>-124888401.5904</v>
      </c>
      <c r="R260" s="276">
        <f t="shared" si="9"/>
        <v>-126304959.28</v>
      </c>
      <c r="S260" s="276">
        <f t="shared" si="9"/>
        <v>-127517560.10880001</v>
      </c>
      <c r="T260" s="276">
        <f t="shared" si="9"/>
        <v>-126967065.5844</v>
      </c>
      <c r="U260" s="276">
        <f>SUM(H260:T260)</f>
        <v>-1663041050.7779999</v>
      </c>
      <c r="V260" s="262">
        <f>+U260/13</f>
        <v>-127926234.67523076</v>
      </c>
    </row>
    <row r="261" spans="7:22" x14ac:dyDescent="0.25">
      <c r="U261" s="262"/>
    </row>
  </sheetData>
  <mergeCells count="183">
    <mergeCell ref="A247:G247"/>
    <mergeCell ref="E237:E239"/>
    <mergeCell ref="F237:F239"/>
    <mergeCell ref="E240:G240"/>
    <mergeCell ref="C242:C245"/>
    <mergeCell ref="D242:D245"/>
    <mergeCell ref="E242:E243"/>
    <mergeCell ref="F242:F243"/>
    <mergeCell ref="E245:G245"/>
    <mergeCell ref="C233:G233"/>
    <mergeCell ref="A234:A246"/>
    <mergeCell ref="B234:B246"/>
    <mergeCell ref="C234:C236"/>
    <mergeCell ref="D234:D236"/>
    <mergeCell ref="E234:E235"/>
    <mergeCell ref="F234:F235"/>
    <mergeCell ref="E236:G236"/>
    <mergeCell ref="C237:C240"/>
    <mergeCell ref="D237:D240"/>
    <mergeCell ref="A183:A233"/>
    <mergeCell ref="B183:B233"/>
    <mergeCell ref="C183:C210"/>
    <mergeCell ref="D183:D210"/>
    <mergeCell ref="E183:E209"/>
    <mergeCell ref="F183:F209"/>
    <mergeCell ref="E210:G210"/>
    <mergeCell ref="C246:G246"/>
    <mergeCell ref="C224:C232"/>
    <mergeCell ref="D224:D232"/>
    <mergeCell ref="E224:E229"/>
    <mergeCell ref="F224:F229"/>
    <mergeCell ref="E230:E231"/>
    <mergeCell ref="F230:F231"/>
    <mergeCell ref="E232:G232"/>
    <mergeCell ref="F211:F212"/>
    <mergeCell ref="E213:G213"/>
    <mergeCell ref="C214:C223"/>
    <mergeCell ref="D214:D223"/>
    <mergeCell ref="E214:E222"/>
    <mergeCell ref="F214:F222"/>
    <mergeCell ref="E223:G223"/>
    <mergeCell ref="C211:C213"/>
    <mergeCell ref="D211:D213"/>
    <mergeCell ref="E211:E212"/>
    <mergeCell ref="C175:G175"/>
    <mergeCell ref="A176:A182"/>
    <mergeCell ref="B176:B182"/>
    <mergeCell ref="C176:C181"/>
    <mergeCell ref="D176:D181"/>
    <mergeCell ref="E176:E180"/>
    <mergeCell ref="F176:F180"/>
    <mergeCell ref="E181:G181"/>
    <mergeCell ref="C182:G182"/>
    <mergeCell ref="A116:A175"/>
    <mergeCell ref="B116:B175"/>
    <mergeCell ref="C154:C174"/>
    <mergeCell ref="D154:D174"/>
    <mergeCell ref="E154:E162"/>
    <mergeCell ref="F154:F162"/>
    <mergeCell ref="E163:E173"/>
    <mergeCell ref="F163:F173"/>
    <mergeCell ref="E174:G174"/>
    <mergeCell ref="C145:C150"/>
    <mergeCell ref="D145:D150"/>
    <mergeCell ref="E145:E149"/>
    <mergeCell ref="F145:F149"/>
    <mergeCell ref="E150:G150"/>
    <mergeCell ref="C151:C153"/>
    <mergeCell ref="D151:D153"/>
    <mergeCell ref="E151:E152"/>
    <mergeCell ref="F151:F152"/>
    <mergeCell ref="E153:G153"/>
    <mergeCell ref="C132:C141"/>
    <mergeCell ref="D132:D141"/>
    <mergeCell ref="E132:E140"/>
    <mergeCell ref="F132:F140"/>
    <mergeCell ref="E141:G141"/>
    <mergeCell ref="C142:C144"/>
    <mergeCell ref="D142:D144"/>
    <mergeCell ref="E142:E143"/>
    <mergeCell ref="F142:F143"/>
    <mergeCell ref="E144:G144"/>
    <mergeCell ref="E126:E127"/>
    <mergeCell ref="F126:F127"/>
    <mergeCell ref="E128:G128"/>
    <mergeCell ref="C129:C131"/>
    <mergeCell ref="D129:D131"/>
    <mergeCell ref="E129:E130"/>
    <mergeCell ref="F129:F130"/>
    <mergeCell ref="E131:G131"/>
    <mergeCell ref="C115:G115"/>
    <mergeCell ref="C116:C125"/>
    <mergeCell ref="D116:D125"/>
    <mergeCell ref="E116:E124"/>
    <mergeCell ref="F116:F124"/>
    <mergeCell ref="E125:G125"/>
    <mergeCell ref="C126:C128"/>
    <mergeCell ref="D126:D128"/>
    <mergeCell ref="E109:G109"/>
    <mergeCell ref="C110:C114"/>
    <mergeCell ref="D110:D114"/>
    <mergeCell ref="E110:E113"/>
    <mergeCell ref="F110:F113"/>
    <mergeCell ref="E114:G114"/>
    <mergeCell ref="A100:A115"/>
    <mergeCell ref="B100:B115"/>
    <mergeCell ref="C100:C109"/>
    <mergeCell ref="D100:D109"/>
    <mergeCell ref="E100:E103"/>
    <mergeCell ref="F100:F103"/>
    <mergeCell ref="E104:E106"/>
    <mergeCell ref="F104:F106"/>
    <mergeCell ref="E107:E108"/>
    <mergeCell ref="F107:F108"/>
    <mergeCell ref="D76:D78"/>
    <mergeCell ref="E76:E77"/>
    <mergeCell ref="F76:F77"/>
    <mergeCell ref="E78:G78"/>
    <mergeCell ref="C79:C93"/>
    <mergeCell ref="D79:D93"/>
    <mergeCell ref="E79:E92"/>
    <mergeCell ref="F79:F92"/>
    <mergeCell ref="E93:G93"/>
    <mergeCell ref="F68:F71"/>
    <mergeCell ref="E72:G72"/>
    <mergeCell ref="C73:C75"/>
    <mergeCell ref="D73:D75"/>
    <mergeCell ref="E73:E74"/>
    <mergeCell ref="F73:F74"/>
    <mergeCell ref="E75:G75"/>
    <mergeCell ref="A63:A99"/>
    <mergeCell ref="B63:B99"/>
    <mergeCell ref="C63:C67"/>
    <mergeCell ref="D63:D67"/>
    <mergeCell ref="E63:E66"/>
    <mergeCell ref="F63:F66"/>
    <mergeCell ref="E67:G67"/>
    <mergeCell ref="C68:C72"/>
    <mergeCell ref="D68:D72"/>
    <mergeCell ref="E68:E71"/>
    <mergeCell ref="C94:C98"/>
    <mergeCell ref="D94:D98"/>
    <mergeCell ref="E94:E97"/>
    <mergeCell ref="F94:F97"/>
    <mergeCell ref="E98:G98"/>
    <mergeCell ref="C99:G99"/>
    <mergeCell ref="C76:C78"/>
    <mergeCell ref="E61:G61"/>
    <mergeCell ref="C62:G62"/>
    <mergeCell ref="C38:C43"/>
    <mergeCell ref="D38:D43"/>
    <mergeCell ref="E38:E42"/>
    <mergeCell ref="F38:F42"/>
    <mergeCell ref="E43:G43"/>
    <mergeCell ref="C44:C51"/>
    <mergeCell ref="D44:D51"/>
    <mergeCell ref="E44:E50"/>
    <mergeCell ref="F44:F50"/>
    <mergeCell ref="E51:G51"/>
    <mergeCell ref="A2:G2"/>
    <mergeCell ref="A3:A62"/>
    <mergeCell ref="B3:B62"/>
    <mergeCell ref="C3:C18"/>
    <mergeCell ref="D3:D18"/>
    <mergeCell ref="E3:E17"/>
    <mergeCell ref="F3:F17"/>
    <mergeCell ref="E18:G18"/>
    <mergeCell ref="C19:C33"/>
    <mergeCell ref="D19:D33"/>
    <mergeCell ref="E19:E30"/>
    <mergeCell ref="F19:F30"/>
    <mergeCell ref="E31:E32"/>
    <mergeCell ref="F31:F32"/>
    <mergeCell ref="E33:G33"/>
    <mergeCell ref="C34:C37"/>
    <mergeCell ref="D34:D37"/>
    <mergeCell ref="E34:E36"/>
    <mergeCell ref="F34:F36"/>
    <mergeCell ref="E37:G37"/>
    <mergeCell ref="C52:C61"/>
    <mergeCell ref="D52:D61"/>
    <mergeCell ref="E52:E60"/>
    <mergeCell ref="F52:F60"/>
  </mergeCells>
  <pageMargins left="0.75" right="0.75" top="1" bottom="1" header="0.5" footer="0.5"/>
  <pageSetup scale="50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125" zoomScaleNormal="125" workbookViewId="0">
      <selection activeCell="L17" sqref="L17"/>
    </sheetView>
  </sheetViews>
  <sheetFormatPr defaultColWidth="8.7109375" defaultRowHeight="12.75" x14ac:dyDescent="0.2"/>
  <cols>
    <col min="1" max="1" width="8.85546875" style="1" bestFit="1" customWidth="1"/>
    <col min="2" max="2" width="22.42578125" style="1" customWidth="1"/>
    <col min="3" max="3" width="10.42578125" style="1" bestFit="1" customWidth="1"/>
    <col min="4" max="4" width="12.42578125" style="1" customWidth="1"/>
    <col min="5" max="5" width="9.7109375" style="1" bestFit="1" customWidth="1"/>
    <col min="6" max="6" width="10.42578125" style="1" bestFit="1" customWidth="1"/>
    <col min="7" max="7" width="15.140625" style="2" customWidth="1"/>
    <col min="8" max="8" width="17.140625" style="3" customWidth="1"/>
    <col min="9" max="9" width="16.5703125" style="3" customWidth="1"/>
    <col min="10" max="10" width="11.85546875" style="5" bestFit="1" customWidth="1"/>
    <col min="11" max="11" width="8.85546875" style="1" bestFit="1" customWidth="1"/>
    <col min="12" max="16384" width="8.7109375" style="1"/>
  </cols>
  <sheetData>
    <row r="1" spans="1:12" ht="12.6" customHeight="1" x14ac:dyDescent="0.25">
      <c r="I1" s="4"/>
    </row>
    <row r="2" spans="1:12" ht="12.6" x14ac:dyDescent="0.25">
      <c r="A2" s="6" t="str">
        <f ca="1">CELL("FILENAME")</f>
        <v>F:\Account\PUBLIC\Randy M\rate case\[question 91 rate case.xlsx]Prepaid @ 3.31.21</v>
      </c>
      <c r="B2" s="7"/>
      <c r="C2" s="8" t="s">
        <v>0</v>
      </c>
      <c r="D2" s="9"/>
      <c r="E2" s="10"/>
      <c r="F2" s="11"/>
      <c r="G2" s="12"/>
      <c r="H2" s="13"/>
      <c r="I2" s="14"/>
      <c r="J2" s="15" t="s">
        <v>1</v>
      </c>
    </row>
    <row r="3" spans="1:12" ht="12.6" x14ac:dyDescent="0.25">
      <c r="A3" s="20" t="s">
        <v>2</v>
      </c>
      <c r="B3" s="21" t="s">
        <v>5</v>
      </c>
      <c r="C3" s="19" t="s">
        <v>6</v>
      </c>
      <c r="D3" s="19" t="s">
        <v>7</v>
      </c>
      <c r="E3" s="22" t="s">
        <v>8</v>
      </c>
      <c r="F3" s="23" t="s">
        <v>9</v>
      </c>
      <c r="G3" s="24">
        <v>44227</v>
      </c>
      <c r="H3" s="25">
        <f>G3+28</f>
        <v>44255</v>
      </c>
      <c r="I3" s="25">
        <f>H3+31</f>
        <v>44286</v>
      </c>
      <c r="J3" s="26">
        <f>I3</f>
        <v>44286</v>
      </c>
    </row>
    <row r="4" spans="1:12" ht="12.6" x14ac:dyDescent="0.25">
      <c r="A4" s="29"/>
      <c r="B4" s="29"/>
      <c r="C4" s="21"/>
      <c r="D4" s="21"/>
      <c r="E4" s="30"/>
      <c r="F4" s="23"/>
      <c r="G4" s="31"/>
      <c r="H4" s="32"/>
      <c r="I4" s="32"/>
      <c r="J4" s="26"/>
    </row>
    <row r="5" spans="1:12" s="41" customFormat="1" ht="12.6" x14ac:dyDescent="0.25">
      <c r="A5" s="33"/>
      <c r="B5" s="42" t="s">
        <v>11</v>
      </c>
      <c r="C5" s="44"/>
      <c r="D5" s="44"/>
      <c r="E5" s="47"/>
      <c r="F5" s="47">
        <v>17707.68</v>
      </c>
      <c r="G5" s="48"/>
      <c r="H5" s="48"/>
      <c r="I5" s="49"/>
      <c r="J5" s="38">
        <v>7403.74</v>
      </c>
    </row>
    <row r="6" spans="1:12" s="41" customFormat="1" ht="12.6" x14ac:dyDescent="0.25">
      <c r="A6" s="33">
        <v>1191280</v>
      </c>
      <c r="B6" s="42" t="s">
        <v>13</v>
      </c>
      <c r="C6" s="35">
        <v>43533</v>
      </c>
      <c r="D6" s="35">
        <v>44264</v>
      </c>
      <c r="E6" s="36">
        <v>53930.59</v>
      </c>
      <c r="F6" s="37">
        <v>4494.2199999999866</v>
      </c>
      <c r="G6" s="37">
        <v>2247.11</v>
      </c>
      <c r="H6" s="37">
        <v>2247.11</v>
      </c>
      <c r="I6" s="37"/>
      <c r="J6" s="38">
        <f>SUM(F6-G6-H6-I6)</f>
        <v>-1.3642420526593924E-11</v>
      </c>
    </row>
    <row r="7" spans="1:12" s="41" customFormat="1" ht="25.5" x14ac:dyDescent="0.25">
      <c r="A7" s="33">
        <v>1191280</v>
      </c>
      <c r="B7" s="52" t="s">
        <v>14</v>
      </c>
      <c r="C7" s="35">
        <v>42803</v>
      </c>
      <c r="D7" s="35">
        <v>45189</v>
      </c>
      <c r="E7" s="36">
        <v>253607.49</v>
      </c>
      <c r="F7" s="37">
        <v>105937.25999999995</v>
      </c>
      <c r="G7" s="53">
        <v>3210.22</v>
      </c>
      <c r="H7" s="53">
        <v>3210.22</v>
      </c>
      <c r="I7" s="53">
        <v>3210.22</v>
      </c>
      <c r="J7" s="38">
        <f>SUM(F7-G7-H7-I7)</f>
        <v>96306.599999999948</v>
      </c>
      <c r="K7" s="41">
        <v>1</v>
      </c>
      <c r="L7" s="307"/>
    </row>
    <row r="8" spans="1:12" s="41" customFormat="1" ht="12.6" customHeight="1" x14ac:dyDescent="0.25">
      <c r="A8" s="33">
        <v>1191280</v>
      </c>
      <c r="B8" s="52" t="s">
        <v>15</v>
      </c>
      <c r="C8" s="35">
        <v>44013</v>
      </c>
      <c r="D8" s="35">
        <v>44378</v>
      </c>
      <c r="E8" s="36">
        <v>9187.4500000000007</v>
      </c>
      <c r="F8" s="37">
        <v>4375.68</v>
      </c>
      <c r="G8" s="53">
        <v>729.29</v>
      </c>
      <c r="H8" s="53">
        <v>729.29</v>
      </c>
      <c r="I8" s="53">
        <v>729.29</v>
      </c>
      <c r="J8" s="38">
        <f>SUM(F8-G8-H8-I8)</f>
        <v>2187.8100000000004</v>
      </c>
      <c r="K8" s="41">
        <v>3</v>
      </c>
    </row>
    <row r="9" spans="1:12" s="41" customFormat="1" ht="12.6" x14ac:dyDescent="0.25">
      <c r="A9" s="33"/>
      <c r="B9" s="42"/>
      <c r="C9" s="44"/>
      <c r="D9" s="44"/>
      <c r="E9" s="47"/>
      <c r="F9" s="47"/>
      <c r="G9" s="48"/>
      <c r="H9" s="48"/>
      <c r="I9" s="49"/>
      <c r="J9" s="50"/>
    </row>
    <row r="10" spans="1:12" ht="12.6" x14ac:dyDescent="0.25">
      <c r="A10" s="54"/>
      <c r="B10" s="55"/>
      <c r="C10" s="55"/>
      <c r="D10" s="55"/>
      <c r="E10" s="56"/>
      <c r="F10" s="57">
        <f>SUM(F5:F8)</f>
        <v>132514.83999999994</v>
      </c>
      <c r="G10" s="57">
        <f>SUM(G5:G8)</f>
        <v>6186.62</v>
      </c>
      <c r="H10" s="57">
        <f>SUM(H5:H8)</f>
        <v>6186.62</v>
      </c>
      <c r="I10" s="57">
        <f>SUM(I5:I8)</f>
        <v>3939.5099999999998</v>
      </c>
      <c r="J10" s="57">
        <f>SUM(J5:J8)</f>
        <v>105898.14999999994</v>
      </c>
    </row>
    <row r="11" spans="1:12" ht="12.6" x14ac:dyDescent="0.25">
      <c r="G11" s="4"/>
    </row>
    <row r="12" spans="1:12" ht="12.6" x14ac:dyDescent="0.25">
      <c r="G12" s="58"/>
      <c r="H12" s="58"/>
      <c r="I12" s="58"/>
    </row>
    <row r="13" spans="1:12" s="5" customFormat="1" ht="12.6" x14ac:dyDescent="0.25">
      <c r="A13" s="1"/>
      <c r="B13" s="1"/>
      <c r="C13" s="1"/>
      <c r="D13" s="1"/>
      <c r="E13" s="1"/>
      <c r="G13" s="3"/>
      <c r="H13" s="2"/>
      <c r="I13" s="2"/>
    </row>
    <row r="14" spans="1:12" s="65" customFormat="1" ht="12" customHeight="1" x14ac:dyDescent="0.25">
      <c r="A14" s="66">
        <v>1191900</v>
      </c>
      <c r="B14" s="42" t="s">
        <v>18</v>
      </c>
      <c r="C14" s="35">
        <v>44013</v>
      </c>
      <c r="D14" s="35">
        <v>44377</v>
      </c>
      <c r="E14" s="67">
        <v>47621.250000000007</v>
      </c>
      <c r="F14" s="67">
        <v>47621.250000000007</v>
      </c>
      <c r="G14" s="39">
        <v>7936.87</v>
      </c>
      <c r="H14" s="39">
        <v>7936.87</v>
      </c>
      <c r="I14" s="39">
        <v>7936.87</v>
      </c>
      <c r="J14" s="38">
        <f t="shared" ref="J14:J20" si="0">SUM(F14-G14-H14-I14)</f>
        <v>23810.640000000007</v>
      </c>
      <c r="K14" s="65">
        <v>4</v>
      </c>
    </row>
    <row r="15" spans="1:12" s="65" customFormat="1" ht="10.5" x14ac:dyDescent="0.25">
      <c r="A15" s="66">
        <v>1191900</v>
      </c>
      <c r="B15" s="42" t="s">
        <v>19</v>
      </c>
      <c r="C15" s="35">
        <v>43894</v>
      </c>
      <c r="D15" s="35">
        <v>44259</v>
      </c>
      <c r="E15" s="67">
        <v>689.29999999999973</v>
      </c>
      <c r="F15" s="67">
        <v>689.29999999999973</v>
      </c>
      <c r="G15" s="39">
        <v>344.66</v>
      </c>
      <c r="H15" s="39">
        <v>344.64</v>
      </c>
      <c r="I15" s="39"/>
      <c r="J15" s="38">
        <f t="shared" si="0"/>
        <v>-2.8421709430404007E-13</v>
      </c>
    </row>
    <row r="16" spans="1:12" s="65" customFormat="1" ht="10.5" x14ac:dyDescent="0.25">
      <c r="A16" s="66"/>
      <c r="B16" s="42"/>
      <c r="C16" s="35"/>
      <c r="D16" s="35"/>
      <c r="E16" s="67">
        <v>-5.6843418860808015E-14</v>
      </c>
      <c r="F16" s="67">
        <v>-5.6843418860808015E-14</v>
      </c>
      <c r="G16" s="39"/>
      <c r="H16" s="39"/>
      <c r="I16" s="39"/>
      <c r="J16" s="38">
        <f t="shared" si="0"/>
        <v>-5.6843418860808015E-14</v>
      </c>
    </row>
    <row r="17" spans="1:12" s="65" customFormat="1" ht="10.5" x14ac:dyDescent="0.25">
      <c r="A17" s="66">
        <v>1191900</v>
      </c>
      <c r="B17" s="42" t="s">
        <v>20</v>
      </c>
      <c r="C17" s="35">
        <v>44122</v>
      </c>
      <c r="D17" s="35">
        <v>44486</v>
      </c>
      <c r="E17" s="67">
        <f>21159.46-7472.02</f>
        <v>13687.439999999999</v>
      </c>
      <c r="F17" s="67">
        <f>21159.46-7472.02</f>
        <v>13687.439999999999</v>
      </c>
      <c r="G17" s="39">
        <v>1440.78</v>
      </c>
      <c r="H17" s="39">
        <v>1440.78</v>
      </c>
      <c r="I17" s="39">
        <v>1440.78</v>
      </c>
      <c r="J17" s="38">
        <f t="shared" si="0"/>
        <v>9365.0999999999967</v>
      </c>
      <c r="K17" s="65">
        <v>7</v>
      </c>
      <c r="L17" s="308"/>
    </row>
    <row r="18" spans="1:12" s="65" customFormat="1" ht="10.5" x14ac:dyDescent="0.25">
      <c r="A18" s="42">
        <v>1191910</v>
      </c>
      <c r="B18" s="42" t="s">
        <v>21</v>
      </c>
      <c r="C18" s="35">
        <v>43983</v>
      </c>
      <c r="D18" s="35">
        <v>44347</v>
      </c>
      <c r="E18" s="37">
        <v>16667.060000000012</v>
      </c>
      <c r="F18" s="37">
        <v>16667.060000000012</v>
      </c>
      <c r="G18" s="39">
        <v>3333.42</v>
      </c>
      <c r="H18" s="39">
        <v>3333.42</v>
      </c>
      <c r="I18" s="39">
        <v>3333.42</v>
      </c>
      <c r="J18" s="38">
        <f t="shared" si="0"/>
        <v>6666.800000000012</v>
      </c>
      <c r="K18" s="65">
        <v>2</v>
      </c>
    </row>
    <row r="19" spans="1:12" s="65" customFormat="1" ht="10.5" x14ac:dyDescent="0.25">
      <c r="A19" s="42">
        <v>1191910</v>
      </c>
      <c r="B19" s="42" t="s">
        <v>22</v>
      </c>
      <c r="C19" s="35">
        <v>44013</v>
      </c>
      <c r="D19" s="35">
        <v>44377</v>
      </c>
      <c r="E19" s="37">
        <v>8737.9500000000007</v>
      </c>
      <c r="F19" s="37">
        <v>8737.9500000000007</v>
      </c>
      <c r="G19" s="39">
        <v>1456.33</v>
      </c>
      <c r="H19" s="39">
        <v>1456.33</v>
      </c>
      <c r="I19" s="39">
        <v>1456.33</v>
      </c>
      <c r="J19" s="38">
        <f t="shared" si="0"/>
        <v>4368.9600000000009</v>
      </c>
      <c r="K19" s="65">
        <v>5</v>
      </c>
    </row>
    <row r="20" spans="1:12" s="65" customFormat="1" ht="10.5" x14ac:dyDescent="0.25">
      <c r="A20" s="42">
        <v>1191910</v>
      </c>
      <c r="B20" s="42" t="s">
        <v>23</v>
      </c>
      <c r="C20" s="35">
        <v>44013</v>
      </c>
      <c r="D20" s="35">
        <v>44377</v>
      </c>
      <c r="E20" s="37">
        <v>2499.9799999999996</v>
      </c>
      <c r="F20" s="37">
        <v>2499.9799999999996</v>
      </c>
      <c r="G20" s="39">
        <v>416.67</v>
      </c>
      <c r="H20" s="39">
        <v>416.67</v>
      </c>
      <c r="I20" s="39">
        <v>416.67</v>
      </c>
      <c r="J20" s="38">
        <f t="shared" si="0"/>
        <v>1249.9699999999993</v>
      </c>
      <c r="K20" s="65">
        <v>6</v>
      </c>
    </row>
    <row r="21" spans="1:12" s="65" customFormat="1" ht="10.5" x14ac:dyDescent="0.25">
      <c r="A21" s="42">
        <v>1191910</v>
      </c>
      <c r="B21" s="42" t="s">
        <v>28</v>
      </c>
      <c r="C21" s="35">
        <v>44197</v>
      </c>
      <c r="D21" s="35">
        <v>44561</v>
      </c>
      <c r="E21" s="83"/>
      <c r="F21" s="83">
        <v>10258.799999999999</v>
      </c>
      <c r="G21" s="39"/>
      <c r="H21" s="39"/>
      <c r="I21" s="38">
        <v>0</v>
      </c>
      <c r="J21" s="38">
        <f t="shared" ref="J21" si="1">SUM(F21-G21-H21-I21)</f>
        <v>10258.799999999999</v>
      </c>
      <c r="K21" s="65">
        <v>8</v>
      </c>
      <c r="L21" s="308"/>
    </row>
    <row r="22" spans="1:12" ht="12.6" x14ac:dyDescent="0.25">
      <c r="A22" s="54"/>
      <c r="B22" s="55"/>
      <c r="C22" s="55"/>
      <c r="D22" s="55"/>
      <c r="E22" s="56"/>
      <c r="F22" s="57">
        <f t="shared" ref="F22:I22" si="2">SUM(F14:F21)</f>
        <v>100161.78000000001</v>
      </c>
      <c r="G22" s="57">
        <f t="shared" si="2"/>
        <v>14928.730000000001</v>
      </c>
      <c r="H22" s="57">
        <f t="shared" si="2"/>
        <v>14928.710000000001</v>
      </c>
      <c r="I22" s="57">
        <f t="shared" si="2"/>
        <v>14584.07</v>
      </c>
      <c r="J22" s="57">
        <f>SUM(J14:J21)</f>
        <v>55720.270000000019</v>
      </c>
    </row>
    <row r="24" spans="1:12" ht="12.6" x14ac:dyDescent="0.25">
      <c r="J24" s="248">
        <f>J10+J22</f>
        <v>161618.41999999995</v>
      </c>
    </row>
    <row r="27" spans="1:12" ht="12.6" x14ac:dyDescent="0.25">
      <c r="B27" s="1">
        <v>1</v>
      </c>
      <c r="C27" s="247">
        <v>42803</v>
      </c>
      <c r="D27" s="1" t="s">
        <v>117</v>
      </c>
    </row>
    <row r="28" spans="1:12" ht="12.6" x14ac:dyDescent="0.25">
      <c r="B28" s="1">
        <v>5</v>
      </c>
      <c r="C28" s="247">
        <v>43983</v>
      </c>
      <c r="D28" s="1" t="s">
        <v>119</v>
      </c>
    </row>
    <row r="29" spans="1:12" ht="12.6" x14ac:dyDescent="0.25">
      <c r="B29" s="1">
        <v>2</v>
      </c>
      <c r="C29" s="247">
        <v>44013</v>
      </c>
      <c r="D29" s="1" t="s">
        <v>118</v>
      </c>
    </row>
    <row r="30" spans="1:12" ht="12.6" x14ac:dyDescent="0.25">
      <c r="B30" s="1">
        <v>3</v>
      </c>
      <c r="C30" s="247">
        <v>44013</v>
      </c>
      <c r="D30" s="1" t="s">
        <v>115</v>
      </c>
    </row>
    <row r="31" spans="1:12" ht="12.6" x14ac:dyDescent="0.25">
      <c r="B31" s="1">
        <v>6</v>
      </c>
      <c r="C31" s="247">
        <v>44013</v>
      </c>
      <c r="D31" s="1" t="s">
        <v>120</v>
      </c>
    </row>
    <row r="32" spans="1:12" ht="12.6" x14ac:dyDescent="0.25">
      <c r="B32" s="1">
        <v>7</v>
      </c>
      <c r="C32" s="247">
        <v>44013</v>
      </c>
      <c r="D32" s="1" t="s">
        <v>120</v>
      </c>
      <c r="I32" s="3" t="s">
        <v>369</v>
      </c>
    </row>
    <row r="33" spans="2:10" x14ac:dyDescent="0.2">
      <c r="B33" s="1">
        <v>4</v>
      </c>
      <c r="C33" s="247">
        <v>44122</v>
      </c>
      <c r="D33" s="1" t="s">
        <v>119</v>
      </c>
      <c r="I33" s="1" t="s">
        <v>365</v>
      </c>
    </row>
    <row r="34" spans="2:10" x14ac:dyDescent="0.2">
      <c r="B34" s="1">
        <v>8</v>
      </c>
      <c r="C34" s="247">
        <v>44197</v>
      </c>
      <c r="D34" s="1" t="s">
        <v>116</v>
      </c>
      <c r="I34" s="1" t="s">
        <v>368</v>
      </c>
    </row>
    <row r="35" spans="2:10" x14ac:dyDescent="0.2">
      <c r="C35" s="247"/>
      <c r="I35" s="1" t="s">
        <v>366</v>
      </c>
      <c r="J35" s="248"/>
    </row>
    <row r="36" spans="2:10" x14ac:dyDescent="0.2">
      <c r="I36" s="1" t="s">
        <v>367</v>
      </c>
    </row>
  </sheetData>
  <autoFilter ref="A3:J10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3"/>
  <sheetViews>
    <sheetView zoomScaleNormal="100" workbookViewId="0">
      <pane ySplit="3" topLeftCell="A4" activePane="bottomLeft" state="frozen"/>
      <selection pane="bottomLeft" activeCell="P40" sqref="P40"/>
    </sheetView>
  </sheetViews>
  <sheetFormatPr defaultRowHeight="15" x14ac:dyDescent="0.25"/>
  <cols>
    <col min="1" max="3" width="8.7109375" style="85"/>
    <col min="4" max="4" width="22.42578125" style="85" customWidth="1"/>
    <col min="5" max="5" width="8.7109375" style="85"/>
    <col min="6" max="6" width="12.42578125" style="85" customWidth="1"/>
    <col min="7" max="7" width="8.42578125" style="85" bestFit="1" customWidth="1"/>
    <col min="8" max="8" width="10.28515625" style="85" bestFit="1" customWidth="1"/>
    <col min="9" max="9" width="15.140625" style="86" customWidth="1"/>
    <col min="10" max="10" width="17.140625" style="87" customWidth="1"/>
    <col min="11" max="11" width="16.5703125" style="87" customWidth="1"/>
    <col min="12" max="12" width="10.7109375" style="88" customWidth="1"/>
    <col min="13" max="13" width="14.28515625" style="87" customWidth="1"/>
    <col min="14" max="14" width="17.85546875" style="86" customWidth="1"/>
    <col min="15" max="15" width="16.42578125" style="86" customWidth="1"/>
    <col min="16" max="16" width="11.5703125" style="88" customWidth="1"/>
    <col min="17" max="17" width="11.28515625" style="85" bestFit="1" customWidth="1"/>
    <col min="18" max="18" width="9.140625" style="151" customWidth="1"/>
    <col min="19" max="20" width="9.140625" style="152" customWidth="1"/>
    <col min="21" max="21" width="11.28515625" style="153" bestFit="1" customWidth="1"/>
    <col min="22" max="22" width="11.85546875" style="153" bestFit="1" customWidth="1"/>
    <col min="23" max="23" width="11.28515625" style="153" bestFit="1" customWidth="1"/>
    <col min="24" max="27" width="8.7109375" style="85"/>
    <col min="28" max="28" width="9.85546875" style="154" bestFit="1" customWidth="1"/>
    <col min="29" max="30" width="9.28515625" style="154" bestFit="1" customWidth="1"/>
    <col min="31" max="259" width="8.7109375" style="85"/>
    <col min="260" max="260" width="22.42578125" style="85" customWidth="1"/>
    <col min="261" max="261" width="8.7109375" style="85"/>
    <col min="262" max="262" width="12.42578125" style="85" customWidth="1"/>
    <col min="263" max="263" width="8.42578125" style="85" bestFit="1" customWidth="1"/>
    <col min="264" max="264" width="10.28515625" style="85" bestFit="1" customWidth="1"/>
    <col min="265" max="265" width="15.140625" style="85" customWidth="1"/>
    <col min="266" max="266" width="17.140625" style="85" customWidth="1"/>
    <col min="267" max="267" width="16.5703125" style="85" customWidth="1"/>
    <col min="268" max="268" width="10.7109375" style="85" customWidth="1"/>
    <col min="269" max="269" width="14.28515625" style="85" customWidth="1"/>
    <col min="270" max="270" width="17.85546875" style="85" customWidth="1"/>
    <col min="271" max="271" width="16.42578125" style="85" customWidth="1"/>
    <col min="272" max="272" width="11.5703125" style="85" customWidth="1"/>
    <col min="273" max="273" width="11.28515625" style="85" bestFit="1" customWidth="1"/>
    <col min="274" max="276" width="9.140625" style="85" customWidth="1"/>
    <col min="277" max="277" width="11.28515625" style="85" bestFit="1" customWidth="1"/>
    <col min="278" max="278" width="11.85546875" style="85" bestFit="1" customWidth="1"/>
    <col min="279" max="279" width="11.28515625" style="85" bestFit="1" customWidth="1"/>
    <col min="280" max="283" width="8.7109375" style="85"/>
    <col min="284" max="284" width="9.85546875" style="85" bestFit="1" customWidth="1"/>
    <col min="285" max="286" width="9.28515625" style="85" bestFit="1" customWidth="1"/>
    <col min="287" max="515" width="8.7109375" style="85"/>
    <col min="516" max="516" width="22.42578125" style="85" customWidth="1"/>
    <col min="517" max="517" width="8.7109375" style="85"/>
    <col min="518" max="518" width="12.42578125" style="85" customWidth="1"/>
    <col min="519" max="519" width="8.42578125" style="85" bestFit="1" customWidth="1"/>
    <col min="520" max="520" width="10.28515625" style="85" bestFit="1" customWidth="1"/>
    <col min="521" max="521" width="15.140625" style="85" customWidth="1"/>
    <col min="522" max="522" width="17.140625" style="85" customWidth="1"/>
    <col min="523" max="523" width="16.5703125" style="85" customWidth="1"/>
    <col min="524" max="524" width="10.7109375" style="85" customWidth="1"/>
    <col min="525" max="525" width="14.28515625" style="85" customWidth="1"/>
    <col min="526" max="526" width="17.85546875" style="85" customWidth="1"/>
    <col min="527" max="527" width="16.42578125" style="85" customWidth="1"/>
    <col min="528" max="528" width="11.5703125" style="85" customWidth="1"/>
    <col min="529" max="529" width="11.28515625" style="85" bestFit="1" customWidth="1"/>
    <col min="530" max="532" width="9.140625" style="85" customWidth="1"/>
    <col min="533" max="533" width="11.28515625" style="85" bestFit="1" customWidth="1"/>
    <col min="534" max="534" width="11.85546875" style="85" bestFit="1" customWidth="1"/>
    <col min="535" max="535" width="11.28515625" style="85" bestFit="1" customWidth="1"/>
    <col min="536" max="539" width="8.7109375" style="85"/>
    <col min="540" max="540" width="9.85546875" style="85" bestFit="1" customWidth="1"/>
    <col min="541" max="542" width="9.28515625" style="85" bestFit="1" customWidth="1"/>
    <col min="543" max="771" width="8.7109375" style="85"/>
    <col min="772" max="772" width="22.42578125" style="85" customWidth="1"/>
    <col min="773" max="773" width="8.7109375" style="85"/>
    <col min="774" max="774" width="12.42578125" style="85" customWidth="1"/>
    <col min="775" max="775" width="8.42578125" style="85" bestFit="1" customWidth="1"/>
    <col min="776" max="776" width="10.28515625" style="85" bestFit="1" customWidth="1"/>
    <col min="777" max="777" width="15.140625" style="85" customWidth="1"/>
    <col min="778" max="778" width="17.140625" style="85" customWidth="1"/>
    <col min="779" max="779" width="16.5703125" style="85" customWidth="1"/>
    <col min="780" max="780" width="10.7109375" style="85" customWidth="1"/>
    <col min="781" max="781" width="14.28515625" style="85" customWidth="1"/>
    <col min="782" max="782" width="17.85546875" style="85" customWidth="1"/>
    <col min="783" max="783" width="16.42578125" style="85" customWidth="1"/>
    <col min="784" max="784" width="11.5703125" style="85" customWidth="1"/>
    <col min="785" max="785" width="11.28515625" style="85" bestFit="1" customWidth="1"/>
    <col min="786" max="788" width="9.140625" style="85" customWidth="1"/>
    <col min="789" max="789" width="11.28515625" style="85" bestFit="1" customWidth="1"/>
    <col min="790" max="790" width="11.85546875" style="85" bestFit="1" customWidth="1"/>
    <col min="791" max="791" width="11.28515625" style="85" bestFit="1" customWidth="1"/>
    <col min="792" max="795" width="8.7109375" style="85"/>
    <col min="796" max="796" width="9.85546875" style="85" bestFit="1" customWidth="1"/>
    <col min="797" max="798" width="9.28515625" style="85" bestFit="1" customWidth="1"/>
    <col min="799" max="1027" width="8.7109375" style="85"/>
    <col min="1028" max="1028" width="22.42578125" style="85" customWidth="1"/>
    <col min="1029" max="1029" width="8.7109375" style="85"/>
    <col min="1030" max="1030" width="12.42578125" style="85" customWidth="1"/>
    <col min="1031" max="1031" width="8.42578125" style="85" bestFit="1" customWidth="1"/>
    <col min="1032" max="1032" width="10.28515625" style="85" bestFit="1" customWidth="1"/>
    <col min="1033" max="1033" width="15.140625" style="85" customWidth="1"/>
    <col min="1034" max="1034" width="17.140625" style="85" customWidth="1"/>
    <col min="1035" max="1035" width="16.5703125" style="85" customWidth="1"/>
    <col min="1036" max="1036" width="10.7109375" style="85" customWidth="1"/>
    <col min="1037" max="1037" width="14.28515625" style="85" customWidth="1"/>
    <col min="1038" max="1038" width="17.85546875" style="85" customWidth="1"/>
    <col min="1039" max="1039" width="16.42578125" style="85" customWidth="1"/>
    <col min="1040" max="1040" width="11.5703125" style="85" customWidth="1"/>
    <col min="1041" max="1041" width="11.28515625" style="85" bestFit="1" customWidth="1"/>
    <col min="1042" max="1044" width="9.140625" style="85" customWidth="1"/>
    <col min="1045" max="1045" width="11.28515625" style="85" bestFit="1" customWidth="1"/>
    <col min="1046" max="1046" width="11.85546875" style="85" bestFit="1" customWidth="1"/>
    <col min="1047" max="1047" width="11.28515625" style="85" bestFit="1" customWidth="1"/>
    <col min="1048" max="1051" width="8.7109375" style="85"/>
    <col min="1052" max="1052" width="9.85546875" style="85" bestFit="1" customWidth="1"/>
    <col min="1053" max="1054" width="9.28515625" style="85" bestFit="1" customWidth="1"/>
    <col min="1055" max="1283" width="8.7109375" style="85"/>
    <col min="1284" max="1284" width="22.42578125" style="85" customWidth="1"/>
    <col min="1285" max="1285" width="8.7109375" style="85"/>
    <col min="1286" max="1286" width="12.42578125" style="85" customWidth="1"/>
    <col min="1287" max="1287" width="8.42578125" style="85" bestFit="1" customWidth="1"/>
    <col min="1288" max="1288" width="10.28515625" style="85" bestFit="1" customWidth="1"/>
    <col min="1289" max="1289" width="15.140625" style="85" customWidth="1"/>
    <col min="1290" max="1290" width="17.140625" style="85" customWidth="1"/>
    <col min="1291" max="1291" width="16.5703125" style="85" customWidth="1"/>
    <col min="1292" max="1292" width="10.7109375" style="85" customWidth="1"/>
    <col min="1293" max="1293" width="14.28515625" style="85" customWidth="1"/>
    <col min="1294" max="1294" width="17.85546875" style="85" customWidth="1"/>
    <col min="1295" max="1295" width="16.42578125" style="85" customWidth="1"/>
    <col min="1296" max="1296" width="11.5703125" style="85" customWidth="1"/>
    <col min="1297" max="1297" width="11.28515625" style="85" bestFit="1" customWidth="1"/>
    <col min="1298" max="1300" width="9.140625" style="85" customWidth="1"/>
    <col min="1301" max="1301" width="11.28515625" style="85" bestFit="1" customWidth="1"/>
    <col min="1302" max="1302" width="11.85546875" style="85" bestFit="1" customWidth="1"/>
    <col min="1303" max="1303" width="11.28515625" style="85" bestFit="1" customWidth="1"/>
    <col min="1304" max="1307" width="8.7109375" style="85"/>
    <col min="1308" max="1308" width="9.85546875" style="85" bestFit="1" customWidth="1"/>
    <col min="1309" max="1310" width="9.28515625" style="85" bestFit="1" customWidth="1"/>
    <col min="1311" max="1539" width="8.7109375" style="85"/>
    <col min="1540" max="1540" width="22.42578125" style="85" customWidth="1"/>
    <col min="1541" max="1541" width="8.7109375" style="85"/>
    <col min="1542" max="1542" width="12.42578125" style="85" customWidth="1"/>
    <col min="1543" max="1543" width="8.42578125" style="85" bestFit="1" customWidth="1"/>
    <col min="1544" max="1544" width="10.28515625" style="85" bestFit="1" customWidth="1"/>
    <col min="1545" max="1545" width="15.140625" style="85" customWidth="1"/>
    <col min="1546" max="1546" width="17.140625" style="85" customWidth="1"/>
    <col min="1547" max="1547" width="16.5703125" style="85" customWidth="1"/>
    <col min="1548" max="1548" width="10.7109375" style="85" customWidth="1"/>
    <col min="1549" max="1549" width="14.28515625" style="85" customWidth="1"/>
    <col min="1550" max="1550" width="17.85546875" style="85" customWidth="1"/>
    <col min="1551" max="1551" width="16.42578125" style="85" customWidth="1"/>
    <col min="1552" max="1552" width="11.5703125" style="85" customWidth="1"/>
    <col min="1553" max="1553" width="11.28515625" style="85" bestFit="1" customWidth="1"/>
    <col min="1554" max="1556" width="9.140625" style="85" customWidth="1"/>
    <col min="1557" max="1557" width="11.28515625" style="85" bestFit="1" customWidth="1"/>
    <col min="1558" max="1558" width="11.85546875" style="85" bestFit="1" customWidth="1"/>
    <col min="1559" max="1559" width="11.28515625" style="85" bestFit="1" customWidth="1"/>
    <col min="1560" max="1563" width="8.7109375" style="85"/>
    <col min="1564" max="1564" width="9.85546875" style="85" bestFit="1" customWidth="1"/>
    <col min="1565" max="1566" width="9.28515625" style="85" bestFit="1" customWidth="1"/>
    <col min="1567" max="1795" width="8.7109375" style="85"/>
    <col min="1796" max="1796" width="22.42578125" style="85" customWidth="1"/>
    <col min="1797" max="1797" width="8.7109375" style="85"/>
    <col min="1798" max="1798" width="12.42578125" style="85" customWidth="1"/>
    <col min="1799" max="1799" width="8.42578125" style="85" bestFit="1" customWidth="1"/>
    <col min="1800" max="1800" width="10.28515625" style="85" bestFit="1" customWidth="1"/>
    <col min="1801" max="1801" width="15.140625" style="85" customWidth="1"/>
    <col min="1802" max="1802" width="17.140625" style="85" customWidth="1"/>
    <col min="1803" max="1803" width="16.5703125" style="85" customWidth="1"/>
    <col min="1804" max="1804" width="10.7109375" style="85" customWidth="1"/>
    <col min="1805" max="1805" width="14.28515625" style="85" customWidth="1"/>
    <col min="1806" max="1806" width="17.85546875" style="85" customWidth="1"/>
    <col min="1807" max="1807" width="16.42578125" style="85" customWidth="1"/>
    <col min="1808" max="1808" width="11.5703125" style="85" customWidth="1"/>
    <col min="1809" max="1809" width="11.28515625" style="85" bestFit="1" customWidth="1"/>
    <col min="1810" max="1812" width="9.140625" style="85" customWidth="1"/>
    <col min="1813" max="1813" width="11.28515625" style="85" bestFit="1" customWidth="1"/>
    <col min="1814" max="1814" width="11.85546875" style="85" bestFit="1" customWidth="1"/>
    <col min="1815" max="1815" width="11.28515625" style="85" bestFit="1" customWidth="1"/>
    <col min="1816" max="1819" width="8.7109375" style="85"/>
    <col min="1820" max="1820" width="9.85546875" style="85" bestFit="1" customWidth="1"/>
    <col min="1821" max="1822" width="9.28515625" style="85" bestFit="1" customWidth="1"/>
    <col min="1823" max="2051" width="8.7109375" style="85"/>
    <col min="2052" max="2052" width="22.42578125" style="85" customWidth="1"/>
    <col min="2053" max="2053" width="8.7109375" style="85"/>
    <col min="2054" max="2054" width="12.42578125" style="85" customWidth="1"/>
    <col min="2055" max="2055" width="8.42578125" style="85" bestFit="1" customWidth="1"/>
    <col min="2056" max="2056" width="10.28515625" style="85" bestFit="1" customWidth="1"/>
    <col min="2057" max="2057" width="15.140625" style="85" customWidth="1"/>
    <col min="2058" max="2058" width="17.140625" style="85" customWidth="1"/>
    <col min="2059" max="2059" width="16.5703125" style="85" customWidth="1"/>
    <col min="2060" max="2060" width="10.7109375" style="85" customWidth="1"/>
    <col min="2061" max="2061" width="14.28515625" style="85" customWidth="1"/>
    <col min="2062" max="2062" width="17.85546875" style="85" customWidth="1"/>
    <col min="2063" max="2063" width="16.42578125" style="85" customWidth="1"/>
    <col min="2064" max="2064" width="11.5703125" style="85" customWidth="1"/>
    <col min="2065" max="2065" width="11.28515625" style="85" bestFit="1" customWidth="1"/>
    <col min="2066" max="2068" width="9.140625" style="85" customWidth="1"/>
    <col min="2069" max="2069" width="11.28515625" style="85" bestFit="1" customWidth="1"/>
    <col min="2070" max="2070" width="11.85546875" style="85" bestFit="1" customWidth="1"/>
    <col min="2071" max="2071" width="11.28515625" style="85" bestFit="1" customWidth="1"/>
    <col min="2072" max="2075" width="8.7109375" style="85"/>
    <col min="2076" max="2076" width="9.85546875" style="85" bestFit="1" customWidth="1"/>
    <col min="2077" max="2078" width="9.28515625" style="85" bestFit="1" customWidth="1"/>
    <col min="2079" max="2307" width="8.7109375" style="85"/>
    <col min="2308" max="2308" width="22.42578125" style="85" customWidth="1"/>
    <col min="2309" max="2309" width="8.7109375" style="85"/>
    <col min="2310" max="2310" width="12.42578125" style="85" customWidth="1"/>
    <col min="2311" max="2311" width="8.42578125" style="85" bestFit="1" customWidth="1"/>
    <col min="2312" max="2312" width="10.28515625" style="85" bestFit="1" customWidth="1"/>
    <col min="2313" max="2313" width="15.140625" style="85" customWidth="1"/>
    <col min="2314" max="2314" width="17.140625" style="85" customWidth="1"/>
    <col min="2315" max="2315" width="16.5703125" style="85" customWidth="1"/>
    <col min="2316" max="2316" width="10.7109375" style="85" customWidth="1"/>
    <col min="2317" max="2317" width="14.28515625" style="85" customWidth="1"/>
    <col min="2318" max="2318" width="17.85546875" style="85" customWidth="1"/>
    <col min="2319" max="2319" width="16.42578125" style="85" customWidth="1"/>
    <col min="2320" max="2320" width="11.5703125" style="85" customWidth="1"/>
    <col min="2321" max="2321" width="11.28515625" style="85" bestFit="1" customWidth="1"/>
    <col min="2322" max="2324" width="9.140625" style="85" customWidth="1"/>
    <col min="2325" max="2325" width="11.28515625" style="85" bestFit="1" customWidth="1"/>
    <col min="2326" max="2326" width="11.85546875" style="85" bestFit="1" customWidth="1"/>
    <col min="2327" max="2327" width="11.28515625" style="85" bestFit="1" customWidth="1"/>
    <col min="2328" max="2331" width="8.7109375" style="85"/>
    <col min="2332" max="2332" width="9.85546875" style="85" bestFit="1" customWidth="1"/>
    <col min="2333" max="2334" width="9.28515625" style="85" bestFit="1" customWidth="1"/>
    <col min="2335" max="2563" width="8.7109375" style="85"/>
    <col min="2564" max="2564" width="22.42578125" style="85" customWidth="1"/>
    <col min="2565" max="2565" width="8.7109375" style="85"/>
    <col min="2566" max="2566" width="12.42578125" style="85" customWidth="1"/>
    <col min="2567" max="2567" width="8.42578125" style="85" bestFit="1" customWidth="1"/>
    <col min="2568" max="2568" width="10.28515625" style="85" bestFit="1" customWidth="1"/>
    <col min="2569" max="2569" width="15.140625" style="85" customWidth="1"/>
    <col min="2570" max="2570" width="17.140625" style="85" customWidth="1"/>
    <col min="2571" max="2571" width="16.5703125" style="85" customWidth="1"/>
    <col min="2572" max="2572" width="10.7109375" style="85" customWidth="1"/>
    <col min="2573" max="2573" width="14.28515625" style="85" customWidth="1"/>
    <col min="2574" max="2574" width="17.85546875" style="85" customWidth="1"/>
    <col min="2575" max="2575" width="16.42578125" style="85" customWidth="1"/>
    <col min="2576" max="2576" width="11.5703125" style="85" customWidth="1"/>
    <col min="2577" max="2577" width="11.28515625" style="85" bestFit="1" customWidth="1"/>
    <col min="2578" max="2580" width="9.140625" style="85" customWidth="1"/>
    <col min="2581" max="2581" width="11.28515625" style="85" bestFit="1" customWidth="1"/>
    <col min="2582" max="2582" width="11.85546875" style="85" bestFit="1" customWidth="1"/>
    <col min="2583" max="2583" width="11.28515625" style="85" bestFit="1" customWidth="1"/>
    <col min="2584" max="2587" width="8.7109375" style="85"/>
    <col min="2588" max="2588" width="9.85546875" style="85" bestFit="1" customWidth="1"/>
    <col min="2589" max="2590" width="9.28515625" style="85" bestFit="1" customWidth="1"/>
    <col min="2591" max="2819" width="8.7109375" style="85"/>
    <col min="2820" max="2820" width="22.42578125" style="85" customWidth="1"/>
    <col min="2821" max="2821" width="8.7109375" style="85"/>
    <col min="2822" max="2822" width="12.42578125" style="85" customWidth="1"/>
    <col min="2823" max="2823" width="8.42578125" style="85" bestFit="1" customWidth="1"/>
    <col min="2824" max="2824" width="10.28515625" style="85" bestFit="1" customWidth="1"/>
    <col min="2825" max="2825" width="15.140625" style="85" customWidth="1"/>
    <col min="2826" max="2826" width="17.140625" style="85" customWidth="1"/>
    <col min="2827" max="2827" width="16.5703125" style="85" customWidth="1"/>
    <col min="2828" max="2828" width="10.7109375" style="85" customWidth="1"/>
    <col min="2829" max="2829" width="14.28515625" style="85" customWidth="1"/>
    <col min="2830" max="2830" width="17.85546875" style="85" customWidth="1"/>
    <col min="2831" max="2831" width="16.42578125" style="85" customWidth="1"/>
    <col min="2832" max="2832" width="11.5703125" style="85" customWidth="1"/>
    <col min="2833" max="2833" width="11.28515625" style="85" bestFit="1" customWidth="1"/>
    <col min="2834" max="2836" width="9.140625" style="85" customWidth="1"/>
    <col min="2837" max="2837" width="11.28515625" style="85" bestFit="1" customWidth="1"/>
    <col min="2838" max="2838" width="11.85546875" style="85" bestFit="1" customWidth="1"/>
    <col min="2839" max="2839" width="11.28515625" style="85" bestFit="1" customWidth="1"/>
    <col min="2840" max="2843" width="8.7109375" style="85"/>
    <col min="2844" max="2844" width="9.85546875" style="85" bestFit="1" customWidth="1"/>
    <col min="2845" max="2846" width="9.28515625" style="85" bestFit="1" customWidth="1"/>
    <col min="2847" max="3075" width="8.7109375" style="85"/>
    <col min="3076" max="3076" width="22.42578125" style="85" customWidth="1"/>
    <col min="3077" max="3077" width="8.7109375" style="85"/>
    <col min="3078" max="3078" width="12.42578125" style="85" customWidth="1"/>
    <col min="3079" max="3079" width="8.42578125" style="85" bestFit="1" customWidth="1"/>
    <col min="3080" max="3080" width="10.28515625" style="85" bestFit="1" customWidth="1"/>
    <col min="3081" max="3081" width="15.140625" style="85" customWidth="1"/>
    <col min="3082" max="3082" width="17.140625" style="85" customWidth="1"/>
    <col min="3083" max="3083" width="16.5703125" style="85" customWidth="1"/>
    <col min="3084" max="3084" width="10.7109375" style="85" customWidth="1"/>
    <col min="3085" max="3085" width="14.28515625" style="85" customWidth="1"/>
    <col min="3086" max="3086" width="17.85546875" style="85" customWidth="1"/>
    <col min="3087" max="3087" width="16.42578125" style="85" customWidth="1"/>
    <col min="3088" max="3088" width="11.5703125" style="85" customWidth="1"/>
    <col min="3089" max="3089" width="11.28515625" style="85" bestFit="1" customWidth="1"/>
    <col min="3090" max="3092" width="9.140625" style="85" customWidth="1"/>
    <col min="3093" max="3093" width="11.28515625" style="85" bestFit="1" customWidth="1"/>
    <col min="3094" max="3094" width="11.85546875" style="85" bestFit="1" customWidth="1"/>
    <col min="3095" max="3095" width="11.28515625" style="85" bestFit="1" customWidth="1"/>
    <col min="3096" max="3099" width="8.7109375" style="85"/>
    <col min="3100" max="3100" width="9.85546875" style="85" bestFit="1" customWidth="1"/>
    <col min="3101" max="3102" width="9.28515625" style="85" bestFit="1" customWidth="1"/>
    <col min="3103" max="3331" width="8.7109375" style="85"/>
    <col min="3332" max="3332" width="22.42578125" style="85" customWidth="1"/>
    <col min="3333" max="3333" width="8.7109375" style="85"/>
    <col min="3334" max="3334" width="12.42578125" style="85" customWidth="1"/>
    <col min="3335" max="3335" width="8.42578125" style="85" bestFit="1" customWidth="1"/>
    <col min="3336" max="3336" width="10.28515625" style="85" bestFit="1" customWidth="1"/>
    <col min="3337" max="3337" width="15.140625" style="85" customWidth="1"/>
    <col min="3338" max="3338" width="17.140625" style="85" customWidth="1"/>
    <col min="3339" max="3339" width="16.5703125" style="85" customWidth="1"/>
    <col min="3340" max="3340" width="10.7109375" style="85" customWidth="1"/>
    <col min="3341" max="3341" width="14.28515625" style="85" customWidth="1"/>
    <col min="3342" max="3342" width="17.85546875" style="85" customWidth="1"/>
    <col min="3343" max="3343" width="16.42578125" style="85" customWidth="1"/>
    <col min="3344" max="3344" width="11.5703125" style="85" customWidth="1"/>
    <col min="3345" max="3345" width="11.28515625" style="85" bestFit="1" customWidth="1"/>
    <col min="3346" max="3348" width="9.140625" style="85" customWidth="1"/>
    <col min="3349" max="3349" width="11.28515625" style="85" bestFit="1" customWidth="1"/>
    <col min="3350" max="3350" width="11.85546875" style="85" bestFit="1" customWidth="1"/>
    <col min="3351" max="3351" width="11.28515625" style="85" bestFit="1" customWidth="1"/>
    <col min="3352" max="3355" width="8.7109375" style="85"/>
    <col min="3356" max="3356" width="9.85546875" style="85" bestFit="1" customWidth="1"/>
    <col min="3357" max="3358" width="9.28515625" style="85" bestFit="1" customWidth="1"/>
    <col min="3359" max="3587" width="8.7109375" style="85"/>
    <col min="3588" max="3588" width="22.42578125" style="85" customWidth="1"/>
    <col min="3589" max="3589" width="8.7109375" style="85"/>
    <col min="3590" max="3590" width="12.42578125" style="85" customWidth="1"/>
    <col min="3591" max="3591" width="8.42578125" style="85" bestFit="1" customWidth="1"/>
    <col min="3592" max="3592" width="10.28515625" style="85" bestFit="1" customWidth="1"/>
    <col min="3593" max="3593" width="15.140625" style="85" customWidth="1"/>
    <col min="3594" max="3594" width="17.140625" style="85" customWidth="1"/>
    <col min="3595" max="3595" width="16.5703125" style="85" customWidth="1"/>
    <col min="3596" max="3596" width="10.7109375" style="85" customWidth="1"/>
    <col min="3597" max="3597" width="14.28515625" style="85" customWidth="1"/>
    <col min="3598" max="3598" width="17.85546875" style="85" customWidth="1"/>
    <col min="3599" max="3599" width="16.42578125" style="85" customWidth="1"/>
    <col min="3600" max="3600" width="11.5703125" style="85" customWidth="1"/>
    <col min="3601" max="3601" width="11.28515625" style="85" bestFit="1" customWidth="1"/>
    <col min="3602" max="3604" width="9.140625" style="85" customWidth="1"/>
    <col min="3605" max="3605" width="11.28515625" style="85" bestFit="1" customWidth="1"/>
    <col min="3606" max="3606" width="11.85546875" style="85" bestFit="1" customWidth="1"/>
    <col min="3607" max="3607" width="11.28515625" style="85" bestFit="1" customWidth="1"/>
    <col min="3608" max="3611" width="8.7109375" style="85"/>
    <col min="3612" max="3612" width="9.85546875" style="85" bestFit="1" customWidth="1"/>
    <col min="3613" max="3614" width="9.28515625" style="85" bestFit="1" customWidth="1"/>
    <col min="3615" max="3843" width="8.7109375" style="85"/>
    <col min="3844" max="3844" width="22.42578125" style="85" customWidth="1"/>
    <col min="3845" max="3845" width="8.7109375" style="85"/>
    <col min="3846" max="3846" width="12.42578125" style="85" customWidth="1"/>
    <col min="3847" max="3847" width="8.42578125" style="85" bestFit="1" customWidth="1"/>
    <col min="3848" max="3848" width="10.28515625" style="85" bestFit="1" customWidth="1"/>
    <col min="3849" max="3849" width="15.140625" style="85" customWidth="1"/>
    <col min="3850" max="3850" width="17.140625" style="85" customWidth="1"/>
    <col min="3851" max="3851" width="16.5703125" style="85" customWidth="1"/>
    <col min="3852" max="3852" width="10.7109375" style="85" customWidth="1"/>
    <col min="3853" max="3853" width="14.28515625" style="85" customWidth="1"/>
    <col min="3854" max="3854" width="17.85546875" style="85" customWidth="1"/>
    <col min="3855" max="3855" width="16.42578125" style="85" customWidth="1"/>
    <col min="3856" max="3856" width="11.5703125" style="85" customWidth="1"/>
    <col min="3857" max="3857" width="11.28515625" style="85" bestFit="1" customWidth="1"/>
    <col min="3858" max="3860" width="9.140625" style="85" customWidth="1"/>
    <col min="3861" max="3861" width="11.28515625" style="85" bestFit="1" customWidth="1"/>
    <col min="3862" max="3862" width="11.85546875" style="85" bestFit="1" customWidth="1"/>
    <col min="3863" max="3863" width="11.28515625" style="85" bestFit="1" customWidth="1"/>
    <col min="3864" max="3867" width="8.7109375" style="85"/>
    <col min="3868" max="3868" width="9.85546875" style="85" bestFit="1" customWidth="1"/>
    <col min="3869" max="3870" width="9.28515625" style="85" bestFit="1" customWidth="1"/>
    <col min="3871" max="4099" width="8.7109375" style="85"/>
    <col min="4100" max="4100" width="22.42578125" style="85" customWidth="1"/>
    <col min="4101" max="4101" width="8.7109375" style="85"/>
    <col min="4102" max="4102" width="12.42578125" style="85" customWidth="1"/>
    <col min="4103" max="4103" width="8.42578125" style="85" bestFit="1" customWidth="1"/>
    <col min="4104" max="4104" width="10.28515625" style="85" bestFit="1" customWidth="1"/>
    <col min="4105" max="4105" width="15.140625" style="85" customWidth="1"/>
    <col min="4106" max="4106" width="17.140625" style="85" customWidth="1"/>
    <col min="4107" max="4107" width="16.5703125" style="85" customWidth="1"/>
    <col min="4108" max="4108" width="10.7109375" style="85" customWidth="1"/>
    <col min="4109" max="4109" width="14.28515625" style="85" customWidth="1"/>
    <col min="4110" max="4110" width="17.85546875" style="85" customWidth="1"/>
    <col min="4111" max="4111" width="16.42578125" style="85" customWidth="1"/>
    <col min="4112" max="4112" width="11.5703125" style="85" customWidth="1"/>
    <col min="4113" max="4113" width="11.28515625" style="85" bestFit="1" customWidth="1"/>
    <col min="4114" max="4116" width="9.140625" style="85" customWidth="1"/>
    <col min="4117" max="4117" width="11.28515625" style="85" bestFit="1" customWidth="1"/>
    <col min="4118" max="4118" width="11.85546875" style="85" bestFit="1" customWidth="1"/>
    <col min="4119" max="4119" width="11.28515625" style="85" bestFit="1" customWidth="1"/>
    <col min="4120" max="4123" width="8.7109375" style="85"/>
    <col min="4124" max="4124" width="9.85546875" style="85" bestFit="1" customWidth="1"/>
    <col min="4125" max="4126" width="9.28515625" style="85" bestFit="1" customWidth="1"/>
    <col min="4127" max="4355" width="8.7109375" style="85"/>
    <col min="4356" max="4356" width="22.42578125" style="85" customWidth="1"/>
    <col min="4357" max="4357" width="8.7109375" style="85"/>
    <col min="4358" max="4358" width="12.42578125" style="85" customWidth="1"/>
    <col min="4359" max="4359" width="8.42578125" style="85" bestFit="1" customWidth="1"/>
    <col min="4360" max="4360" width="10.28515625" style="85" bestFit="1" customWidth="1"/>
    <col min="4361" max="4361" width="15.140625" style="85" customWidth="1"/>
    <col min="4362" max="4362" width="17.140625" style="85" customWidth="1"/>
    <col min="4363" max="4363" width="16.5703125" style="85" customWidth="1"/>
    <col min="4364" max="4364" width="10.7109375" style="85" customWidth="1"/>
    <col min="4365" max="4365" width="14.28515625" style="85" customWidth="1"/>
    <col min="4366" max="4366" width="17.85546875" style="85" customWidth="1"/>
    <col min="4367" max="4367" width="16.42578125" style="85" customWidth="1"/>
    <col min="4368" max="4368" width="11.5703125" style="85" customWidth="1"/>
    <col min="4369" max="4369" width="11.28515625" style="85" bestFit="1" customWidth="1"/>
    <col min="4370" max="4372" width="9.140625" style="85" customWidth="1"/>
    <col min="4373" max="4373" width="11.28515625" style="85" bestFit="1" customWidth="1"/>
    <col min="4374" max="4374" width="11.85546875" style="85" bestFit="1" customWidth="1"/>
    <col min="4375" max="4375" width="11.28515625" style="85" bestFit="1" customWidth="1"/>
    <col min="4376" max="4379" width="8.7109375" style="85"/>
    <col min="4380" max="4380" width="9.85546875" style="85" bestFit="1" customWidth="1"/>
    <col min="4381" max="4382" width="9.28515625" style="85" bestFit="1" customWidth="1"/>
    <col min="4383" max="4611" width="8.7109375" style="85"/>
    <col min="4612" max="4612" width="22.42578125" style="85" customWidth="1"/>
    <col min="4613" max="4613" width="8.7109375" style="85"/>
    <col min="4614" max="4614" width="12.42578125" style="85" customWidth="1"/>
    <col min="4615" max="4615" width="8.42578125" style="85" bestFit="1" customWidth="1"/>
    <col min="4616" max="4616" width="10.28515625" style="85" bestFit="1" customWidth="1"/>
    <col min="4617" max="4617" width="15.140625" style="85" customWidth="1"/>
    <col min="4618" max="4618" width="17.140625" style="85" customWidth="1"/>
    <col min="4619" max="4619" width="16.5703125" style="85" customWidth="1"/>
    <col min="4620" max="4620" width="10.7109375" style="85" customWidth="1"/>
    <col min="4621" max="4621" width="14.28515625" style="85" customWidth="1"/>
    <col min="4622" max="4622" width="17.85546875" style="85" customWidth="1"/>
    <col min="4623" max="4623" width="16.42578125" style="85" customWidth="1"/>
    <col min="4624" max="4624" width="11.5703125" style="85" customWidth="1"/>
    <col min="4625" max="4625" width="11.28515625" style="85" bestFit="1" customWidth="1"/>
    <col min="4626" max="4628" width="9.140625" style="85" customWidth="1"/>
    <col min="4629" max="4629" width="11.28515625" style="85" bestFit="1" customWidth="1"/>
    <col min="4630" max="4630" width="11.85546875" style="85" bestFit="1" customWidth="1"/>
    <col min="4631" max="4631" width="11.28515625" style="85" bestFit="1" customWidth="1"/>
    <col min="4632" max="4635" width="8.7109375" style="85"/>
    <col min="4636" max="4636" width="9.85546875" style="85" bestFit="1" customWidth="1"/>
    <col min="4637" max="4638" width="9.28515625" style="85" bestFit="1" customWidth="1"/>
    <col min="4639" max="4867" width="8.7109375" style="85"/>
    <col min="4868" max="4868" width="22.42578125" style="85" customWidth="1"/>
    <col min="4869" max="4869" width="8.7109375" style="85"/>
    <col min="4870" max="4870" width="12.42578125" style="85" customWidth="1"/>
    <col min="4871" max="4871" width="8.42578125" style="85" bestFit="1" customWidth="1"/>
    <col min="4872" max="4872" width="10.28515625" style="85" bestFit="1" customWidth="1"/>
    <col min="4873" max="4873" width="15.140625" style="85" customWidth="1"/>
    <col min="4874" max="4874" width="17.140625" style="85" customWidth="1"/>
    <col min="4875" max="4875" width="16.5703125" style="85" customWidth="1"/>
    <col min="4876" max="4876" width="10.7109375" style="85" customWidth="1"/>
    <col min="4877" max="4877" width="14.28515625" style="85" customWidth="1"/>
    <col min="4878" max="4878" width="17.85546875" style="85" customWidth="1"/>
    <col min="4879" max="4879" width="16.42578125" style="85" customWidth="1"/>
    <col min="4880" max="4880" width="11.5703125" style="85" customWidth="1"/>
    <col min="4881" max="4881" width="11.28515625" style="85" bestFit="1" customWidth="1"/>
    <col min="4882" max="4884" width="9.140625" style="85" customWidth="1"/>
    <col min="4885" max="4885" width="11.28515625" style="85" bestFit="1" customWidth="1"/>
    <col min="4886" max="4886" width="11.85546875" style="85" bestFit="1" customWidth="1"/>
    <col min="4887" max="4887" width="11.28515625" style="85" bestFit="1" customWidth="1"/>
    <col min="4888" max="4891" width="8.7109375" style="85"/>
    <col min="4892" max="4892" width="9.85546875" style="85" bestFit="1" customWidth="1"/>
    <col min="4893" max="4894" width="9.28515625" style="85" bestFit="1" customWidth="1"/>
    <col min="4895" max="5123" width="8.7109375" style="85"/>
    <col min="5124" max="5124" width="22.42578125" style="85" customWidth="1"/>
    <col min="5125" max="5125" width="8.7109375" style="85"/>
    <col min="5126" max="5126" width="12.42578125" style="85" customWidth="1"/>
    <col min="5127" max="5127" width="8.42578125" style="85" bestFit="1" customWidth="1"/>
    <col min="5128" max="5128" width="10.28515625" style="85" bestFit="1" customWidth="1"/>
    <col min="5129" max="5129" width="15.140625" style="85" customWidth="1"/>
    <col min="5130" max="5130" width="17.140625" style="85" customWidth="1"/>
    <col min="5131" max="5131" width="16.5703125" style="85" customWidth="1"/>
    <col min="5132" max="5132" width="10.7109375" style="85" customWidth="1"/>
    <col min="5133" max="5133" width="14.28515625" style="85" customWidth="1"/>
    <col min="5134" max="5134" width="17.85546875" style="85" customWidth="1"/>
    <col min="5135" max="5135" width="16.42578125" style="85" customWidth="1"/>
    <col min="5136" max="5136" width="11.5703125" style="85" customWidth="1"/>
    <col min="5137" max="5137" width="11.28515625" style="85" bestFit="1" customWidth="1"/>
    <col min="5138" max="5140" width="9.140625" style="85" customWidth="1"/>
    <col min="5141" max="5141" width="11.28515625" style="85" bestFit="1" customWidth="1"/>
    <col min="5142" max="5142" width="11.85546875" style="85" bestFit="1" customWidth="1"/>
    <col min="5143" max="5143" width="11.28515625" style="85" bestFit="1" customWidth="1"/>
    <col min="5144" max="5147" width="8.7109375" style="85"/>
    <col min="5148" max="5148" width="9.85546875" style="85" bestFit="1" customWidth="1"/>
    <col min="5149" max="5150" width="9.28515625" style="85" bestFit="1" customWidth="1"/>
    <col min="5151" max="5379" width="8.7109375" style="85"/>
    <col min="5380" max="5380" width="22.42578125" style="85" customWidth="1"/>
    <col min="5381" max="5381" width="8.7109375" style="85"/>
    <col min="5382" max="5382" width="12.42578125" style="85" customWidth="1"/>
    <col min="5383" max="5383" width="8.42578125" style="85" bestFit="1" customWidth="1"/>
    <col min="5384" max="5384" width="10.28515625" style="85" bestFit="1" customWidth="1"/>
    <col min="5385" max="5385" width="15.140625" style="85" customWidth="1"/>
    <col min="5386" max="5386" width="17.140625" style="85" customWidth="1"/>
    <col min="5387" max="5387" width="16.5703125" style="85" customWidth="1"/>
    <col min="5388" max="5388" width="10.7109375" style="85" customWidth="1"/>
    <col min="5389" max="5389" width="14.28515625" style="85" customWidth="1"/>
    <col min="5390" max="5390" width="17.85546875" style="85" customWidth="1"/>
    <col min="5391" max="5391" width="16.42578125" style="85" customWidth="1"/>
    <col min="5392" max="5392" width="11.5703125" style="85" customWidth="1"/>
    <col min="5393" max="5393" width="11.28515625" style="85" bestFit="1" customWidth="1"/>
    <col min="5394" max="5396" width="9.140625" style="85" customWidth="1"/>
    <col min="5397" max="5397" width="11.28515625" style="85" bestFit="1" customWidth="1"/>
    <col min="5398" max="5398" width="11.85546875" style="85" bestFit="1" customWidth="1"/>
    <col min="5399" max="5399" width="11.28515625" style="85" bestFit="1" customWidth="1"/>
    <col min="5400" max="5403" width="8.7109375" style="85"/>
    <col min="5404" max="5404" width="9.85546875" style="85" bestFit="1" customWidth="1"/>
    <col min="5405" max="5406" width="9.28515625" style="85" bestFit="1" customWidth="1"/>
    <col min="5407" max="5635" width="8.7109375" style="85"/>
    <col min="5636" max="5636" width="22.42578125" style="85" customWidth="1"/>
    <col min="5637" max="5637" width="8.7109375" style="85"/>
    <col min="5638" max="5638" width="12.42578125" style="85" customWidth="1"/>
    <col min="5639" max="5639" width="8.42578125" style="85" bestFit="1" customWidth="1"/>
    <col min="5640" max="5640" width="10.28515625" style="85" bestFit="1" customWidth="1"/>
    <col min="5641" max="5641" width="15.140625" style="85" customWidth="1"/>
    <col min="5642" max="5642" width="17.140625" style="85" customWidth="1"/>
    <col min="5643" max="5643" width="16.5703125" style="85" customWidth="1"/>
    <col min="5644" max="5644" width="10.7109375" style="85" customWidth="1"/>
    <col min="5645" max="5645" width="14.28515625" style="85" customWidth="1"/>
    <col min="5646" max="5646" width="17.85546875" style="85" customWidth="1"/>
    <col min="5647" max="5647" width="16.42578125" style="85" customWidth="1"/>
    <col min="5648" max="5648" width="11.5703125" style="85" customWidth="1"/>
    <col min="5649" max="5649" width="11.28515625" style="85" bestFit="1" customWidth="1"/>
    <col min="5650" max="5652" width="9.140625" style="85" customWidth="1"/>
    <col min="5653" max="5653" width="11.28515625" style="85" bestFit="1" customWidth="1"/>
    <col min="5654" max="5654" width="11.85546875" style="85" bestFit="1" customWidth="1"/>
    <col min="5655" max="5655" width="11.28515625" style="85" bestFit="1" customWidth="1"/>
    <col min="5656" max="5659" width="8.7109375" style="85"/>
    <col min="5660" max="5660" width="9.85546875" style="85" bestFit="1" customWidth="1"/>
    <col min="5661" max="5662" width="9.28515625" style="85" bestFit="1" customWidth="1"/>
    <col min="5663" max="5891" width="8.7109375" style="85"/>
    <col min="5892" max="5892" width="22.42578125" style="85" customWidth="1"/>
    <col min="5893" max="5893" width="8.7109375" style="85"/>
    <col min="5894" max="5894" width="12.42578125" style="85" customWidth="1"/>
    <col min="5895" max="5895" width="8.42578125" style="85" bestFit="1" customWidth="1"/>
    <col min="5896" max="5896" width="10.28515625" style="85" bestFit="1" customWidth="1"/>
    <col min="5897" max="5897" width="15.140625" style="85" customWidth="1"/>
    <col min="5898" max="5898" width="17.140625" style="85" customWidth="1"/>
    <col min="5899" max="5899" width="16.5703125" style="85" customWidth="1"/>
    <col min="5900" max="5900" width="10.7109375" style="85" customWidth="1"/>
    <col min="5901" max="5901" width="14.28515625" style="85" customWidth="1"/>
    <col min="5902" max="5902" width="17.85546875" style="85" customWidth="1"/>
    <col min="5903" max="5903" width="16.42578125" style="85" customWidth="1"/>
    <col min="5904" max="5904" width="11.5703125" style="85" customWidth="1"/>
    <col min="5905" max="5905" width="11.28515625" style="85" bestFit="1" customWidth="1"/>
    <col min="5906" max="5908" width="9.140625" style="85" customWidth="1"/>
    <col min="5909" max="5909" width="11.28515625" style="85" bestFit="1" customWidth="1"/>
    <col min="5910" max="5910" width="11.85546875" style="85" bestFit="1" customWidth="1"/>
    <col min="5911" max="5911" width="11.28515625" style="85" bestFit="1" customWidth="1"/>
    <col min="5912" max="5915" width="8.7109375" style="85"/>
    <col min="5916" max="5916" width="9.85546875" style="85" bestFit="1" customWidth="1"/>
    <col min="5917" max="5918" width="9.28515625" style="85" bestFit="1" customWidth="1"/>
    <col min="5919" max="6147" width="8.7109375" style="85"/>
    <col min="6148" max="6148" width="22.42578125" style="85" customWidth="1"/>
    <col min="6149" max="6149" width="8.7109375" style="85"/>
    <col min="6150" max="6150" width="12.42578125" style="85" customWidth="1"/>
    <col min="6151" max="6151" width="8.42578125" style="85" bestFit="1" customWidth="1"/>
    <col min="6152" max="6152" width="10.28515625" style="85" bestFit="1" customWidth="1"/>
    <col min="6153" max="6153" width="15.140625" style="85" customWidth="1"/>
    <col min="6154" max="6154" width="17.140625" style="85" customWidth="1"/>
    <col min="6155" max="6155" width="16.5703125" style="85" customWidth="1"/>
    <col min="6156" max="6156" width="10.7109375" style="85" customWidth="1"/>
    <col min="6157" max="6157" width="14.28515625" style="85" customWidth="1"/>
    <col min="6158" max="6158" width="17.85546875" style="85" customWidth="1"/>
    <col min="6159" max="6159" width="16.42578125" style="85" customWidth="1"/>
    <col min="6160" max="6160" width="11.5703125" style="85" customWidth="1"/>
    <col min="6161" max="6161" width="11.28515625" style="85" bestFit="1" customWidth="1"/>
    <col min="6162" max="6164" width="9.140625" style="85" customWidth="1"/>
    <col min="6165" max="6165" width="11.28515625" style="85" bestFit="1" customWidth="1"/>
    <col min="6166" max="6166" width="11.85546875" style="85" bestFit="1" customWidth="1"/>
    <col min="6167" max="6167" width="11.28515625" style="85" bestFit="1" customWidth="1"/>
    <col min="6168" max="6171" width="8.7109375" style="85"/>
    <col min="6172" max="6172" width="9.85546875" style="85" bestFit="1" customWidth="1"/>
    <col min="6173" max="6174" width="9.28515625" style="85" bestFit="1" customWidth="1"/>
    <col min="6175" max="6403" width="8.7109375" style="85"/>
    <col min="6404" max="6404" width="22.42578125" style="85" customWidth="1"/>
    <col min="6405" max="6405" width="8.7109375" style="85"/>
    <col min="6406" max="6406" width="12.42578125" style="85" customWidth="1"/>
    <col min="6407" max="6407" width="8.42578125" style="85" bestFit="1" customWidth="1"/>
    <col min="6408" max="6408" width="10.28515625" style="85" bestFit="1" customWidth="1"/>
    <col min="6409" max="6409" width="15.140625" style="85" customWidth="1"/>
    <col min="6410" max="6410" width="17.140625" style="85" customWidth="1"/>
    <col min="6411" max="6411" width="16.5703125" style="85" customWidth="1"/>
    <col min="6412" max="6412" width="10.7109375" style="85" customWidth="1"/>
    <col min="6413" max="6413" width="14.28515625" style="85" customWidth="1"/>
    <col min="6414" max="6414" width="17.85546875" style="85" customWidth="1"/>
    <col min="6415" max="6415" width="16.42578125" style="85" customWidth="1"/>
    <col min="6416" max="6416" width="11.5703125" style="85" customWidth="1"/>
    <col min="6417" max="6417" width="11.28515625" style="85" bestFit="1" customWidth="1"/>
    <col min="6418" max="6420" width="9.140625" style="85" customWidth="1"/>
    <col min="6421" max="6421" width="11.28515625" style="85" bestFit="1" customWidth="1"/>
    <col min="6422" max="6422" width="11.85546875" style="85" bestFit="1" customWidth="1"/>
    <col min="6423" max="6423" width="11.28515625" style="85" bestFit="1" customWidth="1"/>
    <col min="6424" max="6427" width="8.7109375" style="85"/>
    <col min="6428" max="6428" width="9.85546875" style="85" bestFit="1" customWidth="1"/>
    <col min="6429" max="6430" width="9.28515625" style="85" bestFit="1" customWidth="1"/>
    <col min="6431" max="6659" width="8.7109375" style="85"/>
    <col min="6660" max="6660" width="22.42578125" style="85" customWidth="1"/>
    <col min="6661" max="6661" width="8.7109375" style="85"/>
    <col min="6662" max="6662" width="12.42578125" style="85" customWidth="1"/>
    <col min="6663" max="6663" width="8.42578125" style="85" bestFit="1" customWidth="1"/>
    <col min="6664" max="6664" width="10.28515625" style="85" bestFit="1" customWidth="1"/>
    <col min="6665" max="6665" width="15.140625" style="85" customWidth="1"/>
    <col min="6666" max="6666" width="17.140625" style="85" customWidth="1"/>
    <col min="6667" max="6667" width="16.5703125" style="85" customWidth="1"/>
    <col min="6668" max="6668" width="10.7109375" style="85" customWidth="1"/>
    <col min="6669" max="6669" width="14.28515625" style="85" customWidth="1"/>
    <col min="6670" max="6670" width="17.85546875" style="85" customWidth="1"/>
    <col min="6671" max="6671" width="16.42578125" style="85" customWidth="1"/>
    <col min="6672" max="6672" width="11.5703125" style="85" customWidth="1"/>
    <col min="6673" max="6673" width="11.28515625" style="85" bestFit="1" customWidth="1"/>
    <col min="6674" max="6676" width="9.140625" style="85" customWidth="1"/>
    <col min="6677" max="6677" width="11.28515625" style="85" bestFit="1" customWidth="1"/>
    <col min="6678" max="6678" width="11.85546875" style="85" bestFit="1" customWidth="1"/>
    <col min="6679" max="6679" width="11.28515625" style="85" bestFit="1" customWidth="1"/>
    <col min="6680" max="6683" width="8.7109375" style="85"/>
    <col min="6684" max="6684" width="9.85546875" style="85" bestFit="1" customWidth="1"/>
    <col min="6685" max="6686" width="9.28515625" style="85" bestFit="1" customWidth="1"/>
    <col min="6687" max="6915" width="8.7109375" style="85"/>
    <col min="6916" max="6916" width="22.42578125" style="85" customWidth="1"/>
    <col min="6917" max="6917" width="8.7109375" style="85"/>
    <col min="6918" max="6918" width="12.42578125" style="85" customWidth="1"/>
    <col min="6919" max="6919" width="8.42578125" style="85" bestFit="1" customWidth="1"/>
    <col min="6920" max="6920" width="10.28515625" style="85" bestFit="1" customWidth="1"/>
    <col min="6921" max="6921" width="15.140625" style="85" customWidth="1"/>
    <col min="6922" max="6922" width="17.140625" style="85" customWidth="1"/>
    <col min="6923" max="6923" width="16.5703125" style="85" customWidth="1"/>
    <col min="6924" max="6924" width="10.7109375" style="85" customWidth="1"/>
    <col min="6925" max="6925" width="14.28515625" style="85" customWidth="1"/>
    <col min="6926" max="6926" width="17.85546875" style="85" customWidth="1"/>
    <col min="6927" max="6927" width="16.42578125" style="85" customWidth="1"/>
    <col min="6928" max="6928" width="11.5703125" style="85" customWidth="1"/>
    <col min="6929" max="6929" width="11.28515625" style="85" bestFit="1" customWidth="1"/>
    <col min="6930" max="6932" width="9.140625" style="85" customWidth="1"/>
    <col min="6933" max="6933" width="11.28515625" style="85" bestFit="1" customWidth="1"/>
    <col min="6934" max="6934" width="11.85546875" style="85" bestFit="1" customWidth="1"/>
    <col min="6935" max="6935" width="11.28515625" style="85" bestFit="1" customWidth="1"/>
    <col min="6936" max="6939" width="8.7109375" style="85"/>
    <col min="6940" max="6940" width="9.85546875" style="85" bestFit="1" customWidth="1"/>
    <col min="6941" max="6942" width="9.28515625" style="85" bestFit="1" customWidth="1"/>
    <col min="6943" max="7171" width="8.7109375" style="85"/>
    <col min="7172" max="7172" width="22.42578125" style="85" customWidth="1"/>
    <col min="7173" max="7173" width="8.7109375" style="85"/>
    <col min="7174" max="7174" width="12.42578125" style="85" customWidth="1"/>
    <col min="7175" max="7175" width="8.42578125" style="85" bestFit="1" customWidth="1"/>
    <col min="7176" max="7176" width="10.28515625" style="85" bestFit="1" customWidth="1"/>
    <col min="7177" max="7177" width="15.140625" style="85" customWidth="1"/>
    <col min="7178" max="7178" width="17.140625" style="85" customWidth="1"/>
    <col min="7179" max="7179" width="16.5703125" style="85" customWidth="1"/>
    <col min="7180" max="7180" width="10.7109375" style="85" customWidth="1"/>
    <col min="7181" max="7181" width="14.28515625" style="85" customWidth="1"/>
    <col min="7182" max="7182" width="17.85546875" style="85" customWidth="1"/>
    <col min="7183" max="7183" width="16.42578125" style="85" customWidth="1"/>
    <col min="7184" max="7184" width="11.5703125" style="85" customWidth="1"/>
    <col min="7185" max="7185" width="11.28515625" style="85" bestFit="1" customWidth="1"/>
    <col min="7186" max="7188" width="9.140625" style="85" customWidth="1"/>
    <col min="7189" max="7189" width="11.28515625" style="85" bestFit="1" customWidth="1"/>
    <col min="7190" max="7190" width="11.85546875" style="85" bestFit="1" customWidth="1"/>
    <col min="7191" max="7191" width="11.28515625" style="85" bestFit="1" customWidth="1"/>
    <col min="7192" max="7195" width="8.7109375" style="85"/>
    <col min="7196" max="7196" width="9.85546875" style="85" bestFit="1" customWidth="1"/>
    <col min="7197" max="7198" width="9.28515625" style="85" bestFit="1" customWidth="1"/>
    <col min="7199" max="7427" width="8.7109375" style="85"/>
    <col min="7428" max="7428" width="22.42578125" style="85" customWidth="1"/>
    <col min="7429" max="7429" width="8.7109375" style="85"/>
    <col min="7430" max="7430" width="12.42578125" style="85" customWidth="1"/>
    <col min="7431" max="7431" width="8.42578125" style="85" bestFit="1" customWidth="1"/>
    <col min="7432" max="7432" width="10.28515625" style="85" bestFit="1" customWidth="1"/>
    <col min="7433" max="7433" width="15.140625" style="85" customWidth="1"/>
    <col min="7434" max="7434" width="17.140625" style="85" customWidth="1"/>
    <col min="7435" max="7435" width="16.5703125" style="85" customWidth="1"/>
    <col min="7436" max="7436" width="10.7109375" style="85" customWidth="1"/>
    <col min="7437" max="7437" width="14.28515625" style="85" customWidth="1"/>
    <col min="7438" max="7438" width="17.85546875" style="85" customWidth="1"/>
    <col min="7439" max="7439" width="16.42578125" style="85" customWidth="1"/>
    <col min="7440" max="7440" width="11.5703125" style="85" customWidth="1"/>
    <col min="7441" max="7441" width="11.28515625" style="85" bestFit="1" customWidth="1"/>
    <col min="7442" max="7444" width="9.140625" style="85" customWidth="1"/>
    <col min="7445" max="7445" width="11.28515625" style="85" bestFit="1" customWidth="1"/>
    <col min="7446" max="7446" width="11.85546875" style="85" bestFit="1" customWidth="1"/>
    <col min="7447" max="7447" width="11.28515625" style="85" bestFit="1" customWidth="1"/>
    <col min="7448" max="7451" width="8.7109375" style="85"/>
    <col min="7452" max="7452" width="9.85546875" style="85" bestFit="1" customWidth="1"/>
    <col min="7453" max="7454" width="9.28515625" style="85" bestFit="1" customWidth="1"/>
    <col min="7455" max="7683" width="8.7109375" style="85"/>
    <col min="7684" max="7684" width="22.42578125" style="85" customWidth="1"/>
    <col min="7685" max="7685" width="8.7109375" style="85"/>
    <col min="7686" max="7686" width="12.42578125" style="85" customWidth="1"/>
    <col min="7687" max="7687" width="8.42578125" style="85" bestFit="1" customWidth="1"/>
    <col min="7688" max="7688" width="10.28515625" style="85" bestFit="1" customWidth="1"/>
    <col min="7689" max="7689" width="15.140625" style="85" customWidth="1"/>
    <col min="7690" max="7690" width="17.140625" style="85" customWidth="1"/>
    <col min="7691" max="7691" width="16.5703125" style="85" customWidth="1"/>
    <col min="7692" max="7692" width="10.7109375" style="85" customWidth="1"/>
    <col min="7693" max="7693" width="14.28515625" style="85" customWidth="1"/>
    <col min="7694" max="7694" width="17.85546875" style="85" customWidth="1"/>
    <col min="7695" max="7695" width="16.42578125" style="85" customWidth="1"/>
    <col min="7696" max="7696" width="11.5703125" style="85" customWidth="1"/>
    <col min="7697" max="7697" width="11.28515625" style="85" bestFit="1" customWidth="1"/>
    <col min="7698" max="7700" width="9.140625" style="85" customWidth="1"/>
    <col min="7701" max="7701" width="11.28515625" style="85" bestFit="1" customWidth="1"/>
    <col min="7702" max="7702" width="11.85546875" style="85" bestFit="1" customWidth="1"/>
    <col min="7703" max="7703" width="11.28515625" style="85" bestFit="1" customWidth="1"/>
    <col min="7704" max="7707" width="8.7109375" style="85"/>
    <col min="7708" max="7708" width="9.85546875" style="85" bestFit="1" customWidth="1"/>
    <col min="7709" max="7710" width="9.28515625" style="85" bestFit="1" customWidth="1"/>
    <col min="7711" max="7939" width="8.7109375" style="85"/>
    <col min="7940" max="7940" width="22.42578125" style="85" customWidth="1"/>
    <col min="7941" max="7941" width="8.7109375" style="85"/>
    <col min="7942" max="7942" width="12.42578125" style="85" customWidth="1"/>
    <col min="7943" max="7943" width="8.42578125" style="85" bestFit="1" customWidth="1"/>
    <col min="7944" max="7944" width="10.28515625" style="85" bestFit="1" customWidth="1"/>
    <col min="7945" max="7945" width="15.140625" style="85" customWidth="1"/>
    <col min="7946" max="7946" width="17.140625" style="85" customWidth="1"/>
    <col min="7947" max="7947" width="16.5703125" style="85" customWidth="1"/>
    <col min="7948" max="7948" width="10.7109375" style="85" customWidth="1"/>
    <col min="7949" max="7949" width="14.28515625" style="85" customWidth="1"/>
    <col min="7950" max="7950" width="17.85546875" style="85" customWidth="1"/>
    <col min="7951" max="7951" width="16.42578125" style="85" customWidth="1"/>
    <col min="7952" max="7952" width="11.5703125" style="85" customWidth="1"/>
    <col min="7953" max="7953" width="11.28515625" style="85" bestFit="1" customWidth="1"/>
    <col min="7954" max="7956" width="9.140625" style="85" customWidth="1"/>
    <col min="7957" max="7957" width="11.28515625" style="85" bestFit="1" customWidth="1"/>
    <col min="7958" max="7958" width="11.85546875" style="85" bestFit="1" customWidth="1"/>
    <col min="7959" max="7959" width="11.28515625" style="85" bestFit="1" customWidth="1"/>
    <col min="7960" max="7963" width="8.7109375" style="85"/>
    <col min="7964" max="7964" width="9.85546875" style="85" bestFit="1" customWidth="1"/>
    <col min="7965" max="7966" width="9.28515625" style="85" bestFit="1" customWidth="1"/>
    <col min="7967" max="8195" width="8.7109375" style="85"/>
    <col min="8196" max="8196" width="22.42578125" style="85" customWidth="1"/>
    <col min="8197" max="8197" width="8.7109375" style="85"/>
    <col min="8198" max="8198" width="12.42578125" style="85" customWidth="1"/>
    <col min="8199" max="8199" width="8.42578125" style="85" bestFit="1" customWidth="1"/>
    <col min="8200" max="8200" width="10.28515625" style="85" bestFit="1" customWidth="1"/>
    <col min="8201" max="8201" width="15.140625" style="85" customWidth="1"/>
    <col min="8202" max="8202" width="17.140625" style="85" customWidth="1"/>
    <col min="8203" max="8203" width="16.5703125" style="85" customWidth="1"/>
    <col min="8204" max="8204" width="10.7109375" style="85" customWidth="1"/>
    <col min="8205" max="8205" width="14.28515625" style="85" customWidth="1"/>
    <col min="8206" max="8206" width="17.85546875" style="85" customWidth="1"/>
    <col min="8207" max="8207" width="16.42578125" style="85" customWidth="1"/>
    <col min="8208" max="8208" width="11.5703125" style="85" customWidth="1"/>
    <col min="8209" max="8209" width="11.28515625" style="85" bestFit="1" customWidth="1"/>
    <col min="8210" max="8212" width="9.140625" style="85" customWidth="1"/>
    <col min="8213" max="8213" width="11.28515625" style="85" bestFit="1" customWidth="1"/>
    <col min="8214" max="8214" width="11.85546875" style="85" bestFit="1" customWidth="1"/>
    <col min="8215" max="8215" width="11.28515625" style="85" bestFit="1" customWidth="1"/>
    <col min="8216" max="8219" width="8.7109375" style="85"/>
    <col min="8220" max="8220" width="9.85546875" style="85" bestFit="1" customWidth="1"/>
    <col min="8221" max="8222" width="9.28515625" style="85" bestFit="1" customWidth="1"/>
    <col min="8223" max="8451" width="8.7109375" style="85"/>
    <col min="8452" max="8452" width="22.42578125" style="85" customWidth="1"/>
    <col min="8453" max="8453" width="8.7109375" style="85"/>
    <col min="8454" max="8454" width="12.42578125" style="85" customWidth="1"/>
    <col min="8455" max="8455" width="8.42578125" style="85" bestFit="1" customWidth="1"/>
    <col min="8456" max="8456" width="10.28515625" style="85" bestFit="1" customWidth="1"/>
    <col min="8457" max="8457" width="15.140625" style="85" customWidth="1"/>
    <col min="8458" max="8458" width="17.140625" style="85" customWidth="1"/>
    <col min="8459" max="8459" width="16.5703125" style="85" customWidth="1"/>
    <col min="8460" max="8460" width="10.7109375" style="85" customWidth="1"/>
    <col min="8461" max="8461" width="14.28515625" style="85" customWidth="1"/>
    <col min="8462" max="8462" width="17.85546875" style="85" customWidth="1"/>
    <col min="8463" max="8463" width="16.42578125" style="85" customWidth="1"/>
    <col min="8464" max="8464" width="11.5703125" style="85" customWidth="1"/>
    <col min="8465" max="8465" width="11.28515625" style="85" bestFit="1" customWidth="1"/>
    <col min="8466" max="8468" width="9.140625" style="85" customWidth="1"/>
    <col min="8469" max="8469" width="11.28515625" style="85" bestFit="1" customWidth="1"/>
    <col min="8470" max="8470" width="11.85546875" style="85" bestFit="1" customWidth="1"/>
    <col min="8471" max="8471" width="11.28515625" style="85" bestFit="1" customWidth="1"/>
    <col min="8472" max="8475" width="8.7109375" style="85"/>
    <col min="8476" max="8476" width="9.85546875" style="85" bestFit="1" customWidth="1"/>
    <col min="8477" max="8478" width="9.28515625" style="85" bestFit="1" customWidth="1"/>
    <col min="8479" max="8707" width="8.7109375" style="85"/>
    <col min="8708" max="8708" width="22.42578125" style="85" customWidth="1"/>
    <col min="8709" max="8709" width="8.7109375" style="85"/>
    <col min="8710" max="8710" width="12.42578125" style="85" customWidth="1"/>
    <col min="8711" max="8711" width="8.42578125" style="85" bestFit="1" customWidth="1"/>
    <col min="8712" max="8712" width="10.28515625" style="85" bestFit="1" customWidth="1"/>
    <col min="8713" max="8713" width="15.140625" style="85" customWidth="1"/>
    <col min="8714" max="8714" width="17.140625" style="85" customWidth="1"/>
    <col min="8715" max="8715" width="16.5703125" style="85" customWidth="1"/>
    <col min="8716" max="8716" width="10.7109375" style="85" customWidth="1"/>
    <col min="8717" max="8717" width="14.28515625" style="85" customWidth="1"/>
    <col min="8718" max="8718" width="17.85546875" style="85" customWidth="1"/>
    <col min="8719" max="8719" width="16.42578125" style="85" customWidth="1"/>
    <col min="8720" max="8720" width="11.5703125" style="85" customWidth="1"/>
    <col min="8721" max="8721" width="11.28515625" style="85" bestFit="1" customWidth="1"/>
    <col min="8722" max="8724" width="9.140625" style="85" customWidth="1"/>
    <col min="8725" max="8725" width="11.28515625" style="85" bestFit="1" customWidth="1"/>
    <col min="8726" max="8726" width="11.85546875" style="85" bestFit="1" customWidth="1"/>
    <col min="8727" max="8727" width="11.28515625" style="85" bestFit="1" customWidth="1"/>
    <col min="8728" max="8731" width="8.7109375" style="85"/>
    <col min="8732" max="8732" width="9.85546875" style="85" bestFit="1" customWidth="1"/>
    <col min="8733" max="8734" width="9.28515625" style="85" bestFit="1" customWidth="1"/>
    <col min="8735" max="8963" width="8.7109375" style="85"/>
    <col min="8964" max="8964" width="22.42578125" style="85" customWidth="1"/>
    <col min="8965" max="8965" width="8.7109375" style="85"/>
    <col min="8966" max="8966" width="12.42578125" style="85" customWidth="1"/>
    <col min="8967" max="8967" width="8.42578125" style="85" bestFit="1" customWidth="1"/>
    <col min="8968" max="8968" width="10.28515625" style="85" bestFit="1" customWidth="1"/>
    <col min="8969" max="8969" width="15.140625" style="85" customWidth="1"/>
    <col min="8970" max="8970" width="17.140625" style="85" customWidth="1"/>
    <col min="8971" max="8971" width="16.5703125" style="85" customWidth="1"/>
    <col min="8972" max="8972" width="10.7109375" style="85" customWidth="1"/>
    <col min="8973" max="8973" width="14.28515625" style="85" customWidth="1"/>
    <col min="8974" max="8974" width="17.85546875" style="85" customWidth="1"/>
    <col min="8975" max="8975" width="16.42578125" style="85" customWidth="1"/>
    <col min="8976" max="8976" width="11.5703125" style="85" customWidth="1"/>
    <col min="8977" max="8977" width="11.28515625" style="85" bestFit="1" customWidth="1"/>
    <col min="8978" max="8980" width="9.140625" style="85" customWidth="1"/>
    <col min="8981" max="8981" width="11.28515625" style="85" bestFit="1" customWidth="1"/>
    <col min="8982" max="8982" width="11.85546875" style="85" bestFit="1" customWidth="1"/>
    <col min="8983" max="8983" width="11.28515625" style="85" bestFit="1" customWidth="1"/>
    <col min="8984" max="8987" width="8.7109375" style="85"/>
    <col min="8988" max="8988" width="9.85546875" style="85" bestFit="1" customWidth="1"/>
    <col min="8989" max="8990" width="9.28515625" style="85" bestFit="1" customWidth="1"/>
    <col min="8991" max="9219" width="8.7109375" style="85"/>
    <col min="9220" max="9220" width="22.42578125" style="85" customWidth="1"/>
    <col min="9221" max="9221" width="8.7109375" style="85"/>
    <col min="9222" max="9222" width="12.42578125" style="85" customWidth="1"/>
    <col min="9223" max="9223" width="8.42578125" style="85" bestFit="1" customWidth="1"/>
    <col min="9224" max="9224" width="10.28515625" style="85" bestFit="1" customWidth="1"/>
    <col min="9225" max="9225" width="15.140625" style="85" customWidth="1"/>
    <col min="9226" max="9226" width="17.140625" style="85" customWidth="1"/>
    <col min="9227" max="9227" width="16.5703125" style="85" customWidth="1"/>
    <col min="9228" max="9228" width="10.7109375" style="85" customWidth="1"/>
    <col min="9229" max="9229" width="14.28515625" style="85" customWidth="1"/>
    <col min="9230" max="9230" width="17.85546875" style="85" customWidth="1"/>
    <col min="9231" max="9231" width="16.42578125" style="85" customWidth="1"/>
    <col min="9232" max="9232" width="11.5703125" style="85" customWidth="1"/>
    <col min="9233" max="9233" width="11.28515625" style="85" bestFit="1" customWidth="1"/>
    <col min="9234" max="9236" width="9.140625" style="85" customWidth="1"/>
    <col min="9237" max="9237" width="11.28515625" style="85" bestFit="1" customWidth="1"/>
    <col min="9238" max="9238" width="11.85546875" style="85" bestFit="1" customWidth="1"/>
    <col min="9239" max="9239" width="11.28515625" style="85" bestFit="1" customWidth="1"/>
    <col min="9240" max="9243" width="8.7109375" style="85"/>
    <col min="9244" max="9244" width="9.85546875" style="85" bestFit="1" customWidth="1"/>
    <col min="9245" max="9246" width="9.28515625" style="85" bestFit="1" customWidth="1"/>
    <col min="9247" max="9475" width="8.7109375" style="85"/>
    <col min="9476" max="9476" width="22.42578125" style="85" customWidth="1"/>
    <col min="9477" max="9477" width="8.7109375" style="85"/>
    <col min="9478" max="9478" width="12.42578125" style="85" customWidth="1"/>
    <col min="9479" max="9479" width="8.42578125" style="85" bestFit="1" customWidth="1"/>
    <col min="9480" max="9480" width="10.28515625" style="85" bestFit="1" customWidth="1"/>
    <col min="9481" max="9481" width="15.140625" style="85" customWidth="1"/>
    <col min="9482" max="9482" width="17.140625" style="85" customWidth="1"/>
    <col min="9483" max="9483" width="16.5703125" style="85" customWidth="1"/>
    <col min="9484" max="9484" width="10.7109375" style="85" customWidth="1"/>
    <col min="9485" max="9485" width="14.28515625" style="85" customWidth="1"/>
    <col min="9486" max="9486" width="17.85546875" style="85" customWidth="1"/>
    <col min="9487" max="9487" width="16.42578125" style="85" customWidth="1"/>
    <col min="9488" max="9488" width="11.5703125" style="85" customWidth="1"/>
    <col min="9489" max="9489" width="11.28515625" style="85" bestFit="1" customWidth="1"/>
    <col min="9490" max="9492" width="9.140625" style="85" customWidth="1"/>
    <col min="9493" max="9493" width="11.28515625" style="85" bestFit="1" customWidth="1"/>
    <col min="9494" max="9494" width="11.85546875" style="85" bestFit="1" customWidth="1"/>
    <col min="9495" max="9495" width="11.28515625" style="85" bestFit="1" customWidth="1"/>
    <col min="9496" max="9499" width="8.7109375" style="85"/>
    <col min="9500" max="9500" width="9.85546875" style="85" bestFit="1" customWidth="1"/>
    <col min="9501" max="9502" width="9.28515625" style="85" bestFit="1" customWidth="1"/>
    <col min="9503" max="9731" width="8.7109375" style="85"/>
    <col min="9732" max="9732" width="22.42578125" style="85" customWidth="1"/>
    <col min="9733" max="9733" width="8.7109375" style="85"/>
    <col min="9734" max="9734" width="12.42578125" style="85" customWidth="1"/>
    <col min="9735" max="9735" width="8.42578125" style="85" bestFit="1" customWidth="1"/>
    <col min="9736" max="9736" width="10.28515625" style="85" bestFit="1" customWidth="1"/>
    <col min="9737" max="9737" width="15.140625" style="85" customWidth="1"/>
    <col min="9738" max="9738" width="17.140625" style="85" customWidth="1"/>
    <col min="9739" max="9739" width="16.5703125" style="85" customWidth="1"/>
    <col min="9740" max="9740" width="10.7109375" style="85" customWidth="1"/>
    <col min="9741" max="9741" width="14.28515625" style="85" customWidth="1"/>
    <col min="9742" max="9742" width="17.85546875" style="85" customWidth="1"/>
    <col min="9743" max="9743" width="16.42578125" style="85" customWidth="1"/>
    <col min="9744" max="9744" width="11.5703125" style="85" customWidth="1"/>
    <col min="9745" max="9745" width="11.28515625" style="85" bestFit="1" customWidth="1"/>
    <col min="9746" max="9748" width="9.140625" style="85" customWidth="1"/>
    <col min="9749" max="9749" width="11.28515625" style="85" bestFit="1" customWidth="1"/>
    <col min="9750" max="9750" width="11.85546875" style="85" bestFit="1" customWidth="1"/>
    <col min="9751" max="9751" width="11.28515625" style="85" bestFit="1" customWidth="1"/>
    <col min="9752" max="9755" width="8.7109375" style="85"/>
    <col min="9756" max="9756" width="9.85546875" style="85" bestFit="1" customWidth="1"/>
    <col min="9757" max="9758" width="9.28515625" style="85" bestFit="1" customWidth="1"/>
    <col min="9759" max="9987" width="8.7109375" style="85"/>
    <col min="9988" max="9988" width="22.42578125" style="85" customWidth="1"/>
    <col min="9989" max="9989" width="8.7109375" style="85"/>
    <col min="9990" max="9990" width="12.42578125" style="85" customWidth="1"/>
    <col min="9991" max="9991" width="8.42578125" style="85" bestFit="1" customWidth="1"/>
    <col min="9992" max="9992" width="10.28515625" style="85" bestFit="1" customWidth="1"/>
    <col min="9993" max="9993" width="15.140625" style="85" customWidth="1"/>
    <col min="9994" max="9994" width="17.140625" style="85" customWidth="1"/>
    <col min="9995" max="9995" width="16.5703125" style="85" customWidth="1"/>
    <col min="9996" max="9996" width="10.7109375" style="85" customWidth="1"/>
    <col min="9997" max="9997" width="14.28515625" style="85" customWidth="1"/>
    <col min="9998" max="9998" width="17.85546875" style="85" customWidth="1"/>
    <col min="9999" max="9999" width="16.42578125" style="85" customWidth="1"/>
    <col min="10000" max="10000" width="11.5703125" style="85" customWidth="1"/>
    <col min="10001" max="10001" width="11.28515625" style="85" bestFit="1" customWidth="1"/>
    <col min="10002" max="10004" width="9.140625" style="85" customWidth="1"/>
    <col min="10005" max="10005" width="11.28515625" style="85" bestFit="1" customWidth="1"/>
    <col min="10006" max="10006" width="11.85546875" style="85" bestFit="1" customWidth="1"/>
    <col min="10007" max="10007" width="11.28515625" style="85" bestFit="1" customWidth="1"/>
    <col min="10008" max="10011" width="8.7109375" style="85"/>
    <col min="10012" max="10012" width="9.85546875" style="85" bestFit="1" customWidth="1"/>
    <col min="10013" max="10014" width="9.28515625" style="85" bestFit="1" customWidth="1"/>
    <col min="10015" max="10243" width="8.7109375" style="85"/>
    <col min="10244" max="10244" width="22.42578125" style="85" customWidth="1"/>
    <col min="10245" max="10245" width="8.7109375" style="85"/>
    <col min="10246" max="10246" width="12.42578125" style="85" customWidth="1"/>
    <col min="10247" max="10247" width="8.42578125" style="85" bestFit="1" customWidth="1"/>
    <col min="10248" max="10248" width="10.28515625" style="85" bestFit="1" customWidth="1"/>
    <col min="10249" max="10249" width="15.140625" style="85" customWidth="1"/>
    <col min="10250" max="10250" width="17.140625" style="85" customWidth="1"/>
    <col min="10251" max="10251" width="16.5703125" style="85" customWidth="1"/>
    <col min="10252" max="10252" width="10.7109375" style="85" customWidth="1"/>
    <col min="10253" max="10253" width="14.28515625" style="85" customWidth="1"/>
    <col min="10254" max="10254" width="17.85546875" style="85" customWidth="1"/>
    <col min="10255" max="10255" width="16.42578125" style="85" customWidth="1"/>
    <col min="10256" max="10256" width="11.5703125" style="85" customWidth="1"/>
    <col min="10257" max="10257" width="11.28515625" style="85" bestFit="1" customWidth="1"/>
    <col min="10258" max="10260" width="9.140625" style="85" customWidth="1"/>
    <col min="10261" max="10261" width="11.28515625" style="85" bestFit="1" customWidth="1"/>
    <col min="10262" max="10262" width="11.85546875" style="85" bestFit="1" customWidth="1"/>
    <col min="10263" max="10263" width="11.28515625" style="85" bestFit="1" customWidth="1"/>
    <col min="10264" max="10267" width="8.7109375" style="85"/>
    <col min="10268" max="10268" width="9.85546875" style="85" bestFit="1" customWidth="1"/>
    <col min="10269" max="10270" width="9.28515625" style="85" bestFit="1" customWidth="1"/>
    <col min="10271" max="10499" width="8.7109375" style="85"/>
    <col min="10500" max="10500" width="22.42578125" style="85" customWidth="1"/>
    <col min="10501" max="10501" width="8.7109375" style="85"/>
    <col min="10502" max="10502" width="12.42578125" style="85" customWidth="1"/>
    <col min="10503" max="10503" width="8.42578125" style="85" bestFit="1" customWidth="1"/>
    <col min="10504" max="10504" width="10.28515625" style="85" bestFit="1" customWidth="1"/>
    <col min="10505" max="10505" width="15.140625" style="85" customWidth="1"/>
    <col min="10506" max="10506" width="17.140625" style="85" customWidth="1"/>
    <col min="10507" max="10507" width="16.5703125" style="85" customWidth="1"/>
    <col min="10508" max="10508" width="10.7109375" style="85" customWidth="1"/>
    <col min="10509" max="10509" width="14.28515625" style="85" customWidth="1"/>
    <col min="10510" max="10510" width="17.85546875" style="85" customWidth="1"/>
    <col min="10511" max="10511" width="16.42578125" style="85" customWidth="1"/>
    <col min="10512" max="10512" width="11.5703125" style="85" customWidth="1"/>
    <col min="10513" max="10513" width="11.28515625" style="85" bestFit="1" customWidth="1"/>
    <col min="10514" max="10516" width="9.140625" style="85" customWidth="1"/>
    <col min="10517" max="10517" width="11.28515625" style="85" bestFit="1" customWidth="1"/>
    <col min="10518" max="10518" width="11.85546875" style="85" bestFit="1" customWidth="1"/>
    <col min="10519" max="10519" width="11.28515625" style="85" bestFit="1" customWidth="1"/>
    <col min="10520" max="10523" width="8.7109375" style="85"/>
    <col min="10524" max="10524" width="9.85546875" style="85" bestFit="1" customWidth="1"/>
    <col min="10525" max="10526" width="9.28515625" style="85" bestFit="1" customWidth="1"/>
    <col min="10527" max="10755" width="8.7109375" style="85"/>
    <col min="10756" max="10756" width="22.42578125" style="85" customWidth="1"/>
    <col min="10757" max="10757" width="8.7109375" style="85"/>
    <col min="10758" max="10758" width="12.42578125" style="85" customWidth="1"/>
    <col min="10759" max="10759" width="8.42578125" style="85" bestFit="1" customWidth="1"/>
    <col min="10760" max="10760" width="10.28515625" style="85" bestFit="1" customWidth="1"/>
    <col min="10761" max="10761" width="15.140625" style="85" customWidth="1"/>
    <col min="10762" max="10762" width="17.140625" style="85" customWidth="1"/>
    <col min="10763" max="10763" width="16.5703125" style="85" customWidth="1"/>
    <col min="10764" max="10764" width="10.7109375" style="85" customWidth="1"/>
    <col min="10765" max="10765" width="14.28515625" style="85" customWidth="1"/>
    <col min="10766" max="10766" width="17.85546875" style="85" customWidth="1"/>
    <col min="10767" max="10767" width="16.42578125" style="85" customWidth="1"/>
    <col min="10768" max="10768" width="11.5703125" style="85" customWidth="1"/>
    <col min="10769" max="10769" width="11.28515625" style="85" bestFit="1" customWidth="1"/>
    <col min="10770" max="10772" width="9.140625" style="85" customWidth="1"/>
    <col min="10773" max="10773" width="11.28515625" style="85" bestFit="1" customWidth="1"/>
    <col min="10774" max="10774" width="11.85546875" style="85" bestFit="1" customWidth="1"/>
    <col min="10775" max="10775" width="11.28515625" style="85" bestFit="1" customWidth="1"/>
    <col min="10776" max="10779" width="8.7109375" style="85"/>
    <col min="10780" max="10780" width="9.85546875" style="85" bestFit="1" customWidth="1"/>
    <col min="10781" max="10782" width="9.28515625" style="85" bestFit="1" customWidth="1"/>
    <col min="10783" max="11011" width="8.7109375" style="85"/>
    <col min="11012" max="11012" width="22.42578125" style="85" customWidth="1"/>
    <col min="11013" max="11013" width="8.7109375" style="85"/>
    <col min="11014" max="11014" width="12.42578125" style="85" customWidth="1"/>
    <col min="11015" max="11015" width="8.42578125" style="85" bestFit="1" customWidth="1"/>
    <col min="11016" max="11016" width="10.28515625" style="85" bestFit="1" customWidth="1"/>
    <col min="11017" max="11017" width="15.140625" style="85" customWidth="1"/>
    <col min="11018" max="11018" width="17.140625" style="85" customWidth="1"/>
    <col min="11019" max="11019" width="16.5703125" style="85" customWidth="1"/>
    <col min="11020" max="11020" width="10.7109375" style="85" customWidth="1"/>
    <col min="11021" max="11021" width="14.28515625" style="85" customWidth="1"/>
    <col min="11022" max="11022" width="17.85546875" style="85" customWidth="1"/>
    <col min="11023" max="11023" width="16.42578125" style="85" customWidth="1"/>
    <col min="11024" max="11024" width="11.5703125" style="85" customWidth="1"/>
    <col min="11025" max="11025" width="11.28515625" style="85" bestFit="1" customWidth="1"/>
    <col min="11026" max="11028" width="9.140625" style="85" customWidth="1"/>
    <col min="11029" max="11029" width="11.28515625" style="85" bestFit="1" customWidth="1"/>
    <col min="11030" max="11030" width="11.85546875" style="85" bestFit="1" customWidth="1"/>
    <col min="11031" max="11031" width="11.28515625" style="85" bestFit="1" customWidth="1"/>
    <col min="11032" max="11035" width="8.7109375" style="85"/>
    <col min="11036" max="11036" width="9.85546875" style="85" bestFit="1" customWidth="1"/>
    <col min="11037" max="11038" width="9.28515625" style="85" bestFit="1" customWidth="1"/>
    <col min="11039" max="11267" width="8.7109375" style="85"/>
    <col min="11268" max="11268" width="22.42578125" style="85" customWidth="1"/>
    <col min="11269" max="11269" width="8.7109375" style="85"/>
    <col min="11270" max="11270" width="12.42578125" style="85" customWidth="1"/>
    <col min="11271" max="11271" width="8.42578125" style="85" bestFit="1" customWidth="1"/>
    <col min="11272" max="11272" width="10.28515625" style="85" bestFit="1" customWidth="1"/>
    <col min="11273" max="11273" width="15.140625" style="85" customWidth="1"/>
    <col min="11274" max="11274" width="17.140625" style="85" customWidth="1"/>
    <col min="11275" max="11275" width="16.5703125" style="85" customWidth="1"/>
    <col min="11276" max="11276" width="10.7109375" style="85" customWidth="1"/>
    <col min="11277" max="11277" width="14.28515625" style="85" customWidth="1"/>
    <col min="11278" max="11278" width="17.85546875" style="85" customWidth="1"/>
    <col min="11279" max="11279" width="16.42578125" style="85" customWidth="1"/>
    <col min="11280" max="11280" width="11.5703125" style="85" customWidth="1"/>
    <col min="11281" max="11281" width="11.28515625" style="85" bestFit="1" customWidth="1"/>
    <col min="11282" max="11284" width="9.140625" style="85" customWidth="1"/>
    <col min="11285" max="11285" width="11.28515625" style="85" bestFit="1" customWidth="1"/>
    <col min="11286" max="11286" width="11.85546875" style="85" bestFit="1" customWidth="1"/>
    <col min="11287" max="11287" width="11.28515625" style="85" bestFit="1" customWidth="1"/>
    <col min="11288" max="11291" width="8.7109375" style="85"/>
    <col min="11292" max="11292" width="9.85546875" style="85" bestFit="1" customWidth="1"/>
    <col min="11293" max="11294" width="9.28515625" style="85" bestFit="1" customWidth="1"/>
    <col min="11295" max="11523" width="8.7109375" style="85"/>
    <col min="11524" max="11524" width="22.42578125" style="85" customWidth="1"/>
    <col min="11525" max="11525" width="8.7109375" style="85"/>
    <col min="11526" max="11526" width="12.42578125" style="85" customWidth="1"/>
    <col min="11527" max="11527" width="8.42578125" style="85" bestFit="1" customWidth="1"/>
    <col min="11528" max="11528" width="10.28515625" style="85" bestFit="1" customWidth="1"/>
    <col min="11529" max="11529" width="15.140625" style="85" customWidth="1"/>
    <col min="11530" max="11530" width="17.140625" style="85" customWidth="1"/>
    <col min="11531" max="11531" width="16.5703125" style="85" customWidth="1"/>
    <col min="11532" max="11532" width="10.7109375" style="85" customWidth="1"/>
    <col min="11533" max="11533" width="14.28515625" style="85" customWidth="1"/>
    <col min="11534" max="11534" width="17.85546875" style="85" customWidth="1"/>
    <col min="11535" max="11535" width="16.42578125" style="85" customWidth="1"/>
    <col min="11536" max="11536" width="11.5703125" style="85" customWidth="1"/>
    <col min="11537" max="11537" width="11.28515625" style="85" bestFit="1" customWidth="1"/>
    <col min="11538" max="11540" width="9.140625" style="85" customWidth="1"/>
    <col min="11541" max="11541" width="11.28515625" style="85" bestFit="1" customWidth="1"/>
    <col min="11542" max="11542" width="11.85546875" style="85" bestFit="1" customWidth="1"/>
    <col min="11543" max="11543" width="11.28515625" style="85" bestFit="1" customWidth="1"/>
    <col min="11544" max="11547" width="8.7109375" style="85"/>
    <col min="11548" max="11548" width="9.85546875" style="85" bestFit="1" customWidth="1"/>
    <col min="11549" max="11550" width="9.28515625" style="85" bestFit="1" customWidth="1"/>
    <col min="11551" max="11779" width="8.7109375" style="85"/>
    <col min="11780" max="11780" width="22.42578125" style="85" customWidth="1"/>
    <col min="11781" max="11781" width="8.7109375" style="85"/>
    <col min="11782" max="11782" width="12.42578125" style="85" customWidth="1"/>
    <col min="11783" max="11783" width="8.42578125" style="85" bestFit="1" customWidth="1"/>
    <col min="11784" max="11784" width="10.28515625" style="85" bestFit="1" customWidth="1"/>
    <col min="11785" max="11785" width="15.140625" style="85" customWidth="1"/>
    <col min="11786" max="11786" width="17.140625" style="85" customWidth="1"/>
    <col min="11787" max="11787" width="16.5703125" style="85" customWidth="1"/>
    <col min="11788" max="11788" width="10.7109375" style="85" customWidth="1"/>
    <col min="11789" max="11789" width="14.28515625" style="85" customWidth="1"/>
    <col min="11790" max="11790" width="17.85546875" style="85" customWidth="1"/>
    <col min="11791" max="11791" width="16.42578125" style="85" customWidth="1"/>
    <col min="11792" max="11792" width="11.5703125" style="85" customWidth="1"/>
    <col min="11793" max="11793" width="11.28515625" style="85" bestFit="1" customWidth="1"/>
    <col min="11794" max="11796" width="9.140625" style="85" customWidth="1"/>
    <col min="11797" max="11797" width="11.28515625" style="85" bestFit="1" customWidth="1"/>
    <col min="11798" max="11798" width="11.85546875" style="85" bestFit="1" customWidth="1"/>
    <col min="11799" max="11799" width="11.28515625" style="85" bestFit="1" customWidth="1"/>
    <col min="11800" max="11803" width="8.7109375" style="85"/>
    <col min="11804" max="11804" width="9.85546875" style="85" bestFit="1" customWidth="1"/>
    <col min="11805" max="11806" width="9.28515625" style="85" bestFit="1" customWidth="1"/>
    <col min="11807" max="12035" width="8.7109375" style="85"/>
    <col min="12036" max="12036" width="22.42578125" style="85" customWidth="1"/>
    <col min="12037" max="12037" width="8.7109375" style="85"/>
    <col min="12038" max="12038" width="12.42578125" style="85" customWidth="1"/>
    <col min="12039" max="12039" width="8.42578125" style="85" bestFit="1" customWidth="1"/>
    <col min="12040" max="12040" width="10.28515625" style="85" bestFit="1" customWidth="1"/>
    <col min="12041" max="12041" width="15.140625" style="85" customWidth="1"/>
    <col min="12042" max="12042" width="17.140625" style="85" customWidth="1"/>
    <col min="12043" max="12043" width="16.5703125" style="85" customWidth="1"/>
    <col min="12044" max="12044" width="10.7109375" style="85" customWidth="1"/>
    <col min="12045" max="12045" width="14.28515625" style="85" customWidth="1"/>
    <col min="12046" max="12046" width="17.85546875" style="85" customWidth="1"/>
    <col min="12047" max="12047" width="16.42578125" style="85" customWidth="1"/>
    <col min="12048" max="12048" width="11.5703125" style="85" customWidth="1"/>
    <col min="12049" max="12049" width="11.28515625" style="85" bestFit="1" customWidth="1"/>
    <col min="12050" max="12052" width="9.140625" style="85" customWidth="1"/>
    <col min="12053" max="12053" width="11.28515625" style="85" bestFit="1" customWidth="1"/>
    <col min="12054" max="12054" width="11.85546875" style="85" bestFit="1" customWidth="1"/>
    <col min="12055" max="12055" width="11.28515625" style="85" bestFit="1" customWidth="1"/>
    <col min="12056" max="12059" width="8.7109375" style="85"/>
    <col min="12060" max="12060" width="9.85546875" style="85" bestFit="1" customWidth="1"/>
    <col min="12061" max="12062" width="9.28515625" style="85" bestFit="1" customWidth="1"/>
    <col min="12063" max="12291" width="8.7109375" style="85"/>
    <col min="12292" max="12292" width="22.42578125" style="85" customWidth="1"/>
    <col min="12293" max="12293" width="8.7109375" style="85"/>
    <col min="12294" max="12294" width="12.42578125" style="85" customWidth="1"/>
    <col min="12295" max="12295" width="8.42578125" style="85" bestFit="1" customWidth="1"/>
    <col min="12296" max="12296" width="10.28515625" style="85" bestFit="1" customWidth="1"/>
    <col min="12297" max="12297" width="15.140625" style="85" customWidth="1"/>
    <col min="12298" max="12298" width="17.140625" style="85" customWidth="1"/>
    <col min="12299" max="12299" width="16.5703125" style="85" customWidth="1"/>
    <col min="12300" max="12300" width="10.7109375" style="85" customWidth="1"/>
    <col min="12301" max="12301" width="14.28515625" style="85" customWidth="1"/>
    <col min="12302" max="12302" width="17.85546875" style="85" customWidth="1"/>
    <col min="12303" max="12303" width="16.42578125" style="85" customWidth="1"/>
    <col min="12304" max="12304" width="11.5703125" style="85" customWidth="1"/>
    <col min="12305" max="12305" width="11.28515625" style="85" bestFit="1" customWidth="1"/>
    <col min="12306" max="12308" width="9.140625" style="85" customWidth="1"/>
    <col min="12309" max="12309" width="11.28515625" style="85" bestFit="1" customWidth="1"/>
    <col min="12310" max="12310" width="11.85546875" style="85" bestFit="1" customWidth="1"/>
    <col min="12311" max="12311" width="11.28515625" style="85" bestFit="1" customWidth="1"/>
    <col min="12312" max="12315" width="8.7109375" style="85"/>
    <col min="12316" max="12316" width="9.85546875" style="85" bestFit="1" customWidth="1"/>
    <col min="12317" max="12318" width="9.28515625" style="85" bestFit="1" customWidth="1"/>
    <col min="12319" max="12547" width="8.7109375" style="85"/>
    <col min="12548" max="12548" width="22.42578125" style="85" customWidth="1"/>
    <col min="12549" max="12549" width="8.7109375" style="85"/>
    <col min="12550" max="12550" width="12.42578125" style="85" customWidth="1"/>
    <col min="12551" max="12551" width="8.42578125" style="85" bestFit="1" customWidth="1"/>
    <col min="12552" max="12552" width="10.28515625" style="85" bestFit="1" customWidth="1"/>
    <col min="12553" max="12553" width="15.140625" style="85" customWidth="1"/>
    <col min="12554" max="12554" width="17.140625" style="85" customWidth="1"/>
    <col min="12555" max="12555" width="16.5703125" style="85" customWidth="1"/>
    <col min="12556" max="12556" width="10.7109375" style="85" customWidth="1"/>
    <col min="12557" max="12557" width="14.28515625" style="85" customWidth="1"/>
    <col min="12558" max="12558" width="17.85546875" style="85" customWidth="1"/>
    <col min="12559" max="12559" width="16.42578125" style="85" customWidth="1"/>
    <col min="12560" max="12560" width="11.5703125" style="85" customWidth="1"/>
    <col min="12561" max="12561" width="11.28515625" style="85" bestFit="1" customWidth="1"/>
    <col min="12562" max="12564" width="9.140625" style="85" customWidth="1"/>
    <col min="12565" max="12565" width="11.28515625" style="85" bestFit="1" customWidth="1"/>
    <col min="12566" max="12566" width="11.85546875" style="85" bestFit="1" customWidth="1"/>
    <col min="12567" max="12567" width="11.28515625" style="85" bestFit="1" customWidth="1"/>
    <col min="12568" max="12571" width="8.7109375" style="85"/>
    <col min="12572" max="12572" width="9.85546875" style="85" bestFit="1" customWidth="1"/>
    <col min="12573" max="12574" width="9.28515625" style="85" bestFit="1" customWidth="1"/>
    <col min="12575" max="12803" width="8.7109375" style="85"/>
    <col min="12804" max="12804" width="22.42578125" style="85" customWidth="1"/>
    <col min="12805" max="12805" width="8.7109375" style="85"/>
    <col min="12806" max="12806" width="12.42578125" style="85" customWidth="1"/>
    <col min="12807" max="12807" width="8.42578125" style="85" bestFit="1" customWidth="1"/>
    <col min="12808" max="12808" width="10.28515625" style="85" bestFit="1" customWidth="1"/>
    <col min="12809" max="12809" width="15.140625" style="85" customWidth="1"/>
    <col min="12810" max="12810" width="17.140625" style="85" customWidth="1"/>
    <col min="12811" max="12811" width="16.5703125" style="85" customWidth="1"/>
    <col min="12812" max="12812" width="10.7109375" style="85" customWidth="1"/>
    <col min="12813" max="12813" width="14.28515625" style="85" customWidth="1"/>
    <col min="12814" max="12814" width="17.85546875" style="85" customWidth="1"/>
    <col min="12815" max="12815" width="16.42578125" style="85" customWidth="1"/>
    <col min="12816" max="12816" width="11.5703125" style="85" customWidth="1"/>
    <col min="12817" max="12817" width="11.28515625" style="85" bestFit="1" customWidth="1"/>
    <col min="12818" max="12820" width="9.140625" style="85" customWidth="1"/>
    <col min="12821" max="12821" width="11.28515625" style="85" bestFit="1" customWidth="1"/>
    <col min="12822" max="12822" width="11.85546875" style="85" bestFit="1" customWidth="1"/>
    <col min="12823" max="12823" width="11.28515625" style="85" bestFit="1" customWidth="1"/>
    <col min="12824" max="12827" width="8.7109375" style="85"/>
    <col min="12828" max="12828" width="9.85546875" style="85" bestFit="1" customWidth="1"/>
    <col min="12829" max="12830" width="9.28515625" style="85" bestFit="1" customWidth="1"/>
    <col min="12831" max="13059" width="8.7109375" style="85"/>
    <col min="13060" max="13060" width="22.42578125" style="85" customWidth="1"/>
    <col min="13061" max="13061" width="8.7109375" style="85"/>
    <col min="13062" max="13062" width="12.42578125" style="85" customWidth="1"/>
    <col min="13063" max="13063" width="8.42578125" style="85" bestFit="1" customWidth="1"/>
    <col min="13064" max="13064" width="10.28515625" style="85" bestFit="1" customWidth="1"/>
    <col min="13065" max="13065" width="15.140625" style="85" customWidth="1"/>
    <col min="13066" max="13066" width="17.140625" style="85" customWidth="1"/>
    <col min="13067" max="13067" width="16.5703125" style="85" customWidth="1"/>
    <col min="13068" max="13068" width="10.7109375" style="85" customWidth="1"/>
    <col min="13069" max="13069" width="14.28515625" style="85" customWidth="1"/>
    <col min="13070" max="13070" width="17.85546875" style="85" customWidth="1"/>
    <col min="13071" max="13071" width="16.42578125" style="85" customWidth="1"/>
    <col min="13072" max="13072" width="11.5703125" style="85" customWidth="1"/>
    <col min="13073" max="13073" width="11.28515625" style="85" bestFit="1" customWidth="1"/>
    <col min="13074" max="13076" width="9.140625" style="85" customWidth="1"/>
    <col min="13077" max="13077" width="11.28515625" style="85" bestFit="1" customWidth="1"/>
    <col min="13078" max="13078" width="11.85546875" style="85" bestFit="1" customWidth="1"/>
    <col min="13079" max="13079" width="11.28515625" style="85" bestFit="1" customWidth="1"/>
    <col min="13080" max="13083" width="8.7109375" style="85"/>
    <col min="13084" max="13084" width="9.85546875" style="85" bestFit="1" customWidth="1"/>
    <col min="13085" max="13086" width="9.28515625" style="85" bestFit="1" customWidth="1"/>
    <col min="13087" max="13315" width="8.7109375" style="85"/>
    <col min="13316" max="13316" width="22.42578125" style="85" customWidth="1"/>
    <col min="13317" max="13317" width="8.7109375" style="85"/>
    <col min="13318" max="13318" width="12.42578125" style="85" customWidth="1"/>
    <col min="13319" max="13319" width="8.42578125" style="85" bestFit="1" customWidth="1"/>
    <col min="13320" max="13320" width="10.28515625" style="85" bestFit="1" customWidth="1"/>
    <col min="13321" max="13321" width="15.140625" style="85" customWidth="1"/>
    <col min="13322" max="13322" width="17.140625" style="85" customWidth="1"/>
    <col min="13323" max="13323" width="16.5703125" style="85" customWidth="1"/>
    <col min="13324" max="13324" width="10.7109375" style="85" customWidth="1"/>
    <col min="13325" max="13325" width="14.28515625" style="85" customWidth="1"/>
    <col min="13326" max="13326" width="17.85546875" style="85" customWidth="1"/>
    <col min="13327" max="13327" width="16.42578125" style="85" customWidth="1"/>
    <col min="13328" max="13328" width="11.5703125" style="85" customWidth="1"/>
    <col min="13329" max="13329" width="11.28515625" style="85" bestFit="1" customWidth="1"/>
    <col min="13330" max="13332" width="9.140625" style="85" customWidth="1"/>
    <col min="13333" max="13333" width="11.28515625" style="85" bestFit="1" customWidth="1"/>
    <col min="13334" max="13334" width="11.85546875" style="85" bestFit="1" customWidth="1"/>
    <col min="13335" max="13335" width="11.28515625" style="85" bestFit="1" customWidth="1"/>
    <col min="13336" max="13339" width="8.7109375" style="85"/>
    <col min="13340" max="13340" width="9.85546875" style="85" bestFit="1" customWidth="1"/>
    <col min="13341" max="13342" width="9.28515625" style="85" bestFit="1" customWidth="1"/>
    <col min="13343" max="13571" width="8.7109375" style="85"/>
    <col min="13572" max="13572" width="22.42578125" style="85" customWidth="1"/>
    <col min="13573" max="13573" width="8.7109375" style="85"/>
    <col min="13574" max="13574" width="12.42578125" style="85" customWidth="1"/>
    <col min="13575" max="13575" width="8.42578125" style="85" bestFit="1" customWidth="1"/>
    <col min="13576" max="13576" width="10.28515625" style="85" bestFit="1" customWidth="1"/>
    <col min="13577" max="13577" width="15.140625" style="85" customWidth="1"/>
    <col min="13578" max="13578" width="17.140625" style="85" customWidth="1"/>
    <col min="13579" max="13579" width="16.5703125" style="85" customWidth="1"/>
    <col min="13580" max="13580" width="10.7109375" style="85" customWidth="1"/>
    <col min="13581" max="13581" width="14.28515625" style="85" customWidth="1"/>
    <col min="13582" max="13582" width="17.85546875" style="85" customWidth="1"/>
    <col min="13583" max="13583" width="16.42578125" style="85" customWidth="1"/>
    <col min="13584" max="13584" width="11.5703125" style="85" customWidth="1"/>
    <col min="13585" max="13585" width="11.28515625" style="85" bestFit="1" customWidth="1"/>
    <col min="13586" max="13588" width="9.140625" style="85" customWidth="1"/>
    <col min="13589" max="13589" width="11.28515625" style="85" bestFit="1" customWidth="1"/>
    <col min="13590" max="13590" width="11.85546875" style="85" bestFit="1" customWidth="1"/>
    <col min="13591" max="13591" width="11.28515625" style="85" bestFit="1" customWidth="1"/>
    <col min="13592" max="13595" width="8.7109375" style="85"/>
    <col min="13596" max="13596" width="9.85546875" style="85" bestFit="1" customWidth="1"/>
    <col min="13597" max="13598" width="9.28515625" style="85" bestFit="1" customWidth="1"/>
    <col min="13599" max="13827" width="8.7109375" style="85"/>
    <col min="13828" max="13828" width="22.42578125" style="85" customWidth="1"/>
    <col min="13829" max="13829" width="8.7109375" style="85"/>
    <col min="13830" max="13830" width="12.42578125" style="85" customWidth="1"/>
    <col min="13831" max="13831" width="8.42578125" style="85" bestFit="1" customWidth="1"/>
    <col min="13832" max="13832" width="10.28515625" style="85" bestFit="1" customWidth="1"/>
    <col min="13833" max="13833" width="15.140625" style="85" customWidth="1"/>
    <col min="13834" max="13834" width="17.140625" style="85" customWidth="1"/>
    <col min="13835" max="13835" width="16.5703125" style="85" customWidth="1"/>
    <col min="13836" max="13836" width="10.7109375" style="85" customWidth="1"/>
    <col min="13837" max="13837" width="14.28515625" style="85" customWidth="1"/>
    <col min="13838" max="13838" width="17.85546875" style="85" customWidth="1"/>
    <col min="13839" max="13839" width="16.42578125" style="85" customWidth="1"/>
    <col min="13840" max="13840" width="11.5703125" style="85" customWidth="1"/>
    <col min="13841" max="13841" width="11.28515625" style="85" bestFit="1" customWidth="1"/>
    <col min="13842" max="13844" width="9.140625" style="85" customWidth="1"/>
    <col min="13845" max="13845" width="11.28515625" style="85" bestFit="1" customWidth="1"/>
    <col min="13846" max="13846" width="11.85546875" style="85" bestFit="1" customWidth="1"/>
    <col min="13847" max="13847" width="11.28515625" style="85" bestFit="1" customWidth="1"/>
    <col min="13848" max="13851" width="8.7109375" style="85"/>
    <col min="13852" max="13852" width="9.85546875" style="85" bestFit="1" customWidth="1"/>
    <col min="13853" max="13854" width="9.28515625" style="85" bestFit="1" customWidth="1"/>
    <col min="13855" max="14083" width="8.7109375" style="85"/>
    <col min="14084" max="14084" width="22.42578125" style="85" customWidth="1"/>
    <col min="14085" max="14085" width="8.7109375" style="85"/>
    <col min="14086" max="14086" width="12.42578125" style="85" customWidth="1"/>
    <col min="14087" max="14087" width="8.42578125" style="85" bestFit="1" customWidth="1"/>
    <col min="14088" max="14088" width="10.28515625" style="85" bestFit="1" customWidth="1"/>
    <col min="14089" max="14089" width="15.140625" style="85" customWidth="1"/>
    <col min="14090" max="14090" width="17.140625" style="85" customWidth="1"/>
    <col min="14091" max="14091" width="16.5703125" style="85" customWidth="1"/>
    <col min="14092" max="14092" width="10.7109375" style="85" customWidth="1"/>
    <col min="14093" max="14093" width="14.28515625" style="85" customWidth="1"/>
    <col min="14094" max="14094" width="17.85546875" style="85" customWidth="1"/>
    <col min="14095" max="14095" width="16.42578125" style="85" customWidth="1"/>
    <col min="14096" max="14096" width="11.5703125" style="85" customWidth="1"/>
    <col min="14097" max="14097" width="11.28515625" style="85" bestFit="1" customWidth="1"/>
    <col min="14098" max="14100" width="9.140625" style="85" customWidth="1"/>
    <col min="14101" max="14101" width="11.28515625" style="85" bestFit="1" customWidth="1"/>
    <col min="14102" max="14102" width="11.85546875" style="85" bestFit="1" customWidth="1"/>
    <col min="14103" max="14103" width="11.28515625" style="85" bestFit="1" customWidth="1"/>
    <col min="14104" max="14107" width="8.7109375" style="85"/>
    <col min="14108" max="14108" width="9.85546875" style="85" bestFit="1" customWidth="1"/>
    <col min="14109" max="14110" width="9.28515625" style="85" bestFit="1" customWidth="1"/>
    <col min="14111" max="14339" width="8.7109375" style="85"/>
    <col min="14340" max="14340" width="22.42578125" style="85" customWidth="1"/>
    <col min="14341" max="14341" width="8.7109375" style="85"/>
    <col min="14342" max="14342" width="12.42578125" style="85" customWidth="1"/>
    <col min="14343" max="14343" width="8.42578125" style="85" bestFit="1" customWidth="1"/>
    <col min="14344" max="14344" width="10.28515625" style="85" bestFit="1" customWidth="1"/>
    <col min="14345" max="14345" width="15.140625" style="85" customWidth="1"/>
    <col min="14346" max="14346" width="17.140625" style="85" customWidth="1"/>
    <col min="14347" max="14347" width="16.5703125" style="85" customWidth="1"/>
    <col min="14348" max="14348" width="10.7109375" style="85" customWidth="1"/>
    <col min="14349" max="14349" width="14.28515625" style="85" customWidth="1"/>
    <col min="14350" max="14350" width="17.85546875" style="85" customWidth="1"/>
    <col min="14351" max="14351" width="16.42578125" style="85" customWidth="1"/>
    <col min="14352" max="14352" width="11.5703125" style="85" customWidth="1"/>
    <col min="14353" max="14353" width="11.28515625" style="85" bestFit="1" customWidth="1"/>
    <col min="14354" max="14356" width="9.140625" style="85" customWidth="1"/>
    <col min="14357" max="14357" width="11.28515625" style="85" bestFit="1" customWidth="1"/>
    <col min="14358" max="14358" width="11.85546875" style="85" bestFit="1" customWidth="1"/>
    <col min="14359" max="14359" width="11.28515625" style="85" bestFit="1" customWidth="1"/>
    <col min="14360" max="14363" width="8.7109375" style="85"/>
    <col min="14364" max="14364" width="9.85546875" style="85" bestFit="1" customWidth="1"/>
    <col min="14365" max="14366" width="9.28515625" style="85" bestFit="1" customWidth="1"/>
    <col min="14367" max="14595" width="8.7109375" style="85"/>
    <col min="14596" max="14596" width="22.42578125" style="85" customWidth="1"/>
    <col min="14597" max="14597" width="8.7109375" style="85"/>
    <col min="14598" max="14598" width="12.42578125" style="85" customWidth="1"/>
    <col min="14599" max="14599" width="8.42578125" style="85" bestFit="1" customWidth="1"/>
    <col min="14600" max="14600" width="10.28515625" style="85" bestFit="1" customWidth="1"/>
    <col min="14601" max="14601" width="15.140625" style="85" customWidth="1"/>
    <col min="14602" max="14602" width="17.140625" style="85" customWidth="1"/>
    <col min="14603" max="14603" width="16.5703125" style="85" customWidth="1"/>
    <col min="14604" max="14604" width="10.7109375" style="85" customWidth="1"/>
    <col min="14605" max="14605" width="14.28515625" style="85" customWidth="1"/>
    <col min="14606" max="14606" width="17.85546875" style="85" customWidth="1"/>
    <col min="14607" max="14607" width="16.42578125" style="85" customWidth="1"/>
    <col min="14608" max="14608" width="11.5703125" style="85" customWidth="1"/>
    <col min="14609" max="14609" width="11.28515625" style="85" bestFit="1" customWidth="1"/>
    <col min="14610" max="14612" width="9.140625" style="85" customWidth="1"/>
    <col min="14613" max="14613" width="11.28515625" style="85" bestFit="1" customWidth="1"/>
    <col min="14614" max="14614" width="11.85546875" style="85" bestFit="1" customWidth="1"/>
    <col min="14615" max="14615" width="11.28515625" style="85" bestFit="1" customWidth="1"/>
    <col min="14616" max="14619" width="8.7109375" style="85"/>
    <col min="14620" max="14620" width="9.85546875" style="85" bestFit="1" customWidth="1"/>
    <col min="14621" max="14622" width="9.28515625" style="85" bestFit="1" customWidth="1"/>
    <col min="14623" max="14851" width="8.7109375" style="85"/>
    <col min="14852" max="14852" width="22.42578125" style="85" customWidth="1"/>
    <col min="14853" max="14853" width="8.7109375" style="85"/>
    <col min="14854" max="14854" width="12.42578125" style="85" customWidth="1"/>
    <col min="14855" max="14855" width="8.42578125" style="85" bestFit="1" customWidth="1"/>
    <col min="14856" max="14856" width="10.28515625" style="85" bestFit="1" customWidth="1"/>
    <col min="14857" max="14857" width="15.140625" style="85" customWidth="1"/>
    <col min="14858" max="14858" width="17.140625" style="85" customWidth="1"/>
    <col min="14859" max="14859" width="16.5703125" style="85" customWidth="1"/>
    <col min="14860" max="14860" width="10.7109375" style="85" customWidth="1"/>
    <col min="14861" max="14861" width="14.28515625" style="85" customWidth="1"/>
    <col min="14862" max="14862" width="17.85546875" style="85" customWidth="1"/>
    <col min="14863" max="14863" width="16.42578125" style="85" customWidth="1"/>
    <col min="14864" max="14864" width="11.5703125" style="85" customWidth="1"/>
    <col min="14865" max="14865" width="11.28515625" style="85" bestFit="1" customWidth="1"/>
    <col min="14866" max="14868" width="9.140625" style="85" customWidth="1"/>
    <col min="14869" max="14869" width="11.28515625" style="85" bestFit="1" customWidth="1"/>
    <col min="14870" max="14870" width="11.85546875" style="85" bestFit="1" customWidth="1"/>
    <col min="14871" max="14871" width="11.28515625" style="85" bestFit="1" customWidth="1"/>
    <col min="14872" max="14875" width="8.7109375" style="85"/>
    <col min="14876" max="14876" width="9.85546875" style="85" bestFit="1" customWidth="1"/>
    <col min="14877" max="14878" width="9.28515625" style="85" bestFit="1" customWidth="1"/>
    <col min="14879" max="15107" width="8.7109375" style="85"/>
    <col min="15108" max="15108" width="22.42578125" style="85" customWidth="1"/>
    <col min="15109" max="15109" width="8.7109375" style="85"/>
    <col min="15110" max="15110" width="12.42578125" style="85" customWidth="1"/>
    <col min="15111" max="15111" width="8.42578125" style="85" bestFit="1" customWidth="1"/>
    <col min="15112" max="15112" width="10.28515625" style="85" bestFit="1" customWidth="1"/>
    <col min="15113" max="15113" width="15.140625" style="85" customWidth="1"/>
    <col min="15114" max="15114" width="17.140625" style="85" customWidth="1"/>
    <col min="15115" max="15115" width="16.5703125" style="85" customWidth="1"/>
    <col min="15116" max="15116" width="10.7109375" style="85" customWidth="1"/>
    <col min="15117" max="15117" width="14.28515625" style="85" customWidth="1"/>
    <col min="15118" max="15118" width="17.85546875" style="85" customWidth="1"/>
    <col min="15119" max="15119" width="16.42578125" style="85" customWidth="1"/>
    <col min="15120" max="15120" width="11.5703125" style="85" customWidth="1"/>
    <col min="15121" max="15121" width="11.28515625" style="85" bestFit="1" customWidth="1"/>
    <col min="15122" max="15124" width="9.140625" style="85" customWidth="1"/>
    <col min="15125" max="15125" width="11.28515625" style="85" bestFit="1" customWidth="1"/>
    <col min="15126" max="15126" width="11.85546875" style="85" bestFit="1" customWidth="1"/>
    <col min="15127" max="15127" width="11.28515625" style="85" bestFit="1" customWidth="1"/>
    <col min="15128" max="15131" width="8.7109375" style="85"/>
    <col min="15132" max="15132" width="9.85546875" style="85" bestFit="1" customWidth="1"/>
    <col min="15133" max="15134" width="9.28515625" style="85" bestFit="1" customWidth="1"/>
    <col min="15135" max="15363" width="8.7109375" style="85"/>
    <col min="15364" max="15364" width="22.42578125" style="85" customWidth="1"/>
    <col min="15365" max="15365" width="8.7109375" style="85"/>
    <col min="15366" max="15366" width="12.42578125" style="85" customWidth="1"/>
    <col min="15367" max="15367" width="8.42578125" style="85" bestFit="1" customWidth="1"/>
    <col min="15368" max="15368" width="10.28515625" style="85" bestFit="1" customWidth="1"/>
    <col min="15369" max="15369" width="15.140625" style="85" customWidth="1"/>
    <col min="15370" max="15370" width="17.140625" style="85" customWidth="1"/>
    <col min="15371" max="15371" width="16.5703125" style="85" customWidth="1"/>
    <col min="15372" max="15372" width="10.7109375" style="85" customWidth="1"/>
    <col min="15373" max="15373" width="14.28515625" style="85" customWidth="1"/>
    <col min="15374" max="15374" width="17.85546875" style="85" customWidth="1"/>
    <col min="15375" max="15375" width="16.42578125" style="85" customWidth="1"/>
    <col min="15376" max="15376" width="11.5703125" style="85" customWidth="1"/>
    <col min="15377" max="15377" width="11.28515625" style="85" bestFit="1" customWidth="1"/>
    <col min="15378" max="15380" width="9.140625" style="85" customWidth="1"/>
    <col min="15381" max="15381" width="11.28515625" style="85" bestFit="1" customWidth="1"/>
    <col min="15382" max="15382" width="11.85546875" style="85" bestFit="1" customWidth="1"/>
    <col min="15383" max="15383" width="11.28515625" style="85" bestFit="1" customWidth="1"/>
    <col min="15384" max="15387" width="8.7109375" style="85"/>
    <col min="15388" max="15388" width="9.85546875" style="85" bestFit="1" customWidth="1"/>
    <col min="15389" max="15390" width="9.28515625" style="85" bestFit="1" customWidth="1"/>
    <col min="15391" max="15619" width="8.7109375" style="85"/>
    <col min="15620" max="15620" width="22.42578125" style="85" customWidth="1"/>
    <col min="15621" max="15621" width="8.7109375" style="85"/>
    <col min="15622" max="15622" width="12.42578125" style="85" customWidth="1"/>
    <col min="15623" max="15623" width="8.42578125" style="85" bestFit="1" customWidth="1"/>
    <col min="15624" max="15624" width="10.28515625" style="85" bestFit="1" customWidth="1"/>
    <col min="15625" max="15625" width="15.140625" style="85" customWidth="1"/>
    <col min="15626" max="15626" width="17.140625" style="85" customWidth="1"/>
    <col min="15627" max="15627" width="16.5703125" style="85" customWidth="1"/>
    <col min="15628" max="15628" width="10.7109375" style="85" customWidth="1"/>
    <col min="15629" max="15629" width="14.28515625" style="85" customWidth="1"/>
    <col min="15630" max="15630" width="17.85546875" style="85" customWidth="1"/>
    <col min="15631" max="15631" width="16.42578125" style="85" customWidth="1"/>
    <col min="15632" max="15632" width="11.5703125" style="85" customWidth="1"/>
    <col min="15633" max="15633" width="11.28515625" style="85" bestFit="1" customWidth="1"/>
    <col min="15634" max="15636" width="9.140625" style="85" customWidth="1"/>
    <col min="15637" max="15637" width="11.28515625" style="85" bestFit="1" customWidth="1"/>
    <col min="15638" max="15638" width="11.85546875" style="85" bestFit="1" customWidth="1"/>
    <col min="15639" max="15639" width="11.28515625" style="85" bestFit="1" customWidth="1"/>
    <col min="15640" max="15643" width="8.7109375" style="85"/>
    <col min="15644" max="15644" width="9.85546875" style="85" bestFit="1" customWidth="1"/>
    <col min="15645" max="15646" width="9.28515625" style="85" bestFit="1" customWidth="1"/>
    <col min="15647" max="15875" width="8.7109375" style="85"/>
    <col min="15876" max="15876" width="22.42578125" style="85" customWidth="1"/>
    <col min="15877" max="15877" width="8.7109375" style="85"/>
    <col min="15878" max="15878" width="12.42578125" style="85" customWidth="1"/>
    <col min="15879" max="15879" width="8.42578125" style="85" bestFit="1" customWidth="1"/>
    <col min="15880" max="15880" width="10.28515625" style="85" bestFit="1" customWidth="1"/>
    <col min="15881" max="15881" width="15.140625" style="85" customWidth="1"/>
    <col min="15882" max="15882" width="17.140625" style="85" customWidth="1"/>
    <col min="15883" max="15883" width="16.5703125" style="85" customWidth="1"/>
    <col min="15884" max="15884" width="10.7109375" style="85" customWidth="1"/>
    <col min="15885" max="15885" width="14.28515625" style="85" customWidth="1"/>
    <col min="15886" max="15886" width="17.85546875" style="85" customWidth="1"/>
    <col min="15887" max="15887" width="16.42578125" style="85" customWidth="1"/>
    <col min="15888" max="15888" width="11.5703125" style="85" customWidth="1"/>
    <col min="15889" max="15889" width="11.28515625" style="85" bestFit="1" customWidth="1"/>
    <col min="15890" max="15892" width="9.140625" style="85" customWidth="1"/>
    <col min="15893" max="15893" width="11.28515625" style="85" bestFit="1" customWidth="1"/>
    <col min="15894" max="15894" width="11.85546875" style="85" bestFit="1" customWidth="1"/>
    <col min="15895" max="15895" width="11.28515625" style="85" bestFit="1" customWidth="1"/>
    <col min="15896" max="15899" width="8.7109375" style="85"/>
    <col min="15900" max="15900" width="9.85546875" style="85" bestFit="1" customWidth="1"/>
    <col min="15901" max="15902" width="9.28515625" style="85" bestFit="1" customWidth="1"/>
    <col min="15903" max="16131" width="8.7109375" style="85"/>
    <col min="16132" max="16132" width="22.42578125" style="85" customWidth="1"/>
    <col min="16133" max="16133" width="8.7109375" style="85"/>
    <col min="16134" max="16134" width="12.42578125" style="85" customWidth="1"/>
    <col min="16135" max="16135" width="8.42578125" style="85" bestFit="1" customWidth="1"/>
    <col min="16136" max="16136" width="10.28515625" style="85" bestFit="1" customWidth="1"/>
    <col min="16137" max="16137" width="15.140625" style="85" customWidth="1"/>
    <col min="16138" max="16138" width="17.140625" style="85" customWidth="1"/>
    <col min="16139" max="16139" width="16.5703125" style="85" customWidth="1"/>
    <col min="16140" max="16140" width="10.7109375" style="85" customWidth="1"/>
    <col min="16141" max="16141" width="14.28515625" style="85" customWidth="1"/>
    <col min="16142" max="16142" width="17.85546875" style="85" customWidth="1"/>
    <col min="16143" max="16143" width="16.42578125" style="85" customWidth="1"/>
    <col min="16144" max="16144" width="11.5703125" style="85" customWidth="1"/>
    <col min="16145" max="16145" width="11.28515625" style="85" bestFit="1" customWidth="1"/>
    <col min="16146" max="16148" width="9.140625" style="85" customWidth="1"/>
    <col min="16149" max="16149" width="11.28515625" style="85" bestFit="1" customWidth="1"/>
    <col min="16150" max="16150" width="11.85546875" style="85" bestFit="1" customWidth="1"/>
    <col min="16151" max="16151" width="11.28515625" style="85" bestFit="1" customWidth="1"/>
    <col min="16152" max="16155" width="8.7109375" style="85"/>
    <col min="16156" max="16156" width="9.85546875" style="85" bestFit="1" customWidth="1"/>
    <col min="16157" max="16158" width="9.28515625" style="85" bestFit="1" customWidth="1"/>
    <col min="16159" max="16384" width="8.7109375" style="85"/>
  </cols>
  <sheetData>
    <row r="1" spans="1:30" ht="12.6" x14ac:dyDescent="0.25">
      <c r="R1" s="286" t="s">
        <v>29</v>
      </c>
      <c r="S1" s="286"/>
      <c r="T1" s="286"/>
      <c r="U1" s="286"/>
      <c r="V1" s="286"/>
      <c r="W1" s="286"/>
      <c r="Y1" s="286" t="s">
        <v>30</v>
      </c>
      <c r="Z1" s="286"/>
      <c r="AA1" s="286"/>
      <c r="AB1" s="286"/>
      <c r="AC1" s="286"/>
      <c r="AD1" s="286"/>
    </row>
    <row r="2" spans="1:30" ht="12.6" x14ac:dyDescent="0.25">
      <c r="A2" s="89" t="str">
        <f ca="1">CELL("FILENAME")</f>
        <v>F:\Account\PUBLIC\Randy M\rate case\[question 91 rate case.xlsx]Prepaid @ 3.31.21</v>
      </c>
      <c r="B2" s="90"/>
      <c r="C2" s="90"/>
      <c r="D2" s="90"/>
      <c r="E2" s="91" t="s">
        <v>0</v>
      </c>
      <c r="F2" s="92"/>
      <c r="G2" s="10"/>
      <c r="H2" s="93"/>
      <c r="I2" s="94"/>
      <c r="J2" s="95"/>
      <c r="K2" s="96"/>
      <c r="L2" s="97" t="s">
        <v>1</v>
      </c>
      <c r="M2" s="98"/>
      <c r="N2" s="99"/>
      <c r="O2" s="100"/>
      <c r="P2" s="101" t="s">
        <v>1</v>
      </c>
      <c r="R2" s="102" t="s">
        <v>31</v>
      </c>
      <c r="S2" s="102"/>
      <c r="T2" s="102"/>
      <c r="U2" s="103"/>
      <c r="V2" s="103"/>
      <c r="W2" s="103"/>
      <c r="Y2" s="102" t="s">
        <v>31</v>
      </c>
      <c r="Z2" s="102"/>
      <c r="AA2" s="102"/>
      <c r="AB2" s="103"/>
      <c r="AC2" s="103"/>
      <c r="AD2" s="103"/>
    </row>
    <row r="3" spans="1:30" ht="12.6" x14ac:dyDescent="0.25">
      <c r="A3" s="104" t="s">
        <v>2</v>
      </c>
      <c r="B3" s="105" t="s">
        <v>3</v>
      </c>
      <c r="C3" s="105" t="s">
        <v>4</v>
      </c>
      <c r="D3" s="105" t="s">
        <v>5</v>
      </c>
      <c r="E3" s="101" t="s">
        <v>6</v>
      </c>
      <c r="F3" s="101" t="s">
        <v>7</v>
      </c>
      <c r="G3" s="22" t="s">
        <v>8</v>
      </c>
      <c r="H3" s="106" t="s">
        <v>9</v>
      </c>
      <c r="I3" s="107">
        <v>42582</v>
      </c>
      <c r="J3" s="108">
        <f>I3+28</f>
        <v>42610</v>
      </c>
      <c r="K3" s="108">
        <f>J3+31</f>
        <v>42641</v>
      </c>
      <c r="L3" s="109">
        <f>K3</f>
        <v>42641</v>
      </c>
      <c r="M3" s="110">
        <f>K3+30</f>
        <v>42671</v>
      </c>
      <c r="N3" s="111">
        <f>M3+31</f>
        <v>42702</v>
      </c>
      <c r="O3" s="111">
        <f>N3+30</f>
        <v>42732</v>
      </c>
      <c r="P3" s="109">
        <v>42735</v>
      </c>
      <c r="R3" s="102" t="s">
        <v>32</v>
      </c>
      <c r="S3" s="102" t="s">
        <v>33</v>
      </c>
      <c r="T3" s="102" t="s">
        <v>34</v>
      </c>
      <c r="U3" s="112" t="s">
        <v>35</v>
      </c>
      <c r="V3" s="112" t="s">
        <v>35</v>
      </c>
      <c r="W3" s="103"/>
      <c r="Y3" s="102" t="s">
        <v>32</v>
      </c>
      <c r="Z3" s="102" t="s">
        <v>33</v>
      </c>
      <c r="AA3" s="102" t="s">
        <v>34</v>
      </c>
      <c r="AB3" s="112" t="s">
        <v>35</v>
      </c>
      <c r="AC3" s="112" t="s">
        <v>35</v>
      </c>
      <c r="AD3" s="103"/>
    </row>
    <row r="4" spans="1:30" ht="12.6" x14ac:dyDescent="0.25">
      <c r="A4" s="113">
        <v>1.9239999999999999</v>
      </c>
      <c r="B4" s="105"/>
      <c r="C4" s="105"/>
      <c r="D4" s="113" t="s">
        <v>36</v>
      </c>
      <c r="E4" s="105"/>
      <c r="F4" s="105"/>
      <c r="G4" s="30" t="s">
        <v>37</v>
      </c>
      <c r="H4" s="106"/>
      <c r="I4" s="114"/>
      <c r="J4" s="115"/>
      <c r="K4" s="115"/>
      <c r="L4" s="109"/>
      <c r="M4" s="115"/>
      <c r="N4" s="114"/>
      <c r="O4" s="114"/>
      <c r="P4" s="109"/>
      <c r="R4" s="116" t="s">
        <v>38</v>
      </c>
      <c r="S4" s="116" t="s">
        <v>39</v>
      </c>
      <c r="T4" s="116" t="s">
        <v>40</v>
      </c>
      <c r="U4" s="117" t="s">
        <v>41</v>
      </c>
      <c r="V4" s="118" t="s">
        <v>42</v>
      </c>
      <c r="W4" s="118" t="s">
        <v>43</v>
      </c>
      <c r="Y4" s="116" t="s">
        <v>38</v>
      </c>
      <c r="Z4" s="116" t="s">
        <v>39</v>
      </c>
      <c r="AA4" s="116" t="s">
        <v>40</v>
      </c>
      <c r="AB4" s="117" t="s">
        <v>41</v>
      </c>
      <c r="AC4" s="118" t="s">
        <v>42</v>
      </c>
      <c r="AD4" s="118" t="s">
        <v>43</v>
      </c>
    </row>
    <row r="5" spans="1:30" s="128" customFormat="1" ht="12.6" x14ac:dyDescent="0.25">
      <c r="A5" s="119"/>
      <c r="B5" s="120">
        <v>42434</v>
      </c>
      <c r="C5" s="121">
        <v>42464</v>
      </c>
      <c r="D5" s="119" t="s">
        <v>44</v>
      </c>
      <c r="E5" s="122">
        <v>42438</v>
      </c>
      <c r="F5" s="122">
        <v>42803</v>
      </c>
      <c r="G5" s="47">
        <v>105188</v>
      </c>
      <c r="H5" s="123">
        <v>71188</v>
      </c>
      <c r="I5" s="124">
        <v>8900</v>
      </c>
      <c r="J5" s="124">
        <v>9200</v>
      </c>
      <c r="K5" s="125">
        <v>9400</v>
      </c>
      <c r="L5" s="50">
        <f>(+H5-I5-J5-K5)</f>
        <v>43688</v>
      </c>
      <c r="M5" s="126">
        <v>8800</v>
      </c>
      <c r="N5" s="127">
        <v>8800</v>
      </c>
      <c r="O5" s="127">
        <v>8800</v>
      </c>
      <c r="P5" s="51">
        <f>SUM(L5-M5-N5-O5)</f>
        <v>17288</v>
      </c>
      <c r="R5" s="129" t="str">
        <f>IF(F5&lt;=$L$3,IF(L5&lt;&gt;0,"X","-"),"-")</f>
        <v>-</v>
      </c>
      <c r="S5" s="130">
        <f>ROUND((F5-E5)/30.41,0)</f>
        <v>12</v>
      </c>
      <c r="T5" s="130">
        <f>IF($L$3&gt;F5,S5,ROUND(($L$3-E5)/30,0))</f>
        <v>7</v>
      </c>
      <c r="U5" s="131">
        <f>G5/S5*T5</f>
        <v>61359.666666666664</v>
      </c>
      <c r="V5" s="131">
        <f>G5-U5</f>
        <v>43828.333333333336</v>
      </c>
      <c r="W5" s="131">
        <f>ROUND(L5-V5,-3)</f>
        <v>0</v>
      </c>
      <c r="Y5" s="129" t="str">
        <f>IF(F5&lt;=$P$3,IF(P5&lt;&gt;0,"X","-"),"-")</f>
        <v>-</v>
      </c>
      <c r="Z5" s="130">
        <f>ROUND((F5-E5)/30.41,0)</f>
        <v>12</v>
      </c>
      <c r="AA5" s="130">
        <f>IF($P$3&gt;F5,Z5,ROUND(($P$3-E5)/30,0))</f>
        <v>10</v>
      </c>
      <c r="AB5" s="131">
        <f>G5/Z5*AA5</f>
        <v>87656.666666666657</v>
      </c>
      <c r="AC5" s="131">
        <f>G5-AB5</f>
        <v>17531.333333333343</v>
      </c>
      <c r="AD5" s="131">
        <f>ROUND(P5-AC5,-3)</f>
        <v>0</v>
      </c>
    </row>
    <row r="6" spans="1:30" s="128" customFormat="1" ht="12.6" x14ac:dyDescent="0.25">
      <c r="A6" s="119"/>
      <c r="B6" s="120">
        <v>42068</v>
      </c>
      <c r="C6" s="121"/>
      <c r="D6" s="119" t="s">
        <v>12</v>
      </c>
      <c r="E6" s="122">
        <v>42072</v>
      </c>
      <c r="F6" s="122">
        <v>42438</v>
      </c>
      <c r="G6" s="47">
        <v>102331</v>
      </c>
      <c r="H6" s="47">
        <v>-2769</v>
      </c>
      <c r="I6" s="125">
        <v>0</v>
      </c>
      <c r="J6" s="125">
        <v>0</v>
      </c>
      <c r="K6" s="125">
        <v>0</v>
      </c>
      <c r="L6" s="50">
        <f>+H6-I6-J6-K6</f>
        <v>-2769</v>
      </c>
      <c r="M6" s="126">
        <v>0</v>
      </c>
      <c r="N6" s="127">
        <v>0</v>
      </c>
      <c r="O6" s="127">
        <v>0</v>
      </c>
      <c r="P6" s="51">
        <f>SUM(L6-M6-N6-O6)</f>
        <v>-2769</v>
      </c>
      <c r="Q6" s="132"/>
      <c r="R6" s="129" t="str">
        <f>IF(F6&lt;=$L$3,IF(L6&lt;&gt;0,"X","-"),"-")</f>
        <v>X</v>
      </c>
      <c r="S6" s="130">
        <f>ROUND((F6-E6)/30.41,0)</f>
        <v>12</v>
      </c>
      <c r="T6" s="130">
        <f>IF($L$3&gt;F6,S6,ROUND(($L$3-E6)/30,0))</f>
        <v>12</v>
      </c>
      <c r="U6" s="131">
        <f>G6/S6*T6</f>
        <v>102331</v>
      </c>
      <c r="V6" s="131">
        <f>G6-U6</f>
        <v>0</v>
      </c>
      <c r="W6" s="131">
        <f>ROUND(L6-V6,-3)</f>
        <v>-3000</v>
      </c>
      <c r="Y6" s="129" t="str">
        <f>IF(F6&lt;=$P$3,IF(P6&lt;&gt;0,"X","-"),"-")</f>
        <v>X</v>
      </c>
      <c r="Z6" s="130">
        <f>ROUND((F6-E6)/30.41,0)</f>
        <v>12</v>
      </c>
      <c r="AA6" s="130">
        <f>IF($P$3&gt;F6,Z6,ROUND(($P$3-E6)/30,0))</f>
        <v>12</v>
      </c>
      <c r="AB6" s="131">
        <f>G6/Z6*AA6</f>
        <v>102331</v>
      </c>
      <c r="AC6" s="131">
        <f>G6-AB6</f>
        <v>0</v>
      </c>
      <c r="AD6" s="131">
        <f>ROUND(P6-AC6,-3)</f>
        <v>-3000</v>
      </c>
    </row>
    <row r="7" spans="1:30" ht="12.6" x14ac:dyDescent="0.25">
      <c r="A7" s="133"/>
      <c r="B7" s="134"/>
      <c r="C7" s="134"/>
      <c r="D7" s="134"/>
      <c r="E7" s="134"/>
      <c r="F7" s="134"/>
      <c r="G7" s="135" t="s">
        <v>37</v>
      </c>
      <c r="H7" s="135">
        <f>SUM(H5:H6)</f>
        <v>68419</v>
      </c>
      <c r="I7" s="135">
        <f t="shared" ref="I7:P7" si="0">SUM(I5:I6)</f>
        <v>8900</v>
      </c>
      <c r="J7" s="135">
        <f t="shared" si="0"/>
        <v>9200</v>
      </c>
      <c r="K7" s="135">
        <f t="shared" si="0"/>
        <v>9400</v>
      </c>
      <c r="L7" s="135">
        <f t="shared" si="0"/>
        <v>40919</v>
      </c>
      <c r="M7" s="135">
        <f t="shared" si="0"/>
        <v>8800</v>
      </c>
      <c r="N7" s="135">
        <f t="shared" si="0"/>
        <v>8800</v>
      </c>
      <c r="O7" s="135">
        <f t="shared" si="0"/>
        <v>8800</v>
      </c>
      <c r="P7" s="135">
        <f t="shared" si="0"/>
        <v>14519</v>
      </c>
      <c r="R7" s="136"/>
      <c r="S7" s="137"/>
      <c r="T7" s="137"/>
      <c r="U7" s="138"/>
      <c r="V7" s="138"/>
      <c r="W7" s="139"/>
      <c r="X7" s="140"/>
      <c r="Y7" s="140"/>
      <c r="Z7" s="140"/>
      <c r="AA7" s="140"/>
      <c r="AB7" s="141"/>
      <c r="AC7" s="141"/>
      <c r="AD7" s="139"/>
    </row>
    <row r="8" spans="1:30" ht="14.45" x14ac:dyDescent="0.35">
      <c r="A8" s="142">
        <v>1.9239999999999999</v>
      </c>
      <c r="B8" s="143" t="s">
        <v>45</v>
      </c>
      <c r="C8" s="143"/>
      <c r="D8" s="143" t="s">
        <v>46</v>
      </c>
      <c r="E8" s="144"/>
      <c r="F8" s="144"/>
      <c r="G8" s="145"/>
      <c r="H8" s="146">
        <v>0</v>
      </c>
      <c r="I8" s="39"/>
      <c r="J8" s="39"/>
      <c r="K8" s="39"/>
      <c r="L8" s="147">
        <f>SUM(H8-I8-J8-K8)</f>
        <v>0</v>
      </c>
      <c r="M8" s="148"/>
      <c r="N8" s="149"/>
      <c r="O8" s="148"/>
      <c r="P8" s="150">
        <f>SUM(L8-M8-N8-O8)</f>
        <v>0</v>
      </c>
      <c r="W8" s="139"/>
      <c r="AD8" s="139"/>
    </row>
    <row r="9" spans="1:30" s="128" customFormat="1" ht="12.6" x14ac:dyDescent="0.25">
      <c r="A9" s="155"/>
      <c r="B9" s="120">
        <v>42434</v>
      </c>
      <c r="C9" s="121">
        <v>42464</v>
      </c>
      <c r="D9" s="156" t="s">
        <v>44</v>
      </c>
      <c r="E9" s="121">
        <v>42438</v>
      </c>
      <c r="F9" s="121">
        <v>42803</v>
      </c>
      <c r="G9" s="36">
        <v>46478</v>
      </c>
      <c r="H9" s="125">
        <v>31678</v>
      </c>
      <c r="I9" s="125">
        <v>3900</v>
      </c>
      <c r="J9" s="125">
        <v>3800</v>
      </c>
      <c r="K9" s="39">
        <v>3800</v>
      </c>
      <c r="L9" s="50">
        <f>(+H9-I9-J9-K9)</f>
        <v>20178</v>
      </c>
      <c r="M9" s="148">
        <v>3800</v>
      </c>
      <c r="N9" s="149">
        <v>3800</v>
      </c>
      <c r="O9" s="148">
        <v>3700</v>
      </c>
      <c r="P9" s="51">
        <f>SUM(L9-M9-N9-O9)</f>
        <v>8878</v>
      </c>
      <c r="R9" s="129" t="str">
        <f>IF(F9&lt;=$L$3,IF(L9&lt;&gt;0,"X","-"),"-")</f>
        <v>-</v>
      </c>
      <c r="S9" s="130">
        <f>ROUND((F9-E9)/30.41,0)</f>
        <v>12</v>
      </c>
      <c r="T9" s="130">
        <f>IF($L$3&gt;F9,S9,ROUND(($L$3-E9)/30,0))</f>
        <v>7</v>
      </c>
      <c r="U9" s="131">
        <f>G9/S9*T9</f>
        <v>27112.166666666664</v>
      </c>
      <c r="V9" s="131">
        <f>G9-U9</f>
        <v>19365.833333333336</v>
      </c>
      <c r="W9" s="131">
        <f>ROUND(L9-V9,-3)</f>
        <v>1000</v>
      </c>
      <c r="Y9" s="129" t="str">
        <f>IF(F9&lt;=$P$3,IF(P9&lt;&gt;0,"X","-"),"-")</f>
        <v>-</v>
      </c>
      <c r="Z9" s="130">
        <f>ROUND((F9-E9)/30.41,0)</f>
        <v>12</v>
      </c>
      <c r="AA9" s="130">
        <f>IF($P$3&gt;F9,Z9,ROUND(($P$3-E9)/30,0))</f>
        <v>10</v>
      </c>
      <c r="AB9" s="131">
        <f>G9/Z9*AA9</f>
        <v>38731.666666666664</v>
      </c>
      <c r="AC9" s="131">
        <f>G9-AB9</f>
        <v>7746.3333333333358</v>
      </c>
      <c r="AD9" s="131">
        <f>ROUND(P9-AC9,-3)</f>
        <v>1000</v>
      </c>
    </row>
    <row r="10" spans="1:30" s="128" customFormat="1" ht="12.6" x14ac:dyDescent="0.25">
      <c r="A10" s="155"/>
      <c r="B10" s="120">
        <v>42068</v>
      </c>
      <c r="C10" s="121"/>
      <c r="D10" s="119" t="s">
        <v>12</v>
      </c>
      <c r="E10" s="122">
        <v>42072</v>
      </c>
      <c r="F10" s="122">
        <v>42438</v>
      </c>
      <c r="G10" s="36">
        <v>46110</v>
      </c>
      <c r="H10" s="157">
        <v>510</v>
      </c>
      <c r="I10" s="39">
        <v>0</v>
      </c>
      <c r="J10" s="39">
        <v>0</v>
      </c>
      <c r="K10" s="39">
        <v>0</v>
      </c>
      <c r="L10" s="50">
        <f>+H10-I10-J10-K10</f>
        <v>510</v>
      </c>
      <c r="M10" s="148">
        <v>0</v>
      </c>
      <c r="N10" s="149">
        <v>0</v>
      </c>
      <c r="O10" s="148">
        <v>0</v>
      </c>
      <c r="P10" s="51">
        <f>SUM(L10-M10-N10-O10)</f>
        <v>510</v>
      </c>
      <c r="R10" s="129" t="str">
        <f>IF(F10&lt;=$L$3,IF(L10&lt;&gt;0,"X","-"),"-")</f>
        <v>X</v>
      </c>
      <c r="S10" s="130">
        <f>ROUND((F10-E10)/30.41,0)</f>
        <v>12</v>
      </c>
      <c r="T10" s="130">
        <f>IF($L$3&gt;F10,S10,ROUND(($L$3-E10)/30,0))</f>
        <v>12</v>
      </c>
      <c r="U10" s="131">
        <f>G10/S10*T10</f>
        <v>46110</v>
      </c>
      <c r="V10" s="131">
        <f>G10-U10</f>
        <v>0</v>
      </c>
      <c r="W10" s="131">
        <f>ROUND(L10-V10,-3)</f>
        <v>1000</v>
      </c>
      <c r="Y10" s="129" t="str">
        <f>IF(F10&lt;=$P$3,IF(P10&lt;&gt;0,"X","-"),"-")</f>
        <v>X</v>
      </c>
      <c r="Z10" s="130">
        <f>ROUND((F10-E10)/30.41,0)</f>
        <v>12</v>
      </c>
      <c r="AA10" s="130">
        <f>IF($P$3&gt;F10,Z10,ROUND(($P$3-E10)/30,0))</f>
        <v>12</v>
      </c>
      <c r="AB10" s="131">
        <f>G10/Z10*AA10</f>
        <v>46110</v>
      </c>
      <c r="AC10" s="131">
        <f>G10-AB10</f>
        <v>0</v>
      </c>
      <c r="AD10" s="131">
        <f>ROUND(P10-AC10,-3)</f>
        <v>1000</v>
      </c>
    </row>
    <row r="11" spans="1:30" ht="12.6" x14ac:dyDescent="0.25">
      <c r="A11" s="133"/>
      <c r="B11" s="134"/>
      <c r="C11" s="134"/>
      <c r="D11" s="134"/>
      <c r="E11" s="134"/>
      <c r="F11" s="134"/>
      <c r="G11" s="135" t="s">
        <v>37</v>
      </c>
      <c r="H11" s="158">
        <f>SUM(H9:H10)</f>
        <v>32188</v>
      </c>
      <c r="I11" s="158">
        <f t="shared" ref="I11:P11" si="1">SUM(I9:I10)</f>
        <v>3900</v>
      </c>
      <c r="J11" s="158">
        <f t="shared" si="1"/>
        <v>3800</v>
      </c>
      <c r="K11" s="158">
        <f t="shared" si="1"/>
        <v>3800</v>
      </c>
      <c r="L11" s="158">
        <f t="shared" si="1"/>
        <v>20688</v>
      </c>
      <c r="M11" s="158">
        <f t="shared" si="1"/>
        <v>3800</v>
      </c>
      <c r="N11" s="158">
        <f t="shared" si="1"/>
        <v>3800</v>
      </c>
      <c r="O11" s="158">
        <f t="shared" si="1"/>
        <v>3700</v>
      </c>
      <c r="P11" s="158">
        <f t="shared" si="1"/>
        <v>9388</v>
      </c>
      <c r="R11" s="136"/>
      <c r="S11" s="137"/>
      <c r="T11" s="137"/>
      <c r="U11" s="138"/>
      <c r="V11" s="138"/>
      <c r="W11" s="139"/>
      <c r="X11" s="140"/>
      <c r="Y11" s="140"/>
      <c r="Z11" s="140"/>
      <c r="AA11" s="140"/>
      <c r="AB11" s="141"/>
      <c r="AC11" s="141"/>
      <c r="AD11" s="139"/>
    </row>
    <row r="12" spans="1:30" ht="14.45" x14ac:dyDescent="0.35">
      <c r="A12" s="142">
        <v>1.9239999999999999</v>
      </c>
      <c r="B12" s="143" t="s">
        <v>47</v>
      </c>
      <c r="C12" s="143"/>
      <c r="D12" s="143"/>
      <c r="E12" s="144"/>
      <c r="F12" s="144"/>
      <c r="G12" s="145"/>
      <c r="H12" s="159"/>
      <c r="I12" s="36"/>
      <c r="J12" s="145"/>
      <c r="K12" s="145"/>
      <c r="L12" s="160">
        <f>SUM(H12-K12-J12-I12)</f>
        <v>0</v>
      </c>
      <c r="M12" s="161"/>
      <c r="N12" s="36"/>
      <c r="O12" s="36"/>
      <c r="P12" s="162">
        <f t="shared" ref="P12:P25" si="2">SUM(L12-O12-N12-M12)</f>
        <v>0</v>
      </c>
      <c r="R12" s="151" t="str">
        <f>IF(F12&lt;=$L$3,IF(L12&lt;&gt;0,"X","-"),"-")</f>
        <v>-</v>
      </c>
      <c r="W12" s="139"/>
      <c r="Y12" s="151" t="str">
        <f>IF(F12&lt;=$P$3,IF(P12&lt;&gt;0,"X","-"),"-")</f>
        <v>-</v>
      </c>
      <c r="AD12" s="139"/>
    </row>
    <row r="13" spans="1:30" s="128" customFormat="1" ht="12.6" x14ac:dyDescent="0.25">
      <c r="A13" s="155"/>
      <c r="B13" s="120">
        <v>42438</v>
      </c>
      <c r="C13" s="121">
        <v>42450</v>
      </c>
      <c r="D13" s="156" t="s">
        <v>13</v>
      </c>
      <c r="E13" s="121">
        <v>42438</v>
      </c>
      <c r="F13" s="121">
        <v>43533</v>
      </c>
      <c r="G13" s="36">
        <v>54497.61</v>
      </c>
      <c r="H13" s="37">
        <v>48442.239999999998</v>
      </c>
      <c r="I13" s="37">
        <v>1513.82</v>
      </c>
      <c r="J13" s="37">
        <v>1513.82</v>
      </c>
      <c r="K13" s="37">
        <v>1513.82</v>
      </c>
      <c r="L13" s="38">
        <f>SUM(H13-I13-J13-K13)</f>
        <v>43900.78</v>
      </c>
      <c r="M13" s="39">
        <v>1513.82</v>
      </c>
      <c r="N13" s="39">
        <v>1513.82</v>
      </c>
      <c r="O13" s="39">
        <v>1513.82</v>
      </c>
      <c r="P13" s="36">
        <f t="shared" si="2"/>
        <v>39359.32</v>
      </c>
      <c r="R13" s="129" t="str">
        <f>IF(F13&lt;=$L$3,IF(L13&lt;&gt;0,"X","-"),"-")</f>
        <v>-</v>
      </c>
      <c r="S13" s="130">
        <f>ROUND((F13-E13)/30.41,0)</f>
        <v>36</v>
      </c>
      <c r="T13" s="130">
        <f>IF($L$3&gt;F13,S13,ROUND(($L$3-E13)/30,0))</f>
        <v>7</v>
      </c>
      <c r="U13" s="131">
        <f>G13/S13*T13</f>
        <v>10596.7575</v>
      </c>
      <c r="V13" s="131">
        <f>G13-U13</f>
        <v>43900.852500000001</v>
      </c>
      <c r="W13" s="131">
        <f>ROUND(L13-V13,-3)</f>
        <v>0</v>
      </c>
      <c r="Y13" s="129" t="str">
        <f>IF(F13&lt;=$P$3,IF(P13&lt;&gt;0,"X","-"),"-")</f>
        <v>-</v>
      </c>
      <c r="Z13" s="130">
        <f>ROUND((F13-E13)/30.41,0)</f>
        <v>36</v>
      </c>
      <c r="AA13" s="130">
        <f>IF($P$3&gt;F13,Z13,ROUND(($P$3-E13)/30,0))</f>
        <v>10</v>
      </c>
      <c r="AB13" s="131">
        <f>G13/Z13*AA13</f>
        <v>15138.225</v>
      </c>
      <c r="AC13" s="131">
        <f>G13-AB13</f>
        <v>39359.385000000002</v>
      </c>
      <c r="AD13" s="131">
        <f>ROUND(P13-AC13,-3)</f>
        <v>0</v>
      </c>
    </row>
    <row r="14" spans="1:30" s="128" customFormat="1" ht="12.6" x14ac:dyDescent="0.25">
      <c r="A14" s="155"/>
      <c r="B14" s="120">
        <v>42445</v>
      </c>
      <c r="C14" s="121">
        <v>42450</v>
      </c>
      <c r="D14" s="163" t="s">
        <v>48</v>
      </c>
      <c r="E14" s="121">
        <v>42438</v>
      </c>
      <c r="F14" s="121">
        <v>42803</v>
      </c>
      <c r="G14" s="36">
        <v>70000</v>
      </c>
      <c r="H14" s="37">
        <v>46666.639999999992</v>
      </c>
      <c r="I14" s="37">
        <v>5833.33</v>
      </c>
      <c r="J14" s="37">
        <v>5833.33</v>
      </c>
      <c r="K14" s="37">
        <v>5833.33</v>
      </c>
      <c r="L14" s="38">
        <f t="shared" ref="L14:L25" si="3">SUM(H14-I14-J14-K14)</f>
        <v>29166.649999999987</v>
      </c>
      <c r="M14" s="39">
        <v>5833.33</v>
      </c>
      <c r="N14" s="39">
        <v>5833.33</v>
      </c>
      <c r="O14" s="39">
        <v>5833.33</v>
      </c>
      <c r="P14" s="36">
        <f t="shared" si="2"/>
        <v>11666.659999999983</v>
      </c>
      <c r="R14" s="129" t="str">
        <f t="shared" ref="R14:R25" si="4">IF(F14&lt;=$L$3,IF(L14&lt;&gt;0,"X","-"),"-")</f>
        <v>-</v>
      </c>
      <c r="S14" s="130">
        <f t="shared" ref="S14:S25" si="5">ROUND((F14-E14)/30.41,0)</f>
        <v>12</v>
      </c>
      <c r="T14" s="130">
        <f t="shared" ref="T14:T25" si="6">IF($L$3&gt;F14,S14,ROUND(($L$3-E14)/30,0))</f>
        <v>7</v>
      </c>
      <c r="U14" s="131">
        <f t="shared" ref="U14:U25" si="7">G14/S14*T14</f>
        <v>40833.333333333328</v>
      </c>
      <c r="V14" s="131">
        <f t="shared" ref="V14:V25" si="8">G14-U14</f>
        <v>29166.666666666672</v>
      </c>
      <c r="W14" s="131">
        <f t="shared" ref="W14:W25" si="9">ROUND(L14-V14,-3)</f>
        <v>0</v>
      </c>
      <c r="Y14" s="129" t="str">
        <f t="shared" ref="Y14:Y25" si="10">IF(F14&lt;=$P$3,IF(P14&lt;&gt;0,"X","-"),"-")</f>
        <v>-</v>
      </c>
      <c r="Z14" s="130">
        <f t="shared" ref="Z14:Z25" si="11">ROUND((F14-E14)/30.41,0)</f>
        <v>12</v>
      </c>
      <c r="AA14" s="130">
        <f t="shared" ref="AA14:AA25" si="12">IF($P$3&gt;F14,Z14,ROUND(($P$3-E14)/30,0))</f>
        <v>10</v>
      </c>
      <c r="AB14" s="131">
        <f t="shared" ref="AB14:AB25" si="13">G14/Z14*AA14</f>
        <v>58333.333333333328</v>
      </c>
      <c r="AC14" s="131">
        <f t="shared" ref="AC14:AC25" si="14">G14-AB14</f>
        <v>11666.666666666672</v>
      </c>
      <c r="AD14" s="131">
        <f t="shared" ref="AD14:AD25" si="15">ROUND(P14-AC14,-3)</f>
        <v>0</v>
      </c>
    </row>
    <row r="15" spans="1:30" s="128" customFormat="1" ht="12.6" x14ac:dyDescent="0.25">
      <c r="A15" s="155"/>
      <c r="B15" s="120">
        <v>42438</v>
      </c>
      <c r="C15" s="121">
        <v>42450</v>
      </c>
      <c r="D15" s="156" t="s">
        <v>49</v>
      </c>
      <c r="E15" s="121">
        <v>42438</v>
      </c>
      <c r="F15" s="121">
        <v>42803</v>
      </c>
      <c r="G15" s="36">
        <v>35524.129999999997</v>
      </c>
      <c r="H15" s="37">
        <v>23682.719999999998</v>
      </c>
      <c r="I15" s="37">
        <v>2960.34</v>
      </c>
      <c r="J15" s="37">
        <v>2960.34</v>
      </c>
      <c r="K15" s="37">
        <v>2960.34</v>
      </c>
      <c r="L15" s="38">
        <f t="shared" si="3"/>
        <v>14801.699999999997</v>
      </c>
      <c r="M15" s="39">
        <v>2960.34</v>
      </c>
      <c r="N15" s="39">
        <v>2960.34</v>
      </c>
      <c r="O15" s="39">
        <v>2960.34</v>
      </c>
      <c r="P15" s="36">
        <f t="shared" si="2"/>
        <v>5920.6799999999967</v>
      </c>
      <c r="R15" s="129" t="str">
        <f t="shared" si="4"/>
        <v>-</v>
      </c>
      <c r="S15" s="130">
        <f t="shared" si="5"/>
        <v>12</v>
      </c>
      <c r="T15" s="130">
        <f t="shared" si="6"/>
        <v>7</v>
      </c>
      <c r="U15" s="131">
        <f t="shared" si="7"/>
        <v>20722.409166666665</v>
      </c>
      <c r="V15" s="131">
        <f t="shared" si="8"/>
        <v>14801.720833333333</v>
      </c>
      <c r="W15" s="131">
        <f t="shared" si="9"/>
        <v>0</v>
      </c>
      <c r="Y15" s="129" t="str">
        <f t="shared" si="10"/>
        <v>-</v>
      </c>
      <c r="Z15" s="130">
        <f t="shared" si="11"/>
        <v>12</v>
      </c>
      <c r="AA15" s="130">
        <f t="shared" si="12"/>
        <v>10</v>
      </c>
      <c r="AB15" s="131">
        <f t="shared" si="13"/>
        <v>29603.441666666662</v>
      </c>
      <c r="AC15" s="131">
        <f t="shared" si="14"/>
        <v>5920.6883333333353</v>
      </c>
      <c r="AD15" s="131">
        <f t="shared" si="15"/>
        <v>0</v>
      </c>
    </row>
    <row r="16" spans="1:30" s="128" customFormat="1" ht="12.6" x14ac:dyDescent="0.25">
      <c r="A16" s="155"/>
      <c r="B16" s="120">
        <v>42445</v>
      </c>
      <c r="C16" s="121">
        <v>42450</v>
      </c>
      <c r="D16" s="156" t="s">
        <v>50</v>
      </c>
      <c r="E16" s="121">
        <v>42438</v>
      </c>
      <c r="F16" s="121">
        <v>42803</v>
      </c>
      <c r="G16" s="36">
        <v>4546</v>
      </c>
      <c r="H16" s="37">
        <v>3030.6400000000003</v>
      </c>
      <c r="I16" s="37">
        <v>378.83</v>
      </c>
      <c r="J16" s="37">
        <v>378.83</v>
      </c>
      <c r="K16" s="37">
        <v>378.83</v>
      </c>
      <c r="L16" s="38">
        <f t="shared" si="3"/>
        <v>1894.1500000000005</v>
      </c>
      <c r="M16" s="39">
        <v>378.83</v>
      </c>
      <c r="N16" s="39">
        <v>378.83</v>
      </c>
      <c r="O16" s="39">
        <v>378.83</v>
      </c>
      <c r="P16" s="36">
        <f t="shared" si="2"/>
        <v>757.66000000000076</v>
      </c>
      <c r="R16" s="129" t="str">
        <f t="shared" si="4"/>
        <v>-</v>
      </c>
      <c r="S16" s="130">
        <f t="shared" si="5"/>
        <v>12</v>
      </c>
      <c r="T16" s="130">
        <f t="shared" si="6"/>
        <v>7</v>
      </c>
      <c r="U16" s="131">
        <f t="shared" si="7"/>
        <v>2651.833333333333</v>
      </c>
      <c r="V16" s="131">
        <f t="shared" si="8"/>
        <v>1894.166666666667</v>
      </c>
      <c r="W16" s="131">
        <f t="shared" si="9"/>
        <v>0</v>
      </c>
      <c r="Y16" s="129" t="str">
        <f t="shared" si="10"/>
        <v>-</v>
      </c>
      <c r="Z16" s="130">
        <f t="shared" si="11"/>
        <v>12</v>
      </c>
      <c r="AA16" s="130">
        <f t="shared" si="12"/>
        <v>10</v>
      </c>
      <c r="AB16" s="131">
        <f t="shared" si="13"/>
        <v>3788.333333333333</v>
      </c>
      <c r="AC16" s="131">
        <f t="shared" si="14"/>
        <v>757.66666666666697</v>
      </c>
      <c r="AD16" s="131">
        <f t="shared" si="15"/>
        <v>0</v>
      </c>
    </row>
    <row r="17" spans="1:30" s="128" customFormat="1" ht="21" x14ac:dyDescent="0.25">
      <c r="A17" s="155"/>
      <c r="B17" s="120">
        <v>42446</v>
      </c>
      <c r="C17" s="121">
        <v>42450</v>
      </c>
      <c r="D17" s="163" t="s">
        <v>51</v>
      </c>
      <c r="E17" s="121">
        <v>42438</v>
      </c>
      <c r="F17" s="121">
        <v>42803</v>
      </c>
      <c r="G17" s="36">
        <v>54854.93</v>
      </c>
      <c r="H17" s="37">
        <v>36569.920000000006</v>
      </c>
      <c r="I17" s="37">
        <v>4571.24</v>
      </c>
      <c r="J17" s="37">
        <v>4571.24</v>
      </c>
      <c r="K17" s="37">
        <v>4571.24</v>
      </c>
      <c r="L17" s="38">
        <f t="shared" si="3"/>
        <v>22856.200000000012</v>
      </c>
      <c r="M17" s="39">
        <v>4571.24</v>
      </c>
      <c r="N17" s="39">
        <v>4571.24</v>
      </c>
      <c r="O17" s="39">
        <v>4571.24</v>
      </c>
      <c r="P17" s="36">
        <f t="shared" si="2"/>
        <v>9142.4800000000141</v>
      </c>
      <c r="R17" s="129" t="str">
        <f t="shared" si="4"/>
        <v>-</v>
      </c>
      <c r="S17" s="130">
        <f t="shared" si="5"/>
        <v>12</v>
      </c>
      <c r="T17" s="130">
        <f t="shared" si="6"/>
        <v>7</v>
      </c>
      <c r="U17" s="131">
        <f t="shared" si="7"/>
        <v>31998.709166666664</v>
      </c>
      <c r="V17" s="131">
        <f t="shared" si="8"/>
        <v>22856.220833333336</v>
      </c>
      <c r="W17" s="131">
        <f t="shared" si="9"/>
        <v>0</v>
      </c>
      <c r="Y17" s="129" t="str">
        <f t="shared" si="10"/>
        <v>-</v>
      </c>
      <c r="Z17" s="130">
        <f t="shared" si="11"/>
        <v>12</v>
      </c>
      <c r="AA17" s="130">
        <f t="shared" si="12"/>
        <v>10</v>
      </c>
      <c r="AB17" s="131">
        <f t="shared" si="13"/>
        <v>45712.441666666666</v>
      </c>
      <c r="AC17" s="131">
        <f t="shared" si="14"/>
        <v>9142.4883333333346</v>
      </c>
      <c r="AD17" s="131">
        <f t="shared" si="15"/>
        <v>0</v>
      </c>
    </row>
    <row r="18" spans="1:30" s="128" customFormat="1" ht="12.6" x14ac:dyDescent="0.25">
      <c r="A18" s="155"/>
      <c r="B18" s="120">
        <v>42446</v>
      </c>
      <c r="C18" s="121">
        <v>42450</v>
      </c>
      <c r="D18" s="156" t="s">
        <v>52</v>
      </c>
      <c r="E18" s="121">
        <v>42438</v>
      </c>
      <c r="F18" s="121">
        <v>42803</v>
      </c>
      <c r="G18" s="36">
        <v>50900</v>
      </c>
      <c r="H18" s="37">
        <v>33933.279999999999</v>
      </c>
      <c r="I18" s="37">
        <v>4241.66</v>
      </c>
      <c r="J18" s="37">
        <v>4241.66</v>
      </c>
      <c r="K18" s="37">
        <v>4241.66</v>
      </c>
      <c r="L18" s="38">
        <f t="shared" si="3"/>
        <v>21208.3</v>
      </c>
      <c r="M18" s="39">
        <v>4241.66</v>
      </c>
      <c r="N18" s="39">
        <v>4241.66</v>
      </c>
      <c r="O18" s="39">
        <v>4241.66</v>
      </c>
      <c r="P18" s="36">
        <f t="shared" si="2"/>
        <v>8483.32</v>
      </c>
      <c r="R18" s="129" t="str">
        <f t="shared" si="4"/>
        <v>-</v>
      </c>
      <c r="S18" s="130">
        <f t="shared" si="5"/>
        <v>12</v>
      </c>
      <c r="T18" s="130">
        <f t="shared" si="6"/>
        <v>7</v>
      </c>
      <c r="U18" s="131">
        <f t="shared" si="7"/>
        <v>29691.666666666668</v>
      </c>
      <c r="V18" s="131">
        <f t="shared" si="8"/>
        <v>21208.333333333332</v>
      </c>
      <c r="W18" s="131">
        <f t="shared" si="9"/>
        <v>0</v>
      </c>
      <c r="Y18" s="129" t="str">
        <f t="shared" si="10"/>
        <v>-</v>
      </c>
      <c r="Z18" s="130">
        <f t="shared" si="11"/>
        <v>12</v>
      </c>
      <c r="AA18" s="130">
        <f t="shared" si="12"/>
        <v>10</v>
      </c>
      <c r="AB18" s="131">
        <f t="shared" si="13"/>
        <v>42416.666666666672</v>
      </c>
      <c r="AC18" s="131">
        <f t="shared" si="14"/>
        <v>8483.3333333333285</v>
      </c>
      <c r="AD18" s="131">
        <f t="shared" si="15"/>
        <v>0</v>
      </c>
    </row>
    <row r="19" spans="1:30" s="128" customFormat="1" ht="12.6" x14ac:dyDescent="0.25">
      <c r="A19" s="155"/>
      <c r="B19" s="120">
        <v>42438</v>
      </c>
      <c r="C19" s="121">
        <v>42450</v>
      </c>
      <c r="D19" s="163" t="s">
        <v>53</v>
      </c>
      <c r="E19" s="121">
        <v>42438</v>
      </c>
      <c r="F19" s="121">
        <v>42803</v>
      </c>
      <c r="G19" s="36">
        <v>63757</v>
      </c>
      <c r="H19" s="37">
        <v>42504.639999999992</v>
      </c>
      <c r="I19" s="37">
        <v>5313.08</v>
      </c>
      <c r="J19" s="37">
        <v>5313.08</v>
      </c>
      <c r="K19" s="37">
        <v>5313.08</v>
      </c>
      <c r="L19" s="38">
        <f t="shared" si="3"/>
        <v>26565.399999999987</v>
      </c>
      <c r="M19" s="39">
        <v>5313.08</v>
      </c>
      <c r="N19" s="39">
        <v>5313.08</v>
      </c>
      <c r="O19" s="39">
        <v>5313.08</v>
      </c>
      <c r="P19" s="36">
        <f t="shared" si="2"/>
        <v>10626.159999999985</v>
      </c>
      <c r="R19" s="129" t="str">
        <f t="shared" si="4"/>
        <v>-</v>
      </c>
      <c r="S19" s="130">
        <f t="shared" si="5"/>
        <v>12</v>
      </c>
      <c r="T19" s="130">
        <f t="shared" si="6"/>
        <v>7</v>
      </c>
      <c r="U19" s="131">
        <f t="shared" si="7"/>
        <v>37191.583333333328</v>
      </c>
      <c r="V19" s="131">
        <f t="shared" si="8"/>
        <v>26565.416666666672</v>
      </c>
      <c r="W19" s="131">
        <f t="shared" si="9"/>
        <v>0</v>
      </c>
      <c r="Y19" s="129" t="str">
        <f t="shared" si="10"/>
        <v>-</v>
      </c>
      <c r="Z19" s="130">
        <f t="shared" si="11"/>
        <v>12</v>
      </c>
      <c r="AA19" s="130">
        <f t="shared" si="12"/>
        <v>10</v>
      </c>
      <c r="AB19" s="131">
        <f t="shared" si="13"/>
        <v>53130.833333333328</v>
      </c>
      <c r="AC19" s="131">
        <f t="shared" si="14"/>
        <v>10626.166666666672</v>
      </c>
      <c r="AD19" s="131">
        <f t="shared" si="15"/>
        <v>0</v>
      </c>
    </row>
    <row r="20" spans="1:30" s="128" customFormat="1" ht="12.6" x14ac:dyDescent="0.25">
      <c r="A20" s="155"/>
      <c r="B20" s="120">
        <v>42438</v>
      </c>
      <c r="C20" s="121">
        <v>42450</v>
      </c>
      <c r="D20" s="156" t="s">
        <v>54</v>
      </c>
      <c r="E20" s="121">
        <v>42438</v>
      </c>
      <c r="F20" s="121">
        <v>42803</v>
      </c>
      <c r="G20" s="36">
        <v>213792</v>
      </c>
      <c r="H20" s="37">
        <v>142528</v>
      </c>
      <c r="I20" s="37">
        <v>17816</v>
      </c>
      <c r="J20" s="37">
        <v>17816</v>
      </c>
      <c r="K20" s="37">
        <v>17816</v>
      </c>
      <c r="L20" s="38">
        <f t="shared" si="3"/>
        <v>89080</v>
      </c>
      <c r="M20" s="39">
        <v>17816</v>
      </c>
      <c r="N20" s="39">
        <v>17816</v>
      </c>
      <c r="O20" s="39">
        <v>17816</v>
      </c>
      <c r="P20" s="36">
        <f t="shared" si="2"/>
        <v>35632</v>
      </c>
      <c r="R20" s="129" t="str">
        <f t="shared" si="4"/>
        <v>-</v>
      </c>
      <c r="S20" s="130">
        <f t="shared" si="5"/>
        <v>12</v>
      </c>
      <c r="T20" s="130">
        <f t="shared" si="6"/>
        <v>7</v>
      </c>
      <c r="U20" s="131">
        <f t="shared" si="7"/>
        <v>124712</v>
      </c>
      <c r="V20" s="131">
        <f t="shared" si="8"/>
        <v>89080</v>
      </c>
      <c r="W20" s="131">
        <f t="shared" si="9"/>
        <v>0</v>
      </c>
      <c r="Y20" s="129" t="str">
        <f t="shared" si="10"/>
        <v>-</v>
      </c>
      <c r="Z20" s="130">
        <f t="shared" si="11"/>
        <v>12</v>
      </c>
      <c r="AA20" s="130">
        <f t="shared" si="12"/>
        <v>10</v>
      </c>
      <c r="AB20" s="131">
        <f t="shared" si="13"/>
        <v>178160</v>
      </c>
      <c r="AC20" s="131">
        <f t="shared" si="14"/>
        <v>35632</v>
      </c>
      <c r="AD20" s="131">
        <f t="shared" si="15"/>
        <v>0</v>
      </c>
    </row>
    <row r="21" spans="1:30" s="128" customFormat="1" ht="12.6" x14ac:dyDescent="0.25">
      <c r="A21" s="155"/>
      <c r="B21" s="120">
        <v>42438</v>
      </c>
      <c r="C21" s="121">
        <v>42450</v>
      </c>
      <c r="D21" s="163" t="s">
        <v>55</v>
      </c>
      <c r="E21" s="121">
        <v>42438</v>
      </c>
      <c r="F21" s="121">
        <v>42803</v>
      </c>
      <c r="G21" s="36">
        <v>19910.04</v>
      </c>
      <c r="H21" s="37">
        <v>13273.360000000004</v>
      </c>
      <c r="I21" s="37">
        <v>1659.17</v>
      </c>
      <c r="J21" s="37">
        <v>1659.17</v>
      </c>
      <c r="K21" s="37">
        <v>1659.17</v>
      </c>
      <c r="L21" s="38">
        <f t="shared" si="3"/>
        <v>8295.850000000004</v>
      </c>
      <c r="M21" s="39">
        <v>1659.17</v>
      </c>
      <c r="N21" s="39">
        <v>1659.17</v>
      </c>
      <c r="O21" s="39">
        <v>1659.17</v>
      </c>
      <c r="P21" s="36">
        <f t="shared" si="2"/>
        <v>3318.3400000000038</v>
      </c>
      <c r="R21" s="129" t="str">
        <f t="shared" si="4"/>
        <v>-</v>
      </c>
      <c r="S21" s="130">
        <f t="shared" si="5"/>
        <v>12</v>
      </c>
      <c r="T21" s="130">
        <f t="shared" si="6"/>
        <v>7</v>
      </c>
      <c r="U21" s="131">
        <f t="shared" si="7"/>
        <v>11614.19</v>
      </c>
      <c r="V21" s="131">
        <f t="shared" si="8"/>
        <v>8295.85</v>
      </c>
      <c r="W21" s="131">
        <f t="shared" si="9"/>
        <v>0</v>
      </c>
      <c r="Y21" s="129" t="str">
        <f t="shared" si="10"/>
        <v>-</v>
      </c>
      <c r="Z21" s="130">
        <f t="shared" si="11"/>
        <v>12</v>
      </c>
      <c r="AA21" s="130">
        <f t="shared" si="12"/>
        <v>10</v>
      </c>
      <c r="AB21" s="131">
        <f t="shared" si="13"/>
        <v>16591.7</v>
      </c>
      <c r="AC21" s="131">
        <f t="shared" si="14"/>
        <v>3318.34</v>
      </c>
      <c r="AD21" s="131">
        <f t="shared" si="15"/>
        <v>0</v>
      </c>
    </row>
    <row r="22" spans="1:30" s="128" customFormat="1" ht="12.6" x14ac:dyDescent="0.25">
      <c r="A22" s="155"/>
      <c r="B22" s="120">
        <v>42438</v>
      </c>
      <c r="C22" s="121">
        <v>42450</v>
      </c>
      <c r="D22" s="163" t="s">
        <v>56</v>
      </c>
      <c r="E22" s="121">
        <v>42438</v>
      </c>
      <c r="F22" s="121">
        <v>42803</v>
      </c>
      <c r="G22" s="36">
        <v>17306</v>
      </c>
      <c r="H22" s="37">
        <v>11537.28</v>
      </c>
      <c r="I22" s="37">
        <v>1442.16</v>
      </c>
      <c r="J22" s="37">
        <v>1442.16</v>
      </c>
      <c r="K22" s="37">
        <v>1442.16</v>
      </c>
      <c r="L22" s="38">
        <f t="shared" si="3"/>
        <v>7210.8000000000011</v>
      </c>
      <c r="M22" s="39">
        <v>1442.16</v>
      </c>
      <c r="N22" s="39">
        <v>1442.16</v>
      </c>
      <c r="O22" s="39">
        <v>1442.16</v>
      </c>
      <c r="P22" s="36">
        <f t="shared" si="2"/>
        <v>2884.3200000000015</v>
      </c>
      <c r="R22" s="129" t="str">
        <f t="shared" si="4"/>
        <v>-</v>
      </c>
      <c r="S22" s="130">
        <f t="shared" si="5"/>
        <v>12</v>
      </c>
      <c r="T22" s="130">
        <f t="shared" si="6"/>
        <v>7</v>
      </c>
      <c r="U22" s="131">
        <f t="shared" si="7"/>
        <v>10095.166666666668</v>
      </c>
      <c r="V22" s="131">
        <f t="shared" si="8"/>
        <v>7210.8333333333321</v>
      </c>
      <c r="W22" s="131">
        <f t="shared" si="9"/>
        <v>0</v>
      </c>
      <c r="Y22" s="129" t="str">
        <f t="shared" si="10"/>
        <v>-</v>
      </c>
      <c r="Z22" s="130">
        <f t="shared" si="11"/>
        <v>12</v>
      </c>
      <c r="AA22" s="130">
        <f t="shared" si="12"/>
        <v>10</v>
      </c>
      <c r="AB22" s="131">
        <f t="shared" si="13"/>
        <v>14421.666666666668</v>
      </c>
      <c r="AC22" s="131">
        <f t="shared" si="14"/>
        <v>2884.3333333333321</v>
      </c>
      <c r="AD22" s="131">
        <f t="shared" si="15"/>
        <v>0</v>
      </c>
    </row>
    <row r="23" spans="1:30" s="128" customFormat="1" ht="12.6" x14ac:dyDescent="0.25">
      <c r="A23" s="155"/>
      <c r="B23" s="120">
        <v>42446</v>
      </c>
      <c r="C23" s="121">
        <v>42450</v>
      </c>
      <c r="D23" s="156" t="s">
        <v>10</v>
      </c>
      <c r="E23" s="121">
        <v>42438</v>
      </c>
      <c r="F23" s="121">
        <v>42803</v>
      </c>
      <c r="G23" s="36">
        <v>101291</v>
      </c>
      <c r="H23" s="37">
        <v>67527.360000000001</v>
      </c>
      <c r="I23" s="39">
        <v>8440.92</v>
      </c>
      <c r="J23" s="39">
        <v>8440.92</v>
      </c>
      <c r="K23" s="39">
        <v>8440.92</v>
      </c>
      <c r="L23" s="38">
        <f t="shared" si="3"/>
        <v>42204.600000000006</v>
      </c>
      <c r="M23" s="39">
        <v>8440.92</v>
      </c>
      <c r="N23" s="39">
        <v>8440.92</v>
      </c>
      <c r="O23" s="39">
        <v>8440.92</v>
      </c>
      <c r="P23" s="36">
        <f t="shared" si="2"/>
        <v>16881.840000000011</v>
      </c>
      <c r="R23" s="129" t="str">
        <f t="shared" si="4"/>
        <v>-</v>
      </c>
      <c r="S23" s="130">
        <f t="shared" si="5"/>
        <v>12</v>
      </c>
      <c r="T23" s="130">
        <f t="shared" si="6"/>
        <v>7</v>
      </c>
      <c r="U23" s="131">
        <f t="shared" si="7"/>
        <v>59086.416666666664</v>
      </c>
      <c r="V23" s="131">
        <f t="shared" si="8"/>
        <v>42204.583333333336</v>
      </c>
      <c r="W23" s="131">
        <f t="shared" si="9"/>
        <v>0</v>
      </c>
      <c r="Y23" s="129" t="str">
        <f t="shared" si="10"/>
        <v>-</v>
      </c>
      <c r="Z23" s="130">
        <f t="shared" si="11"/>
        <v>12</v>
      </c>
      <c r="AA23" s="130">
        <f t="shared" si="12"/>
        <v>10</v>
      </c>
      <c r="AB23" s="131">
        <f t="shared" si="13"/>
        <v>84409.166666666657</v>
      </c>
      <c r="AC23" s="131">
        <f t="shared" si="14"/>
        <v>16881.833333333343</v>
      </c>
      <c r="AD23" s="131">
        <f t="shared" si="15"/>
        <v>0</v>
      </c>
    </row>
    <row r="24" spans="1:30" s="128" customFormat="1" ht="12.6" x14ac:dyDescent="0.25">
      <c r="A24" s="155"/>
      <c r="B24" s="120">
        <v>42552</v>
      </c>
      <c r="C24" s="121">
        <v>42552</v>
      </c>
      <c r="D24" s="156" t="s">
        <v>15</v>
      </c>
      <c r="E24" s="121">
        <v>42552</v>
      </c>
      <c r="F24" s="121">
        <v>42916</v>
      </c>
      <c r="G24" s="36">
        <v>7686.66</v>
      </c>
      <c r="H24" s="37">
        <v>0</v>
      </c>
      <c r="I24" s="53">
        <v>640.61</v>
      </c>
      <c r="J24" s="53">
        <v>640.54999999999995</v>
      </c>
      <c r="K24" s="53">
        <v>640.54999999999995</v>
      </c>
      <c r="L24" s="38">
        <f>SUM(H24-I24-J24-K24)+G24</f>
        <v>5764.95</v>
      </c>
      <c r="M24" s="53">
        <v>640.54999999999995</v>
      </c>
      <c r="N24" s="53">
        <v>640.54999999999995</v>
      </c>
      <c r="O24" s="53">
        <v>640.54999999999995</v>
      </c>
      <c r="P24" s="36">
        <f t="shared" si="2"/>
        <v>3843.2999999999993</v>
      </c>
      <c r="R24" s="129" t="str">
        <f t="shared" si="4"/>
        <v>-</v>
      </c>
      <c r="S24" s="130">
        <f t="shared" si="5"/>
        <v>12</v>
      </c>
      <c r="T24" s="130">
        <f t="shared" si="6"/>
        <v>3</v>
      </c>
      <c r="U24" s="131">
        <f t="shared" si="7"/>
        <v>1921.665</v>
      </c>
      <c r="V24" s="131">
        <f t="shared" si="8"/>
        <v>5764.9949999999999</v>
      </c>
      <c r="W24" s="131">
        <f t="shared" si="9"/>
        <v>0</v>
      </c>
      <c r="Y24" s="129" t="str">
        <f t="shared" si="10"/>
        <v>-</v>
      </c>
      <c r="Z24" s="130">
        <f t="shared" si="11"/>
        <v>12</v>
      </c>
      <c r="AA24" s="130">
        <f t="shared" si="12"/>
        <v>6</v>
      </c>
      <c r="AB24" s="131">
        <f t="shared" si="13"/>
        <v>3843.33</v>
      </c>
      <c r="AC24" s="131">
        <f t="shared" si="14"/>
        <v>3843.33</v>
      </c>
      <c r="AD24" s="131">
        <f t="shared" si="15"/>
        <v>0</v>
      </c>
    </row>
    <row r="25" spans="1:30" s="128" customFormat="1" ht="12.6" x14ac:dyDescent="0.25">
      <c r="A25" s="155"/>
      <c r="B25" s="120">
        <v>42370</v>
      </c>
      <c r="C25" s="121">
        <v>42387</v>
      </c>
      <c r="D25" s="164" t="s">
        <v>57</v>
      </c>
      <c r="E25" s="121">
        <v>42401</v>
      </c>
      <c r="F25" s="121">
        <v>42766</v>
      </c>
      <c r="G25" s="36">
        <v>7380</v>
      </c>
      <c r="H25" s="37">
        <v>4305</v>
      </c>
      <c r="I25" s="37">
        <v>615</v>
      </c>
      <c r="J25" s="37">
        <v>615</v>
      </c>
      <c r="K25" s="37">
        <v>615</v>
      </c>
      <c r="L25" s="38">
        <f t="shared" si="3"/>
        <v>2460</v>
      </c>
      <c r="M25" s="53">
        <v>615</v>
      </c>
      <c r="N25" s="53">
        <v>615</v>
      </c>
      <c r="O25" s="53">
        <v>615</v>
      </c>
      <c r="P25" s="36">
        <f t="shared" si="2"/>
        <v>615</v>
      </c>
      <c r="R25" s="129" t="str">
        <f t="shared" si="4"/>
        <v>-</v>
      </c>
      <c r="S25" s="130">
        <f t="shared" si="5"/>
        <v>12</v>
      </c>
      <c r="T25" s="130">
        <f t="shared" si="6"/>
        <v>8</v>
      </c>
      <c r="U25" s="131">
        <f t="shared" si="7"/>
        <v>4920</v>
      </c>
      <c r="V25" s="131">
        <f t="shared" si="8"/>
        <v>2460</v>
      </c>
      <c r="W25" s="131">
        <f t="shared" si="9"/>
        <v>0</v>
      </c>
      <c r="Y25" s="129" t="str">
        <f t="shared" si="10"/>
        <v>-</v>
      </c>
      <c r="Z25" s="130">
        <f t="shared" si="11"/>
        <v>12</v>
      </c>
      <c r="AA25" s="130">
        <f t="shared" si="12"/>
        <v>11</v>
      </c>
      <c r="AB25" s="131">
        <f t="shared" si="13"/>
        <v>6765</v>
      </c>
      <c r="AC25" s="131">
        <f t="shared" si="14"/>
        <v>615</v>
      </c>
      <c r="AD25" s="131">
        <f t="shared" si="15"/>
        <v>0</v>
      </c>
    </row>
    <row r="26" spans="1:30" ht="12.6" x14ac:dyDescent="0.25">
      <c r="A26" s="133"/>
      <c r="B26" s="134"/>
      <c r="C26" s="134"/>
      <c r="D26" s="134"/>
      <c r="E26" s="134"/>
      <c r="F26" s="134"/>
      <c r="G26" s="56"/>
      <c r="H26" s="57">
        <f t="shared" ref="H26:P26" si="16">SUM(H13:H25)</f>
        <v>474001.07999999996</v>
      </c>
      <c r="I26" s="57">
        <f t="shared" si="16"/>
        <v>55426.16</v>
      </c>
      <c r="J26" s="57">
        <f t="shared" si="16"/>
        <v>55426.100000000006</v>
      </c>
      <c r="K26" s="57">
        <f t="shared" si="16"/>
        <v>55426.100000000006</v>
      </c>
      <c r="L26" s="56">
        <f t="shared" si="16"/>
        <v>315409.38000000006</v>
      </c>
      <c r="M26" s="57">
        <f t="shared" si="16"/>
        <v>55426.100000000006</v>
      </c>
      <c r="N26" s="57">
        <f t="shared" si="16"/>
        <v>55426.100000000006</v>
      </c>
      <c r="O26" s="57">
        <f t="shared" si="16"/>
        <v>55426.100000000006</v>
      </c>
      <c r="P26" s="57">
        <f t="shared" si="16"/>
        <v>149131.08000000002</v>
      </c>
      <c r="R26" s="136"/>
      <c r="S26" s="137"/>
      <c r="T26" s="137"/>
      <c r="U26" s="138"/>
      <c r="V26" s="138"/>
      <c r="W26" s="139"/>
      <c r="X26" s="140"/>
      <c r="Y26" s="140"/>
      <c r="Z26" s="140"/>
      <c r="AA26" s="140"/>
      <c r="AB26" s="141"/>
      <c r="AC26" s="141"/>
      <c r="AD26" s="139"/>
    </row>
    <row r="27" spans="1:30" ht="12.6" x14ac:dyDescent="0.25">
      <c r="A27" s="155">
        <v>5.9240000000000004</v>
      </c>
      <c r="B27" s="156" t="s">
        <v>58</v>
      </c>
      <c r="C27" s="156"/>
      <c r="D27" s="156"/>
      <c r="E27" s="121" t="s">
        <v>37</v>
      </c>
      <c r="F27" s="121" t="s">
        <v>37</v>
      </c>
      <c r="G27" s="36" t="s">
        <v>37</v>
      </c>
      <c r="H27" s="165"/>
      <c r="I27" s="39"/>
      <c r="J27" s="39"/>
      <c r="K27" s="39"/>
      <c r="L27" s="36"/>
      <c r="M27" s="39"/>
      <c r="N27" s="39"/>
      <c r="O27" s="39"/>
      <c r="P27" s="36"/>
      <c r="R27" s="129"/>
      <c r="S27" s="130"/>
      <c r="T27" s="130"/>
      <c r="U27" s="131"/>
      <c r="V27" s="131"/>
      <c r="W27" s="131"/>
      <c r="X27" s="128"/>
      <c r="Y27" s="129"/>
      <c r="Z27" s="130"/>
      <c r="AA27" s="130"/>
      <c r="AB27" s="131"/>
      <c r="AC27" s="131"/>
      <c r="AD27" s="131"/>
    </row>
    <row r="28" spans="1:30" s="128" customFormat="1" ht="12.6" x14ac:dyDescent="0.25">
      <c r="A28" s="155"/>
      <c r="B28" s="120">
        <v>42434</v>
      </c>
      <c r="C28" s="121">
        <v>42457</v>
      </c>
      <c r="D28" s="156" t="s">
        <v>59</v>
      </c>
      <c r="E28" s="121">
        <v>42438</v>
      </c>
      <c r="F28" s="121">
        <v>42803</v>
      </c>
      <c r="G28" s="36">
        <v>8287.18</v>
      </c>
      <c r="H28" s="37">
        <v>5524.7999999999993</v>
      </c>
      <c r="I28" s="37">
        <v>690.6</v>
      </c>
      <c r="J28" s="37">
        <v>690.6</v>
      </c>
      <c r="K28" s="37">
        <v>690.6</v>
      </c>
      <c r="L28" s="38">
        <f>SUM(H28-I28-J28-K28)</f>
        <v>3452.9999999999986</v>
      </c>
      <c r="M28" s="39">
        <v>690.6</v>
      </c>
      <c r="N28" s="39">
        <v>690.6</v>
      </c>
      <c r="O28" s="39">
        <v>690.6</v>
      </c>
      <c r="P28" s="36">
        <f>SUM(L28-O28-N28-M28)</f>
        <v>1381.1999999999989</v>
      </c>
      <c r="R28" s="129" t="str">
        <f>IF(F28&lt;=$L$3,IF(L28&lt;&gt;0,"X","-"),"-")</f>
        <v>-</v>
      </c>
      <c r="S28" s="130">
        <f>ROUND((F28-E28)/30.41,0)</f>
        <v>12</v>
      </c>
      <c r="T28" s="130">
        <f>IF($L$3&gt;F28,S28,ROUND(($L$3-E28)/30,0))</f>
        <v>7</v>
      </c>
      <c r="U28" s="131">
        <f>G28/S28*T28</f>
        <v>4834.1883333333335</v>
      </c>
      <c r="V28" s="131">
        <f>G28-U28</f>
        <v>3452.9916666666668</v>
      </c>
      <c r="W28" s="131">
        <f>ROUND(L28-V28,-3)</f>
        <v>0</v>
      </c>
      <c r="Y28" s="129" t="str">
        <f>IF(F28&lt;=$P$3,IF(P28&lt;&gt;0,"X","-"),"-")</f>
        <v>-</v>
      </c>
      <c r="Z28" s="130">
        <f>ROUND((F28-E28)/30.41,0)</f>
        <v>12</v>
      </c>
      <c r="AA28" s="130">
        <f>IF($P$3&gt;F28,Z28,ROUND(($P$3-E28)/30,0))</f>
        <v>10</v>
      </c>
      <c r="AB28" s="131">
        <f>G28/Z28*AA28</f>
        <v>6905.9833333333336</v>
      </c>
      <c r="AC28" s="131">
        <f>G28-AB28</f>
        <v>1381.1966666666667</v>
      </c>
      <c r="AD28" s="131">
        <f>ROUND(P28-AC28,-3)</f>
        <v>0</v>
      </c>
    </row>
    <row r="29" spans="1:30" ht="12.6" x14ac:dyDescent="0.25">
      <c r="A29" s="133"/>
      <c r="B29" s="166"/>
      <c r="C29" s="166"/>
      <c r="D29" s="134"/>
      <c r="E29" s="167"/>
      <c r="F29" s="167"/>
      <c r="G29" s="56"/>
      <c r="H29" s="168">
        <f t="shared" ref="H29:P29" si="17">SUM(H28:H28)</f>
        <v>5524.7999999999993</v>
      </c>
      <c r="I29" s="168">
        <f t="shared" si="17"/>
        <v>690.6</v>
      </c>
      <c r="J29" s="168">
        <f t="shared" si="17"/>
        <v>690.6</v>
      </c>
      <c r="K29" s="168">
        <f t="shared" si="17"/>
        <v>690.6</v>
      </c>
      <c r="L29" s="168">
        <f t="shared" si="17"/>
        <v>3452.9999999999986</v>
      </c>
      <c r="M29" s="168">
        <f t="shared" si="17"/>
        <v>690.6</v>
      </c>
      <c r="N29" s="168">
        <f t="shared" si="17"/>
        <v>690.6</v>
      </c>
      <c r="O29" s="168">
        <f t="shared" si="17"/>
        <v>690.6</v>
      </c>
      <c r="P29" s="168">
        <f t="shared" si="17"/>
        <v>1381.1999999999989</v>
      </c>
      <c r="R29" s="136"/>
      <c r="S29" s="137"/>
      <c r="T29" s="137"/>
      <c r="U29" s="138"/>
      <c r="V29" s="138"/>
      <c r="W29" s="139"/>
      <c r="X29" s="140"/>
      <c r="Y29" s="140"/>
      <c r="Z29" s="140"/>
      <c r="AA29" s="140"/>
      <c r="AB29" s="141"/>
      <c r="AC29" s="141"/>
      <c r="AD29" s="139"/>
    </row>
    <row r="30" spans="1:30" s="128" customFormat="1" ht="14.45" x14ac:dyDescent="0.35">
      <c r="A30" s="155"/>
      <c r="B30" s="120"/>
      <c r="C30" s="120"/>
      <c r="D30" s="156"/>
      <c r="E30" s="121"/>
      <c r="F30" s="121"/>
      <c r="G30" s="36"/>
      <c r="H30" s="165"/>
      <c r="I30" s="125"/>
      <c r="J30" s="125"/>
      <c r="K30" s="125"/>
      <c r="L30" s="165"/>
      <c r="M30" s="125"/>
      <c r="N30" s="125"/>
      <c r="O30" s="125"/>
      <c r="P30" s="165"/>
      <c r="R30" s="151" t="str">
        <f>IF(F30&lt;=$L$3,IF(L30&lt;&gt;0,"X","-"),"-")</f>
        <v>-</v>
      </c>
      <c r="S30" s="130"/>
      <c r="T30" s="130"/>
      <c r="U30" s="131"/>
      <c r="V30" s="131"/>
      <c r="W30" s="139"/>
      <c r="Y30" s="151" t="str">
        <f>IF(F30&lt;=$P$3,IF(P30&lt;&gt;0,"X","-"),"-")</f>
        <v>-</v>
      </c>
      <c r="AB30" s="169"/>
      <c r="AC30" s="169"/>
      <c r="AD30" s="139"/>
    </row>
    <row r="31" spans="1:30" ht="14.45" x14ac:dyDescent="0.35">
      <c r="A31" s="156" t="s">
        <v>16</v>
      </c>
      <c r="B31" s="120"/>
      <c r="C31" s="120"/>
      <c r="D31" s="156"/>
      <c r="E31" s="121"/>
      <c r="F31" s="121"/>
      <c r="G31" s="170"/>
      <c r="H31" s="37"/>
      <c r="I31" s="39"/>
      <c r="J31" s="39"/>
      <c r="K31" s="39"/>
      <c r="L31" s="38"/>
      <c r="M31" s="39"/>
      <c r="N31" s="39"/>
      <c r="O31" s="39"/>
      <c r="P31" s="36"/>
      <c r="R31" s="151" t="str">
        <f>IF(F31&lt;=$L$3,IF(L31&lt;&gt;0,"X","-"),"-")</f>
        <v>-</v>
      </c>
      <c r="W31" s="139"/>
      <c r="Y31" s="151" t="str">
        <f>IF(F31&lt;=$P$3,IF(P31&lt;&gt;0,"X","-"),"-")</f>
        <v>-</v>
      </c>
      <c r="AD31" s="139"/>
    </row>
    <row r="32" spans="1:30" s="128" customFormat="1" ht="12.6" x14ac:dyDescent="0.25">
      <c r="A32" s="156"/>
      <c r="B32" s="120">
        <v>41794</v>
      </c>
      <c r="C32" s="121"/>
      <c r="D32" s="156" t="s">
        <v>60</v>
      </c>
      <c r="E32" s="121">
        <v>41821</v>
      </c>
      <c r="F32" s="121">
        <v>42916</v>
      </c>
      <c r="G32" s="170">
        <f>7759.11+5617.46</f>
        <v>13376.57</v>
      </c>
      <c r="H32" s="37">
        <v>4458.8400000000056</v>
      </c>
      <c r="I32" s="39">
        <v>371.57</v>
      </c>
      <c r="J32" s="39">
        <v>371.57</v>
      </c>
      <c r="K32" s="39">
        <v>371.57</v>
      </c>
      <c r="L32" s="38">
        <f t="shared" ref="L32:L37" si="18">SUM(H32-I32-J32-K32)</f>
        <v>3344.1300000000051</v>
      </c>
      <c r="M32" s="39">
        <v>371.57</v>
      </c>
      <c r="N32" s="39">
        <v>371.57</v>
      </c>
      <c r="O32" s="39">
        <v>371.57</v>
      </c>
      <c r="P32" s="36">
        <f t="shared" ref="P32:P39" si="19">SUM(L32-M32-N32-O32)</f>
        <v>2229.4200000000046</v>
      </c>
      <c r="R32" s="129" t="str">
        <f t="shared" ref="R32:R38" si="20">IF(F32&lt;=$L$3,IF(L32&lt;&gt;0,"X","-"),"-")</f>
        <v>-</v>
      </c>
      <c r="S32" s="130">
        <f t="shared" ref="S32:S39" si="21">ROUND((F32-E32)/30.41,0)</f>
        <v>36</v>
      </c>
      <c r="T32" s="130">
        <f t="shared" ref="T32:T39" si="22">IF($L$3&gt;F32,S32,ROUND(($L$3-E32)/30,0))</f>
        <v>27</v>
      </c>
      <c r="U32" s="131">
        <f t="shared" ref="U32:U39" si="23">G32/S32*T32</f>
        <v>10032.4275</v>
      </c>
      <c r="V32" s="131">
        <f t="shared" ref="V32:V39" si="24">G32-U32</f>
        <v>3344.1424999999999</v>
      </c>
      <c r="W32" s="131">
        <f t="shared" ref="W32:W39" si="25">ROUND(L32-V32,-3)</f>
        <v>0</v>
      </c>
      <c r="Y32" s="129" t="str">
        <f t="shared" ref="Y32:Y38" si="26">IF(F32&lt;=$P$3,IF(P32&lt;&gt;0,"X","-"),"-")</f>
        <v>-</v>
      </c>
      <c r="Z32" s="130">
        <f t="shared" ref="Z32:Z39" si="27">ROUND((F32-E32)/30.41,0)</f>
        <v>36</v>
      </c>
      <c r="AA32" s="130">
        <f t="shared" ref="AA32:AA39" si="28">IF($P$3&gt;F32,Z32,ROUND(($P$3-E32)/30,0))</f>
        <v>30</v>
      </c>
      <c r="AB32" s="131">
        <f t="shared" ref="AB32:AB39" si="29">G32/Z32*AA32</f>
        <v>11147.141666666666</v>
      </c>
      <c r="AC32" s="131">
        <f t="shared" ref="AC32:AC39" si="30">G32-AB32</f>
        <v>2229.4283333333333</v>
      </c>
      <c r="AD32" s="131">
        <f t="shared" ref="AD32:AD38" si="31">ROUND(P32-AC32,-3)</f>
        <v>0</v>
      </c>
    </row>
    <row r="33" spans="1:30" s="128" customFormat="1" ht="12.6" x14ac:dyDescent="0.25">
      <c r="A33" s="156"/>
      <c r="B33" s="120">
        <v>41916</v>
      </c>
      <c r="C33" s="121"/>
      <c r="D33" s="156" t="s">
        <v>61</v>
      </c>
      <c r="E33" s="121">
        <v>41913</v>
      </c>
      <c r="F33" s="121">
        <v>43008</v>
      </c>
      <c r="G33" s="170">
        <v>106555.85</v>
      </c>
      <c r="H33" s="37">
        <v>44398.199999999968</v>
      </c>
      <c r="I33" s="39">
        <v>2959.88</v>
      </c>
      <c r="J33" s="39">
        <v>2959.88</v>
      </c>
      <c r="K33" s="39">
        <v>2959.88</v>
      </c>
      <c r="L33" s="38">
        <f t="shared" si="18"/>
        <v>35518.559999999976</v>
      </c>
      <c r="M33" s="39">
        <v>2959.88</v>
      </c>
      <c r="N33" s="39">
        <v>2959.88</v>
      </c>
      <c r="O33" s="39">
        <v>2959.88</v>
      </c>
      <c r="P33" s="36">
        <f t="shared" si="19"/>
        <v>26638.919999999973</v>
      </c>
      <c r="Q33" s="72"/>
      <c r="R33" s="129" t="str">
        <f t="shared" si="20"/>
        <v>-</v>
      </c>
      <c r="S33" s="130">
        <f t="shared" si="21"/>
        <v>36</v>
      </c>
      <c r="T33" s="130">
        <f t="shared" si="22"/>
        <v>24</v>
      </c>
      <c r="U33" s="131">
        <f t="shared" si="23"/>
        <v>71037.233333333337</v>
      </c>
      <c r="V33" s="131">
        <f t="shared" si="24"/>
        <v>35518.616666666669</v>
      </c>
      <c r="W33" s="131">
        <f t="shared" si="25"/>
        <v>0</v>
      </c>
      <c r="Y33" s="129" t="str">
        <f t="shared" si="26"/>
        <v>-</v>
      </c>
      <c r="Z33" s="130">
        <f t="shared" si="27"/>
        <v>36</v>
      </c>
      <c r="AA33" s="130">
        <f t="shared" si="28"/>
        <v>27</v>
      </c>
      <c r="AB33" s="131">
        <f t="shared" si="29"/>
        <v>79916.887500000012</v>
      </c>
      <c r="AC33" s="131">
        <f t="shared" si="30"/>
        <v>26638.962499999994</v>
      </c>
      <c r="AD33" s="131">
        <f t="shared" si="31"/>
        <v>0</v>
      </c>
    </row>
    <row r="34" spans="1:30" s="128" customFormat="1" ht="12.6" x14ac:dyDescent="0.25">
      <c r="A34" s="156"/>
      <c r="B34" s="120">
        <v>41977</v>
      </c>
      <c r="C34" s="121"/>
      <c r="D34" s="156" t="s">
        <v>61</v>
      </c>
      <c r="E34" s="121">
        <v>42005</v>
      </c>
      <c r="F34" s="121">
        <v>43008</v>
      </c>
      <c r="G34" s="170">
        <v>1170</v>
      </c>
      <c r="H34" s="37">
        <v>531.74999999999943</v>
      </c>
      <c r="I34" s="39">
        <v>35.450000000000003</v>
      </c>
      <c r="J34" s="39">
        <v>35.450000000000003</v>
      </c>
      <c r="K34" s="39">
        <v>35.450000000000003</v>
      </c>
      <c r="L34" s="38">
        <f t="shared" si="18"/>
        <v>425.39999999999947</v>
      </c>
      <c r="M34" s="39">
        <v>35.450000000000003</v>
      </c>
      <c r="N34" s="39">
        <v>35.450000000000003</v>
      </c>
      <c r="O34" s="39">
        <v>35.450000000000003</v>
      </c>
      <c r="P34" s="36">
        <f t="shared" si="19"/>
        <v>319.0499999999995</v>
      </c>
      <c r="R34" s="129" t="str">
        <f t="shared" si="20"/>
        <v>-</v>
      </c>
      <c r="S34" s="130">
        <f t="shared" si="21"/>
        <v>33</v>
      </c>
      <c r="T34" s="130">
        <f t="shared" si="22"/>
        <v>21</v>
      </c>
      <c r="U34" s="131">
        <f t="shared" si="23"/>
        <v>744.5454545454545</v>
      </c>
      <c r="V34" s="131">
        <f t="shared" si="24"/>
        <v>425.4545454545455</v>
      </c>
      <c r="W34" s="131">
        <f t="shared" si="25"/>
        <v>0</v>
      </c>
      <c r="Y34" s="129" t="str">
        <f t="shared" si="26"/>
        <v>-</v>
      </c>
      <c r="Z34" s="130">
        <f t="shared" si="27"/>
        <v>33</v>
      </c>
      <c r="AA34" s="130">
        <f t="shared" si="28"/>
        <v>24</v>
      </c>
      <c r="AB34" s="131">
        <f t="shared" si="29"/>
        <v>850.90909090909088</v>
      </c>
      <c r="AC34" s="131">
        <f t="shared" si="30"/>
        <v>319.09090909090912</v>
      </c>
      <c r="AD34" s="131">
        <f t="shared" si="31"/>
        <v>0</v>
      </c>
    </row>
    <row r="35" spans="1:30" s="128" customFormat="1" ht="12.6" x14ac:dyDescent="0.25">
      <c r="A35" s="156"/>
      <c r="B35" s="120">
        <v>42186</v>
      </c>
      <c r="C35" s="121">
        <v>42212</v>
      </c>
      <c r="D35" s="156" t="s">
        <v>62</v>
      </c>
      <c r="E35" s="121">
        <v>42217</v>
      </c>
      <c r="F35" s="121">
        <v>42582</v>
      </c>
      <c r="G35" s="170">
        <v>41674.559999999998</v>
      </c>
      <c r="H35" s="37">
        <v>3472.8799999999883</v>
      </c>
      <c r="I35" s="39">
        <v>3472.88</v>
      </c>
      <c r="J35" s="39">
        <v>0</v>
      </c>
      <c r="K35" s="39">
        <v>0</v>
      </c>
      <c r="L35" s="38">
        <f>SUM(H35-I35-J35-K35)</f>
        <v>-1.1823431123048067E-11</v>
      </c>
      <c r="M35" s="39">
        <v>0</v>
      </c>
      <c r="N35" s="39">
        <v>0</v>
      </c>
      <c r="O35" s="39">
        <v>0</v>
      </c>
      <c r="P35" s="36">
        <f t="shared" si="19"/>
        <v>-1.1823431123048067E-11</v>
      </c>
      <c r="R35" s="129" t="str">
        <f t="shared" si="20"/>
        <v>X</v>
      </c>
      <c r="S35" s="130">
        <f t="shared" si="21"/>
        <v>12</v>
      </c>
      <c r="T35" s="130">
        <f t="shared" si="22"/>
        <v>12</v>
      </c>
      <c r="U35" s="131">
        <f t="shared" si="23"/>
        <v>41674.559999999998</v>
      </c>
      <c r="V35" s="131">
        <f t="shared" si="24"/>
        <v>0</v>
      </c>
      <c r="W35" s="131">
        <f t="shared" si="25"/>
        <v>0</v>
      </c>
      <c r="Y35" s="129" t="str">
        <f t="shared" si="26"/>
        <v>X</v>
      </c>
      <c r="Z35" s="130">
        <f t="shared" si="27"/>
        <v>12</v>
      </c>
      <c r="AA35" s="130">
        <f t="shared" si="28"/>
        <v>12</v>
      </c>
      <c r="AB35" s="131">
        <f t="shared" si="29"/>
        <v>41674.559999999998</v>
      </c>
      <c r="AC35" s="131">
        <f t="shared" si="30"/>
        <v>0</v>
      </c>
      <c r="AD35" s="131">
        <f t="shared" si="31"/>
        <v>0</v>
      </c>
    </row>
    <row r="36" spans="1:30" s="128" customFormat="1" ht="12.6" x14ac:dyDescent="0.25">
      <c r="A36" s="156"/>
      <c r="B36" s="120">
        <v>42583</v>
      </c>
      <c r="C36" s="121">
        <v>42569</v>
      </c>
      <c r="D36" s="156" t="s">
        <v>62</v>
      </c>
      <c r="E36" s="121">
        <v>42583</v>
      </c>
      <c r="F36" s="121">
        <v>42947</v>
      </c>
      <c r="G36" s="170">
        <v>43758</v>
      </c>
      <c r="H36" s="37">
        <v>0</v>
      </c>
      <c r="I36" s="39">
        <v>0</v>
      </c>
      <c r="J36" s="39">
        <f>3646.5</f>
        <v>3646.5</v>
      </c>
      <c r="K36" s="39">
        <v>3646.5</v>
      </c>
      <c r="L36" s="38">
        <f>SUM(H36-I36-J36-K36)+G36</f>
        <v>36465</v>
      </c>
      <c r="M36" s="39">
        <v>3646.5</v>
      </c>
      <c r="N36" s="39">
        <v>3646.5</v>
      </c>
      <c r="O36" s="39">
        <v>3646.5</v>
      </c>
      <c r="P36" s="36">
        <f t="shared" si="19"/>
        <v>25525.5</v>
      </c>
      <c r="R36" s="129" t="str">
        <f>IF(F36&lt;=$L$3,IF(L36&lt;&gt;0,"X","-"),"-")</f>
        <v>-</v>
      </c>
      <c r="S36" s="130">
        <f>ROUND((F36-E36)/30.41,0)</f>
        <v>12</v>
      </c>
      <c r="T36" s="130">
        <f>IF($L$3&gt;F36,S36,ROUND(($L$3-E36)/30,0))</f>
        <v>2</v>
      </c>
      <c r="U36" s="131">
        <f>G36/S36*T36</f>
        <v>7293</v>
      </c>
      <c r="V36" s="131">
        <f>G36-U36</f>
        <v>36465</v>
      </c>
      <c r="W36" s="131">
        <f>ROUND(L36-V36,-3)</f>
        <v>0</v>
      </c>
      <c r="Y36" s="129" t="str">
        <f>IF(F36&lt;=$P$3,IF(P36&lt;&gt;0,"X","-"),"-")</f>
        <v>-</v>
      </c>
      <c r="Z36" s="130">
        <f>ROUND((F36-E36)/30.41,0)</f>
        <v>12</v>
      </c>
      <c r="AA36" s="130">
        <f>IF($P$3&gt;F36,Z36,ROUND(($P$3-E36)/30,0))</f>
        <v>5</v>
      </c>
      <c r="AB36" s="131">
        <f>G36/Z36*AA36</f>
        <v>18232.5</v>
      </c>
      <c r="AC36" s="131">
        <f>G36-AB36</f>
        <v>25525.5</v>
      </c>
      <c r="AD36" s="131">
        <f>ROUND(P36-AC36,-3)</f>
        <v>0</v>
      </c>
    </row>
    <row r="37" spans="1:30" s="128" customFormat="1" ht="12.6" x14ac:dyDescent="0.25">
      <c r="A37" s="156"/>
      <c r="B37" s="120">
        <v>42156</v>
      </c>
      <c r="C37" s="121"/>
      <c r="D37" s="156" t="s">
        <v>63</v>
      </c>
      <c r="E37" s="121">
        <v>42156</v>
      </c>
      <c r="F37" s="121">
        <v>43251</v>
      </c>
      <c r="G37" s="170">
        <v>111656.16</v>
      </c>
      <c r="H37" s="37">
        <v>71335.880000000048</v>
      </c>
      <c r="I37" s="39">
        <v>3101.56</v>
      </c>
      <c r="J37" s="39">
        <v>3101.56</v>
      </c>
      <c r="K37" s="39">
        <v>3101.56</v>
      </c>
      <c r="L37" s="38">
        <f t="shared" si="18"/>
        <v>62031.200000000055</v>
      </c>
      <c r="M37" s="39">
        <v>3101.56</v>
      </c>
      <c r="N37" s="39">
        <v>3101.56</v>
      </c>
      <c r="O37" s="39">
        <v>3101.56</v>
      </c>
      <c r="P37" s="36">
        <f t="shared" si="19"/>
        <v>52726.520000000062</v>
      </c>
      <c r="R37" s="129" t="str">
        <f t="shared" si="20"/>
        <v>-</v>
      </c>
      <c r="S37" s="130">
        <f t="shared" si="21"/>
        <v>36</v>
      </c>
      <c r="T37" s="130">
        <f t="shared" si="22"/>
        <v>16</v>
      </c>
      <c r="U37" s="131">
        <f t="shared" si="23"/>
        <v>49624.959999999999</v>
      </c>
      <c r="V37" s="131">
        <f t="shared" si="24"/>
        <v>62031.200000000004</v>
      </c>
      <c r="W37" s="131">
        <f t="shared" si="25"/>
        <v>0</v>
      </c>
      <c r="Y37" s="129" t="str">
        <f t="shared" si="26"/>
        <v>-</v>
      </c>
      <c r="Z37" s="130">
        <f t="shared" si="27"/>
        <v>36</v>
      </c>
      <c r="AA37" s="130">
        <f t="shared" si="28"/>
        <v>19</v>
      </c>
      <c r="AB37" s="131">
        <f t="shared" si="29"/>
        <v>58929.64</v>
      </c>
      <c r="AC37" s="131">
        <f t="shared" si="30"/>
        <v>52726.520000000004</v>
      </c>
      <c r="AD37" s="131">
        <f t="shared" si="31"/>
        <v>0</v>
      </c>
    </row>
    <row r="38" spans="1:30" s="128" customFormat="1" ht="12.6" x14ac:dyDescent="0.25">
      <c r="A38" s="156"/>
      <c r="B38" s="120">
        <v>42186</v>
      </c>
      <c r="C38" s="121">
        <v>42205</v>
      </c>
      <c r="D38" s="156" t="s">
        <v>64</v>
      </c>
      <c r="E38" s="121">
        <v>42217</v>
      </c>
      <c r="F38" s="121">
        <v>42582</v>
      </c>
      <c r="G38" s="170">
        <v>123535</v>
      </c>
      <c r="H38" s="37">
        <v>10294.579999999989</v>
      </c>
      <c r="I38" s="39">
        <f>10294.58</f>
        <v>10294.58</v>
      </c>
      <c r="J38" s="39">
        <v>0</v>
      </c>
      <c r="K38" s="39">
        <v>0</v>
      </c>
      <c r="L38" s="38">
        <f>SUM(H38-I38-J38-K38)</f>
        <v>-1.0913936421275139E-11</v>
      </c>
      <c r="M38" s="39">
        <v>0</v>
      </c>
      <c r="N38" s="39">
        <v>0</v>
      </c>
      <c r="O38" s="39">
        <v>0</v>
      </c>
      <c r="P38" s="36">
        <f t="shared" si="19"/>
        <v>-1.0913936421275139E-11</v>
      </c>
      <c r="R38" s="129" t="str">
        <f t="shared" si="20"/>
        <v>X</v>
      </c>
      <c r="S38" s="130">
        <f t="shared" si="21"/>
        <v>12</v>
      </c>
      <c r="T38" s="130">
        <f t="shared" si="22"/>
        <v>12</v>
      </c>
      <c r="U38" s="131">
        <f t="shared" si="23"/>
        <v>123535</v>
      </c>
      <c r="V38" s="131">
        <f t="shared" si="24"/>
        <v>0</v>
      </c>
      <c r="W38" s="131">
        <f t="shared" si="25"/>
        <v>0</v>
      </c>
      <c r="Y38" s="129" t="str">
        <f t="shared" si="26"/>
        <v>X</v>
      </c>
      <c r="Z38" s="130">
        <f t="shared" si="27"/>
        <v>12</v>
      </c>
      <c r="AA38" s="130">
        <f t="shared" si="28"/>
        <v>12</v>
      </c>
      <c r="AB38" s="131">
        <f t="shared" si="29"/>
        <v>123535</v>
      </c>
      <c r="AC38" s="131">
        <f t="shared" si="30"/>
        <v>0</v>
      </c>
      <c r="AD38" s="131">
        <f t="shared" si="31"/>
        <v>0</v>
      </c>
    </row>
    <row r="39" spans="1:30" s="128" customFormat="1" ht="12.6" x14ac:dyDescent="0.25">
      <c r="A39" s="156"/>
      <c r="B39" s="120">
        <v>42583</v>
      </c>
      <c r="C39" s="121">
        <v>42576</v>
      </c>
      <c r="D39" s="156" t="s">
        <v>64</v>
      </c>
      <c r="E39" s="121">
        <v>42596</v>
      </c>
      <c r="F39" s="121">
        <v>42960</v>
      </c>
      <c r="G39" s="170">
        <v>130947.1</v>
      </c>
      <c r="H39" s="37"/>
      <c r="I39" s="39">
        <v>0</v>
      </c>
      <c r="J39" s="39">
        <f>10912.24</f>
        <v>10912.24</v>
      </c>
      <c r="K39" s="39">
        <v>10912.26</v>
      </c>
      <c r="L39" s="38">
        <f>SUM(H39-I39-J39-K39)+G39</f>
        <v>109122.6</v>
      </c>
      <c r="M39" s="39">
        <v>10912.26</v>
      </c>
      <c r="N39" s="39">
        <v>10912.26</v>
      </c>
      <c r="O39" s="39">
        <v>10912.26</v>
      </c>
      <c r="P39" s="36">
        <f t="shared" si="19"/>
        <v>76385.820000000022</v>
      </c>
      <c r="R39" s="129"/>
      <c r="S39" s="130">
        <f t="shared" si="21"/>
        <v>12</v>
      </c>
      <c r="T39" s="130">
        <f t="shared" si="22"/>
        <v>2</v>
      </c>
      <c r="U39" s="131">
        <f t="shared" si="23"/>
        <v>21824.516666666666</v>
      </c>
      <c r="V39" s="131">
        <f t="shared" si="24"/>
        <v>109122.58333333334</v>
      </c>
      <c r="W39" s="131">
        <f t="shared" si="25"/>
        <v>0</v>
      </c>
      <c r="Y39" s="129"/>
      <c r="Z39" s="130">
        <f t="shared" si="27"/>
        <v>12</v>
      </c>
      <c r="AA39" s="130">
        <f t="shared" si="28"/>
        <v>5</v>
      </c>
      <c r="AB39" s="131">
        <f t="shared" si="29"/>
        <v>54561.291666666664</v>
      </c>
      <c r="AC39" s="131">
        <f t="shared" si="30"/>
        <v>76385.808333333349</v>
      </c>
      <c r="AD39" s="131"/>
    </row>
    <row r="40" spans="1:30" s="128" customFormat="1" ht="12.6" x14ac:dyDescent="0.25">
      <c r="A40" s="156"/>
      <c r="B40" s="120">
        <v>42522</v>
      </c>
      <c r="C40" s="121">
        <v>42552</v>
      </c>
      <c r="D40" s="156" t="s">
        <v>21</v>
      </c>
      <c r="E40" s="121">
        <v>42522</v>
      </c>
      <c r="F40" s="121">
        <v>42886</v>
      </c>
      <c r="G40" s="170">
        <v>38350</v>
      </c>
      <c r="H40" s="37">
        <v>0</v>
      </c>
      <c r="I40" s="39">
        <f>3195.87+3195.83</f>
        <v>6391.7</v>
      </c>
      <c r="J40" s="39">
        <v>3195.83</v>
      </c>
      <c r="K40" s="39">
        <v>3195.83</v>
      </c>
      <c r="L40" s="38">
        <f>SUM(H40-I40-J40-K40)+G40</f>
        <v>25566.639999999999</v>
      </c>
      <c r="M40" s="39">
        <v>3195.83</v>
      </c>
      <c r="N40" s="39">
        <v>3195.83</v>
      </c>
      <c r="O40" s="39">
        <v>3195.83</v>
      </c>
      <c r="P40" s="36">
        <f>SUM(L40-M40-N40-O40)</f>
        <v>15979.149999999996</v>
      </c>
      <c r="R40" s="129"/>
      <c r="S40" s="130">
        <f>ROUND((F40-E40)/30.41,0)</f>
        <v>12</v>
      </c>
      <c r="T40" s="130">
        <f>IF($L$3&gt;F40,S40,ROUND(($L$3-E40)/30,0))</f>
        <v>4</v>
      </c>
      <c r="U40" s="131">
        <f>G40/S40*T40</f>
        <v>12783.333333333334</v>
      </c>
      <c r="V40" s="131">
        <f>G40-U40</f>
        <v>25566.666666666664</v>
      </c>
      <c r="W40" s="131">
        <f>ROUND(L40-V40,-3)</f>
        <v>0</v>
      </c>
      <c r="Y40" s="129"/>
      <c r="Z40" s="130">
        <f>ROUND((F40-E40)/30.41,0)</f>
        <v>12</v>
      </c>
      <c r="AA40" s="130">
        <f>IF($P$3&gt;F40,Z40,ROUND(($P$3-E40)/30,0))</f>
        <v>7</v>
      </c>
      <c r="AB40" s="131">
        <f>G40/Z40*AA40</f>
        <v>22370.833333333336</v>
      </c>
      <c r="AC40" s="131">
        <f>G40-AB40</f>
        <v>15979.166666666664</v>
      </c>
      <c r="AD40" s="131">
        <f>ROUND(P40-AC40,-3)</f>
        <v>0</v>
      </c>
    </row>
    <row r="41" spans="1:30" ht="12.6" x14ac:dyDescent="0.25">
      <c r="A41" s="133"/>
      <c r="B41" s="171"/>
      <c r="C41" s="172"/>
      <c r="D41" s="134"/>
      <c r="E41" s="167"/>
      <c r="F41" s="167"/>
      <c r="G41" s="56"/>
      <c r="H41" s="168">
        <f>SUM(H32:H40)</f>
        <v>134492.13</v>
      </c>
      <c r="I41" s="168">
        <f>SUM(I32:I40)</f>
        <v>26627.62</v>
      </c>
      <c r="J41" s="168">
        <f t="shared" ref="J41:P41" si="32">SUM(J32:J40)</f>
        <v>24223.03</v>
      </c>
      <c r="K41" s="168">
        <f t="shared" si="32"/>
        <v>24223.050000000003</v>
      </c>
      <c r="L41" s="168">
        <f t="shared" si="32"/>
        <v>272473.53000000003</v>
      </c>
      <c r="M41" s="168">
        <f t="shared" si="32"/>
        <v>24223.050000000003</v>
      </c>
      <c r="N41" s="168">
        <f t="shared" si="32"/>
        <v>24223.050000000003</v>
      </c>
      <c r="O41" s="168">
        <f t="shared" si="32"/>
        <v>24223.050000000003</v>
      </c>
      <c r="P41" s="168">
        <f t="shared" si="32"/>
        <v>199804.38000000003</v>
      </c>
      <c r="R41" s="136"/>
      <c r="S41" s="137"/>
      <c r="T41" s="137"/>
      <c r="U41" s="138"/>
      <c r="V41" s="138"/>
      <c r="W41" s="139"/>
      <c r="X41" s="140"/>
      <c r="Y41" s="140"/>
      <c r="Z41" s="140"/>
      <c r="AA41" s="140"/>
      <c r="AB41" s="141"/>
      <c r="AC41" s="141"/>
      <c r="AD41" s="139"/>
    </row>
    <row r="42" spans="1:30" ht="14.45" x14ac:dyDescent="0.35">
      <c r="A42" s="155" t="s">
        <v>65</v>
      </c>
      <c r="B42" s="120">
        <v>42461</v>
      </c>
      <c r="C42" s="121"/>
      <c r="D42" s="163" t="s">
        <v>66</v>
      </c>
      <c r="E42" s="122">
        <v>42491</v>
      </c>
      <c r="F42" s="122">
        <v>42855</v>
      </c>
      <c r="G42" s="36">
        <v>20000</v>
      </c>
      <c r="H42" s="125">
        <v>16666.699999999997</v>
      </c>
      <c r="I42" s="39">
        <v>1666.67</v>
      </c>
      <c r="J42" s="39">
        <v>1666.67</v>
      </c>
      <c r="K42" s="39">
        <v>1666.67</v>
      </c>
      <c r="L42" s="38">
        <f>SUM(H42-I42-J42-K42)</f>
        <v>11666.689999999997</v>
      </c>
      <c r="M42" s="39">
        <v>1666.67</v>
      </c>
      <c r="N42" s="39">
        <v>1666.67</v>
      </c>
      <c r="O42" s="39">
        <v>1666.67</v>
      </c>
      <c r="P42" s="36">
        <f>SUM(L42-M42-N42-O42)</f>
        <v>6666.6799999999967</v>
      </c>
      <c r="R42" s="151" t="str">
        <f>IF(F42&lt;=$L$3,IF(L42&lt;&gt;0,"X","-"),"-")</f>
        <v>-</v>
      </c>
      <c r="S42" s="152">
        <f>ROUND((F42-E42)/30.41,0)</f>
        <v>12</v>
      </c>
      <c r="T42" s="152">
        <f>IF($L$3&gt;F42,S42,ROUND(($L$3-E42)/30,0))</f>
        <v>5</v>
      </c>
      <c r="U42" s="153">
        <f>G42/S42*T42</f>
        <v>8333.3333333333339</v>
      </c>
      <c r="V42" s="153">
        <f>G42-U42</f>
        <v>11666.666666666666</v>
      </c>
      <c r="W42" s="139">
        <f>ROUND(L42-V42,-3)</f>
        <v>0</v>
      </c>
      <c r="Y42" s="151" t="str">
        <f>IF(F42&lt;=$P$3,IF(P42&lt;&gt;0,"X","-"),"-")</f>
        <v>-</v>
      </c>
      <c r="Z42" s="85">
        <f>ROUND((F42-E42)/30.41,0)</f>
        <v>12</v>
      </c>
      <c r="AA42" s="85">
        <f>IF($P$3&gt;F42,Z42,ROUND(($P$3-E42)/30,0))</f>
        <v>8</v>
      </c>
      <c r="AB42" s="154">
        <f>G42/Z42*AA42</f>
        <v>13333.333333333334</v>
      </c>
      <c r="AC42" s="154">
        <f>G42-AB42</f>
        <v>6666.6666666666661</v>
      </c>
      <c r="AD42" s="139">
        <f>ROUND(P42-AC42,-3)</f>
        <v>0</v>
      </c>
    </row>
    <row r="43" spans="1:30" ht="12.6" x14ac:dyDescent="0.25">
      <c r="A43" s="133"/>
      <c r="B43" s="134"/>
      <c r="C43" s="134"/>
      <c r="D43" s="134"/>
      <c r="E43" s="134"/>
      <c r="F43" s="134"/>
      <c r="G43" s="56"/>
      <c r="H43" s="57">
        <f t="shared" ref="H43:P43" si="33">SUM(H42)</f>
        <v>16666.699999999997</v>
      </c>
      <c r="I43" s="57">
        <f t="shared" si="33"/>
        <v>1666.67</v>
      </c>
      <c r="J43" s="57">
        <f t="shared" si="33"/>
        <v>1666.67</v>
      </c>
      <c r="K43" s="57">
        <f t="shared" si="33"/>
        <v>1666.67</v>
      </c>
      <c r="L43" s="56">
        <f t="shared" si="33"/>
        <v>11666.689999999997</v>
      </c>
      <c r="M43" s="57">
        <f t="shared" si="33"/>
        <v>1666.67</v>
      </c>
      <c r="N43" s="57">
        <f t="shared" si="33"/>
        <v>1666.67</v>
      </c>
      <c r="O43" s="57">
        <f t="shared" si="33"/>
        <v>1666.67</v>
      </c>
      <c r="P43" s="56">
        <f t="shared" si="33"/>
        <v>6666.6799999999967</v>
      </c>
      <c r="R43" s="136"/>
      <c r="S43" s="137"/>
      <c r="T43" s="137"/>
      <c r="U43" s="138"/>
      <c r="V43" s="138"/>
      <c r="W43" s="139"/>
      <c r="X43" s="140"/>
      <c r="Y43" s="140"/>
      <c r="Z43" s="140"/>
      <c r="AA43" s="140"/>
      <c r="AB43" s="141"/>
      <c r="AC43" s="141"/>
      <c r="AD43" s="139"/>
    </row>
    <row r="44" spans="1:30" ht="12.6" x14ac:dyDescent="0.25">
      <c r="A44" s="155"/>
      <c r="B44" s="173"/>
      <c r="C44" s="173"/>
      <c r="D44" s="156"/>
      <c r="E44" s="121"/>
      <c r="F44" s="121"/>
      <c r="G44" s="36"/>
      <c r="H44" s="174"/>
      <c r="I44" s="39"/>
      <c r="J44" s="39"/>
      <c r="K44" s="39"/>
      <c r="L44" s="36"/>
      <c r="M44" s="39"/>
      <c r="N44" s="39"/>
      <c r="O44" s="39"/>
      <c r="P44" s="36"/>
      <c r="R44" s="151" t="str">
        <f>IF(F44&lt;=$L$3,IF(L44&lt;&gt;0,"X","-"),"-")</f>
        <v>-</v>
      </c>
      <c r="W44" s="139"/>
      <c r="Y44" s="151" t="s">
        <v>37</v>
      </c>
      <c r="Z44" s="152" t="s">
        <v>37</v>
      </c>
      <c r="AA44" s="152" t="s">
        <v>37</v>
      </c>
      <c r="AB44" s="153" t="s">
        <v>37</v>
      </c>
      <c r="AC44" s="153" t="s">
        <v>37</v>
      </c>
      <c r="AD44" s="139" t="s">
        <v>37</v>
      </c>
    </row>
    <row r="45" spans="1:30" ht="12.6" x14ac:dyDescent="0.25">
      <c r="A45" s="142" t="s">
        <v>67</v>
      </c>
      <c r="B45" s="113"/>
      <c r="C45" s="113"/>
      <c r="D45" s="143" t="s">
        <v>68</v>
      </c>
      <c r="E45" s="144"/>
      <c r="F45" s="144"/>
      <c r="G45" s="145"/>
      <c r="H45" s="159">
        <v>0</v>
      </c>
      <c r="I45" s="39"/>
      <c r="J45" s="39"/>
      <c r="K45" s="175"/>
      <c r="L45" s="176"/>
      <c r="M45" s="175"/>
      <c r="N45" s="39"/>
      <c r="O45" s="39"/>
      <c r="P45" s="145">
        <f>SUM(+L45-O45-N45-M45)</f>
        <v>0</v>
      </c>
      <c r="R45" s="151" t="str">
        <f>IF(F45&lt;=$L$3,IF(L45&lt;&gt;0,"X","-"),"-")</f>
        <v>-</v>
      </c>
      <c r="W45" s="139"/>
      <c r="Y45" s="151" t="s">
        <v>37</v>
      </c>
      <c r="Z45" s="152" t="s">
        <v>37</v>
      </c>
      <c r="AA45" s="152" t="s">
        <v>37</v>
      </c>
      <c r="AB45" s="153" t="s">
        <v>37</v>
      </c>
      <c r="AC45" s="153" t="s">
        <v>37</v>
      </c>
      <c r="AD45" s="139" t="s">
        <v>37</v>
      </c>
    </row>
    <row r="46" spans="1:30" s="128" customFormat="1" ht="12.6" x14ac:dyDescent="0.25">
      <c r="A46" s="155"/>
      <c r="B46" s="120">
        <v>41821</v>
      </c>
      <c r="C46" s="121"/>
      <c r="D46" s="156" t="s">
        <v>69</v>
      </c>
      <c r="E46" s="121">
        <v>41821</v>
      </c>
      <c r="F46" s="121">
        <v>42185</v>
      </c>
      <c r="G46" s="36"/>
      <c r="H46" s="37"/>
      <c r="I46" s="39"/>
      <c r="J46" s="39"/>
      <c r="K46" s="39"/>
      <c r="L46" s="38"/>
      <c r="M46" s="39"/>
      <c r="N46" s="39"/>
      <c r="O46" s="39"/>
      <c r="P46" s="36"/>
      <c r="R46" s="129" t="str">
        <f>IF(F46&lt;=$L$3,IF(L46&lt;&gt;0,"X","-"),"-")</f>
        <v>-</v>
      </c>
      <c r="S46" s="130">
        <f>ROUND((F46-E46)/30.41,0)</f>
        <v>12</v>
      </c>
      <c r="T46" s="130">
        <f>IF($L$3&gt;F46,S46,ROUND(($L$3-E46)/30,0))</f>
        <v>12</v>
      </c>
      <c r="U46" s="131">
        <f>G46/S46*T46</f>
        <v>0</v>
      </c>
      <c r="V46" s="131">
        <f>G46-U46</f>
        <v>0</v>
      </c>
      <c r="W46" s="131">
        <f>ROUND(L46-V46,-3)</f>
        <v>0</v>
      </c>
      <c r="Y46" s="129" t="str">
        <f>IF(F46&lt;=$P$3,IF(P46&lt;&gt;0,"X","-"),"-")</f>
        <v>-</v>
      </c>
      <c r="Z46" s="130">
        <f>ROUND((F46-E46)/30.41,0)</f>
        <v>12</v>
      </c>
      <c r="AA46" s="130">
        <f>IF($P$3&gt;F46,Z46,ROUND(($P$3-E46)/30,0))</f>
        <v>12</v>
      </c>
      <c r="AB46" s="131">
        <f>G46/Z46*AA46</f>
        <v>0</v>
      </c>
      <c r="AC46" s="131">
        <f>G46-AB46</f>
        <v>0</v>
      </c>
      <c r="AD46" s="131">
        <f>ROUND(P46-AC46,-3)</f>
        <v>0</v>
      </c>
    </row>
    <row r="47" spans="1:30" ht="12.6" x14ac:dyDescent="0.25">
      <c r="A47" s="133"/>
      <c r="B47" s="134"/>
      <c r="C47" s="134"/>
      <c r="D47" s="134"/>
      <c r="E47" s="134"/>
      <c r="F47" s="134"/>
      <c r="G47" s="56"/>
      <c r="H47" s="168">
        <f t="shared" ref="H47:P47" si="34">SUM(H45:H46)</f>
        <v>0</v>
      </c>
      <c r="I47" s="177">
        <f t="shared" si="34"/>
        <v>0</v>
      </c>
      <c r="J47" s="177">
        <f t="shared" si="34"/>
        <v>0</v>
      </c>
      <c r="K47" s="177">
        <f t="shared" si="34"/>
        <v>0</v>
      </c>
      <c r="L47" s="168">
        <f t="shared" si="34"/>
        <v>0</v>
      </c>
      <c r="M47" s="177">
        <f t="shared" si="34"/>
        <v>0</v>
      </c>
      <c r="N47" s="177">
        <f>SUM(N45:N46)</f>
        <v>0</v>
      </c>
      <c r="O47" s="177">
        <f t="shared" si="34"/>
        <v>0</v>
      </c>
      <c r="P47" s="168">
        <f t="shared" si="34"/>
        <v>0</v>
      </c>
      <c r="R47" s="136"/>
      <c r="S47" s="137"/>
      <c r="T47" s="137"/>
      <c r="U47" s="138"/>
      <c r="V47" s="138"/>
      <c r="W47" s="139"/>
      <c r="X47" s="140"/>
      <c r="Y47" s="140"/>
      <c r="Z47" s="140"/>
      <c r="AA47" s="140"/>
      <c r="AB47" s="141"/>
      <c r="AC47" s="141"/>
      <c r="AD47" s="139"/>
    </row>
    <row r="48" spans="1:30" ht="14.45" x14ac:dyDescent="0.35">
      <c r="A48" s="155" t="s">
        <v>70</v>
      </c>
      <c r="B48" s="156"/>
      <c r="C48" s="156"/>
      <c r="D48" s="156" t="s">
        <v>71</v>
      </c>
      <c r="E48" s="144" t="s">
        <v>37</v>
      </c>
      <c r="F48" s="144" t="s">
        <v>37</v>
      </c>
      <c r="G48" s="36">
        <v>0</v>
      </c>
      <c r="H48" s="178">
        <v>0</v>
      </c>
      <c r="I48" s="39">
        <v>0</v>
      </c>
      <c r="J48" s="39">
        <v>0</v>
      </c>
      <c r="K48" s="39">
        <v>0</v>
      </c>
      <c r="L48" s="176">
        <f>SUM(H48-K48-J48-I48)</f>
        <v>0</v>
      </c>
      <c r="M48" s="39">
        <v>0</v>
      </c>
      <c r="N48" s="39">
        <v>0</v>
      </c>
      <c r="O48" s="39">
        <v>0</v>
      </c>
      <c r="P48" s="145">
        <f>SUM(L48-M48-N48-O48)</f>
        <v>0</v>
      </c>
      <c r="R48" s="151" t="str">
        <f>IF(F48&lt;=$L$3,IF(L48&lt;&gt;0,"X","-"),"-")</f>
        <v>-</v>
      </c>
      <c r="W48" s="139"/>
      <c r="AD48" s="139"/>
    </row>
    <row r="49" spans="1:30" ht="14.45" x14ac:dyDescent="0.35">
      <c r="A49" s="155"/>
      <c r="B49" s="179" t="s">
        <v>37</v>
      </c>
      <c r="C49" s="179"/>
      <c r="D49" s="156" t="s">
        <v>37</v>
      </c>
      <c r="E49" s="121" t="s">
        <v>37</v>
      </c>
      <c r="F49" s="121" t="s">
        <v>37</v>
      </c>
      <c r="G49" s="36">
        <v>0</v>
      </c>
      <c r="H49" s="178">
        <v>0</v>
      </c>
      <c r="I49" s="39">
        <v>0</v>
      </c>
      <c r="J49" s="39">
        <v>0</v>
      </c>
      <c r="K49" s="39">
        <v>0</v>
      </c>
      <c r="L49" s="176">
        <f>SUM(-K49-J49-I49+H49)+G49</f>
        <v>0</v>
      </c>
      <c r="M49" s="39">
        <v>0</v>
      </c>
      <c r="N49" s="39">
        <v>0</v>
      </c>
      <c r="O49" s="39">
        <v>0</v>
      </c>
      <c r="P49" s="145">
        <f>SUM(L49-M49-N49-O49)</f>
        <v>0</v>
      </c>
      <c r="R49" s="151" t="str">
        <f>IF(F49&lt;=$L$3,IF(L49&lt;&gt;0,"X","-"),"-")</f>
        <v>-</v>
      </c>
      <c r="W49" s="139"/>
      <c r="AD49" s="139"/>
    </row>
    <row r="50" spans="1:30" ht="12.6" x14ac:dyDescent="0.25">
      <c r="A50" s="133"/>
      <c r="B50" s="134"/>
      <c r="C50" s="134"/>
      <c r="D50" s="134"/>
      <c r="E50" s="134"/>
      <c r="F50" s="134"/>
      <c r="G50" s="56"/>
      <c r="H50" s="135">
        <f>SUM(H48:H49)</f>
        <v>0</v>
      </c>
      <c r="I50" s="57">
        <f>SUM(I48:I49)</f>
        <v>0</v>
      </c>
      <c r="J50" s="57">
        <f t="shared" ref="J50:O50" si="35">SUM(J48:J49)</f>
        <v>0</v>
      </c>
      <c r="K50" s="57">
        <f t="shared" si="35"/>
        <v>0</v>
      </c>
      <c r="L50" s="56">
        <f t="shared" si="35"/>
        <v>0</v>
      </c>
      <c r="M50" s="57">
        <f t="shared" si="35"/>
        <v>0</v>
      </c>
      <c r="N50" s="57">
        <f t="shared" si="35"/>
        <v>0</v>
      </c>
      <c r="O50" s="57">
        <f t="shared" si="35"/>
        <v>0</v>
      </c>
      <c r="P50" s="56">
        <f>SUM(P48:P49)</f>
        <v>0</v>
      </c>
      <c r="R50" s="136" t="str">
        <f>IF(F50&lt;=$L$3,IF(L50&lt;&gt;0,"X","-"),"-")</f>
        <v>-</v>
      </c>
      <c r="S50" s="137"/>
      <c r="T50" s="137"/>
      <c r="U50" s="138"/>
      <c r="V50" s="138"/>
      <c r="W50" s="139"/>
      <c r="X50" s="140"/>
      <c r="Y50" s="140"/>
      <c r="Z50" s="140"/>
      <c r="AA50" s="140"/>
      <c r="AB50" s="141"/>
      <c r="AC50" s="141"/>
      <c r="AD50" s="139"/>
    </row>
    <row r="51" spans="1:30" s="128" customFormat="1" ht="21" x14ac:dyDescent="0.25">
      <c r="A51" s="156" t="s">
        <v>72</v>
      </c>
      <c r="B51" s="120">
        <v>41916</v>
      </c>
      <c r="C51" s="121"/>
      <c r="D51" s="163" t="s">
        <v>73</v>
      </c>
      <c r="E51" s="121">
        <v>41974</v>
      </c>
      <c r="F51" s="121">
        <v>43069</v>
      </c>
      <c r="G51" s="170">
        <v>27293.47</v>
      </c>
      <c r="H51" s="37">
        <v>12888.549999999983</v>
      </c>
      <c r="I51" s="39">
        <v>758.15</v>
      </c>
      <c r="J51" s="39">
        <v>758.15</v>
      </c>
      <c r="K51" s="39">
        <v>758.15</v>
      </c>
      <c r="L51" s="38">
        <f>SUM(H51-I51-J51-K51)</f>
        <v>10614.099999999984</v>
      </c>
      <c r="M51" s="39">
        <v>758.15</v>
      </c>
      <c r="N51" s="39">
        <v>758.15</v>
      </c>
      <c r="O51" s="39">
        <v>758.15</v>
      </c>
      <c r="P51" s="36">
        <f>SUM(L51-M51-N51-O51)</f>
        <v>8339.6499999999851</v>
      </c>
      <c r="R51" s="129" t="str">
        <f>IF(F51&lt;=$L$3,IF(L51&lt;&gt;0,"X","-"),"-")</f>
        <v>-</v>
      </c>
      <c r="S51" s="130">
        <f>ROUND((F51-E51)/30.41,0)</f>
        <v>36</v>
      </c>
      <c r="T51" s="130">
        <f>IF($L$3&gt;F51,S51,ROUND(($L$3-E51)/30,0))</f>
        <v>22</v>
      </c>
      <c r="U51" s="131">
        <f>G51/S51*T51</f>
        <v>16679.342777777776</v>
      </c>
      <c r="V51" s="131">
        <f>G51-U51</f>
        <v>10614.127222222225</v>
      </c>
      <c r="W51" s="131">
        <f>ROUND(L51-V51,-3)</f>
        <v>0</v>
      </c>
      <c r="Y51" s="129" t="str">
        <f>IF(F51&lt;=$P$3,IF(P51&lt;&gt;0,"X","-"),"-")</f>
        <v>-</v>
      </c>
      <c r="Z51" s="130">
        <f>ROUND((F51-E51)/30.41,0)</f>
        <v>36</v>
      </c>
      <c r="AA51" s="130">
        <f>IF($P$3&gt;F51,Z51,ROUND(($P$3-E51)/30,0))</f>
        <v>25</v>
      </c>
      <c r="AB51" s="131">
        <f>G51/Z51*AA51</f>
        <v>18953.798611111109</v>
      </c>
      <c r="AC51" s="131">
        <f>G51-AB51</f>
        <v>8339.6713888888917</v>
      </c>
      <c r="AD51" s="131">
        <f>ROUND(P51-AC51,-3)</f>
        <v>0</v>
      </c>
    </row>
    <row r="52" spans="1:30" ht="12.6" x14ac:dyDescent="0.25">
      <c r="A52" s="180"/>
      <c r="B52" s="134"/>
      <c r="C52" s="134"/>
      <c r="D52" s="134"/>
      <c r="E52" s="134"/>
      <c r="F52" s="134"/>
      <c r="G52" s="135">
        <f t="shared" ref="G52:P52" si="36">SUM(G51:G51)</f>
        <v>27293.47</v>
      </c>
      <c r="H52" s="135">
        <f t="shared" si="36"/>
        <v>12888.549999999983</v>
      </c>
      <c r="I52" s="135">
        <f t="shared" si="36"/>
        <v>758.15</v>
      </c>
      <c r="J52" s="135">
        <f t="shared" si="36"/>
        <v>758.15</v>
      </c>
      <c r="K52" s="135">
        <f t="shared" si="36"/>
        <v>758.15</v>
      </c>
      <c r="L52" s="135">
        <f t="shared" si="36"/>
        <v>10614.099999999984</v>
      </c>
      <c r="M52" s="135">
        <f t="shared" si="36"/>
        <v>758.15</v>
      </c>
      <c r="N52" s="135">
        <f t="shared" si="36"/>
        <v>758.15</v>
      </c>
      <c r="O52" s="135">
        <f t="shared" si="36"/>
        <v>758.15</v>
      </c>
      <c r="P52" s="135">
        <f t="shared" si="36"/>
        <v>8339.6499999999851</v>
      </c>
      <c r="R52" s="136"/>
      <c r="S52" s="137"/>
      <c r="T52" s="137"/>
      <c r="U52" s="138"/>
      <c r="V52" s="138"/>
      <c r="W52" s="139"/>
      <c r="X52" s="140"/>
      <c r="Y52" s="140"/>
      <c r="Z52" s="140"/>
      <c r="AA52" s="140"/>
      <c r="AB52" s="141"/>
      <c r="AC52" s="141"/>
      <c r="AD52" s="139"/>
    </row>
    <row r="53" spans="1:30" ht="12.6" x14ac:dyDescent="0.25">
      <c r="A53" s="181" t="s">
        <v>74</v>
      </c>
      <c r="B53" s="143" t="s">
        <v>75</v>
      </c>
      <c r="C53" s="143"/>
      <c r="D53" s="143"/>
      <c r="E53" s="144"/>
      <c r="F53" s="144"/>
      <c r="G53" s="145"/>
      <c r="H53" s="162">
        <v>0</v>
      </c>
      <c r="I53" s="39"/>
      <c r="J53" s="175"/>
      <c r="K53" s="175"/>
      <c r="L53" s="176">
        <f>SUM(H53-K53-J53-I53)</f>
        <v>0</v>
      </c>
      <c r="M53" s="175"/>
      <c r="N53" s="39"/>
      <c r="O53" s="39"/>
      <c r="P53" s="145">
        <f>SUM(L53-O53-N53-M53)</f>
        <v>0</v>
      </c>
      <c r="R53" s="129"/>
      <c r="S53" s="130"/>
      <c r="T53" s="130"/>
      <c r="U53" s="131"/>
      <c r="V53" s="131"/>
      <c r="W53" s="131"/>
      <c r="X53" s="128"/>
      <c r="Y53" s="129"/>
      <c r="Z53" s="130"/>
      <c r="AA53" s="130"/>
      <c r="AB53" s="131"/>
      <c r="AC53" s="131"/>
      <c r="AD53" s="131"/>
    </row>
    <row r="54" spans="1:30" s="128" customFormat="1" ht="12.6" x14ac:dyDescent="0.25">
      <c r="A54" s="182"/>
      <c r="B54" s="183">
        <v>42522</v>
      </c>
      <c r="C54" s="184">
        <v>42548</v>
      </c>
      <c r="D54" s="156" t="s">
        <v>18</v>
      </c>
      <c r="E54" s="121">
        <v>42552</v>
      </c>
      <c r="F54" s="121">
        <v>42916</v>
      </c>
      <c r="G54" s="36">
        <v>99336.42</v>
      </c>
      <c r="H54" s="83">
        <v>99336.42</v>
      </c>
      <c r="I54" s="39">
        <v>8278.09</v>
      </c>
      <c r="J54" s="39">
        <v>8278.0300000000007</v>
      </c>
      <c r="K54" s="39">
        <v>8278.0300000000007</v>
      </c>
      <c r="L54" s="176">
        <f>SUM(H54-K54-J54-I54)</f>
        <v>74502.27</v>
      </c>
      <c r="M54" s="39">
        <v>8278.0300000000007</v>
      </c>
      <c r="N54" s="39">
        <v>8278.0300000000007</v>
      </c>
      <c r="O54" s="39">
        <v>8278.0300000000007</v>
      </c>
      <c r="P54" s="36">
        <f>SUM(L54-M54-N54-O54)</f>
        <v>49668.180000000008</v>
      </c>
      <c r="R54" s="129" t="str">
        <f>IF(F54&lt;=$L$3,IF(L54&lt;&gt;0,"X","-"),"-")</f>
        <v>-</v>
      </c>
      <c r="S54" s="130">
        <f>ROUND((F54-E54)/30.41,0)</f>
        <v>12</v>
      </c>
      <c r="T54" s="130">
        <f>IF($L$3&gt;F54,S54,ROUND(($L$3-E54)/30,0))</f>
        <v>3</v>
      </c>
      <c r="U54" s="131">
        <f>G54/S54*T54</f>
        <v>24834.105</v>
      </c>
      <c r="V54" s="131">
        <f>G54-U54</f>
        <v>74502.315000000002</v>
      </c>
      <c r="W54" s="131">
        <f>ROUND(L54-V54,-3)</f>
        <v>0</v>
      </c>
      <c r="Y54" s="129" t="str">
        <f>IF(F54&lt;=$P$3,IF(P54&lt;&gt;0,"X","-"),"-")</f>
        <v>-</v>
      </c>
      <c r="Z54" s="130">
        <f>ROUND((F54-E54)/30.41,0)</f>
        <v>12</v>
      </c>
      <c r="AA54" s="130">
        <f>IF($P$3&gt;F54,Z54,ROUND(($P$3-E54)/30,0))</f>
        <v>6</v>
      </c>
      <c r="AB54" s="131">
        <f>G54/Z54*AA54</f>
        <v>49668.21</v>
      </c>
      <c r="AC54" s="131">
        <f>G54-AB54</f>
        <v>49668.21</v>
      </c>
      <c r="AD54" s="131">
        <f>ROUND(P54-AC54,-3)</f>
        <v>0</v>
      </c>
    </row>
    <row r="55" spans="1:30" ht="12.6" x14ac:dyDescent="0.25">
      <c r="A55" s="133"/>
      <c r="B55" s="134"/>
      <c r="C55" s="134"/>
      <c r="D55" s="134"/>
      <c r="E55" s="134"/>
      <c r="F55" s="134"/>
      <c r="G55" s="56"/>
      <c r="H55" s="56">
        <f t="shared" ref="H55:P55" si="37">SUM(H54:H54)</f>
        <v>99336.42</v>
      </c>
      <c r="I55" s="56">
        <f t="shared" si="37"/>
        <v>8278.09</v>
      </c>
      <c r="J55" s="56">
        <f t="shared" si="37"/>
        <v>8278.0300000000007</v>
      </c>
      <c r="K55" s="56">
        <f t="shared" si="37"/>
        <v>8278.0300000000007</v>
      </c>
      <c r="L55" s="56">
        <f t="shared" si="37"/>
        <v>74502.27</v>
      </c>
      <c r="M55" s="56">
        <f t="shared" si="37"/>
        <v>8278.0300000000007</v>
      </c>
      <c r="N55" s="56">
        <f t="shared" si="37"/>
        <v>8278.0300000000007</v>
      </c>
      <c r="O55" s="56">
        <f t="shared" si="37"/>
        <v>8278.0300000000007</v>
      </c>
      <c r="P55" s="56">
        <f t="shared" si="37"/>
        <v>49668.180000000008</v>
      </c>
      <c r="R55" s="136"/>
      <c r="S55" s="137"/>
      <c r="T55" s="137"/>
      <c r="U55" s="138"/>
      <c r="V55" s="138"/>
      <c r="W55" s="139"/>
      <c r="X55" s="140"/>
      <c r="Y55" s="140"/>
      <c r="Z55" s="140"/>
      <c r="AA55" s="140"/>
      <c r="AB55" s="141"/>
      <c r="AC55" s="141"/>
      <c r="AD55" s="139"/>
    </row>
    <row r="56" spans="1:30" ht="14.45" x14ac:dyDescent="0.35">
      <c r="A56" s="142" t="s">
        <v>76</v>
      </c>
      <c r="D56" s="143"/>
      <c r="E56" s="144"/>
      <c r="F56" s="185"/>
      <c r="G56" s="145" t="s">
        <v>37</v>
      </c>
      <c r="H56" s="162" t="s">
        <v>37</v>
      </c>
      <c r="I56" s="39" t="s">
        <v>37</v>
      </c>
      <c r="J56" s="175" t="s">
        <v>37</v>
      </c>
      <c r="K56" s="175" t="s">
        <v>37</v>
      </c>
      <c r="L56" s="176" t="s">
        <v>37</v>
      </c>
      <c r="M56" s="175" t="s">
        <v>37</v>
      </c>
      <c r="N56" s="39" t="s">
        <v>37</v>
      </c>
      <c r="O56" s="39" t="s">
        <v>37</v>
      </c>
      <c r="P56" s="145" t="s">
        <v>37</v>
      </c>
      <c r="W56" s="139"/>
      <c r="AD56" s="139"/>
    </row>
    <row r="57" spans="1:30" s="128" customFormat="1" ht="12.6" x14ac:dyDescent="0.25">
      <c r="A57" s="155"/>
      <c r="B57" s="183">
        <v>42438</v>
      </c>
      <c r="C57" s="184">
        <v>42464</v>
      </c>
      <c r="D57" s="164" t="s">
        <v>44</v>
      </c>
      <c r="E57" s="121">
        <v>42438</v>
      </c>
      <c r="F57" s="121">
        <v>42803</v>
      </c>
      <c r="G57" s="36">
        <v>85752</v>
      </c>
      <c r="H57" s="37">
        <v>57168</v>
      </c>
      <c r="I57" s="37">
        <v>7146</v>
      </c>
      <c r="J57" s="37">
        <v>7146</v>
      </c>
      <c r="K57" s="37">
        <v>7146</v>
      </c>
      <c r="L57" s="38">
        <f>SUM(H57-I57-J57-K57)</f>
        <v>35730</v>
      </c>
      <c r="M57" s="39">
        <v>7146</v>
      </c>
      <c r="N57" s="39">
        <v>7146</v>
      </c>
      <c r="O57" s="39">
        <v>7146</v>
      </c>
      <c r="P57" s="36">
        <f>SUM(L57-O57-N57-M57)</f>
        <v>14292</v>
      </c>
      <c r="R57" s="129" t="str">
        <f>IF(F57&lt;=$L$3,IF(L57&lt;&gt;0,"X","-"),"-")</f>
        <v>-</v>
      </c>
      <c r="S57" s="130">
        <f>ROUND((F57-E57)/30.41,0)</f>
        <v>12</v>
      </c>
      <c r="T57" s="130">
        <f>IF($L$3&gt;F57,S57,ROUND(($L$3-E57)/30,0))</f>
        <v>7</v>
      </c>
      <c r="U57" s="131">
        <f>G57/S57*T57</f>
        <v>50022</v>
      </c>
      <c r="V57" s="131">
        <f>G57-U57</f>
        <v>35730</v>
      </c>
      <c r="W57" s="131">
        <f>ROUND(L57-V57,-3)</f>
        <v>0</v>
      </c>
      <c r="Y57" s="129" t="str">
        <f>IF(F57&lt;=$P$3,IF(P57&lt;&gt;0,"X","-"),"-")</f>
        <v>-</v>
      </c>
      <c r="Z57" s="130">
        <f>ROUND((F57-E57)/30.41,0)</f>
        <v>12</v>
      </c>
      <c r="AA57" s="130">
        <f>IF($P$3&gt;F57,Z57,ROUND(($P$3-E57)/30,0))</f>
        <v>10</v>
      </c>
      <c r="AB57" s="131">
        <f>G57/Z57*AA57</f>
        <v>71460</v>
      </c>
      <c r="AC57" s="131">
        <f>G57-AB57</f>
        <v>14292</v>
      </c>
      <c r="AD57" s="131">
        <f>ROUND(P57-AC57,-3)</f>
        <v>0</v>
      </c>
    </row>
    <row r="58" spans="1:30" ht="12.6" x14ac:dyDescent="0.25">
      <c r="A58" s="143"/>
      <c r="B58" s="134"/>
      <c r="C58" s="134"/>
      <c r="D58" s="134"/>
      <c r="E58" s="134"/>
      <c r="F58" s="134"/>
      <c r="G58" s="134"/>
      <c r="H58" s="135">
        <f t="shared" ref="H58:P58" si="38">SUM(H57:H57)</f>
        <v>57168</v>
      </c>
      <c r="I58" s="135">
        <f t="shared" si="38"/>
        <v>7146</v>
      </c>
      <c r="J58" s="135">
        <f t="shared" si="38"/>
        <v>7146</v>
      </c>
      <c r="K58" s="135">
        <f t="shared" si="38"/>
        <v>7146</v>
      </c>
      <c r="L58" s="135">
        <f t="shared" si="38"/>
        <v>35730</v>
      </c>
      <c r="M58" s="135">
        <f t="shared" si="38"/>
        <v>7146</v>
      </c>
      <c r="N58" s="135">
        <f t="shared" si="38"/>
        <v>7146</v>
      </c>
      <c r="O58" s="135">
        <f t="shared" si="38"/>
        <v>7146</v>
      </c>
      <c r="P58" s="135">
        <f t="shared" si="38"/>
        <v>14292</v>
      </c>
      <c r="R58" s="136"/>
      <c r="S58" s="137"/>
      <c r="T58" s="137"/>
      <c r="U58" s="138"/>
      <c r="V58" s="138"/>
      <c r="W58" s="139"/>
      <c r="X58" s="140"/>
      <c r="Y58" s="140"/>
      <c r="Z58" s="140"/>
      <c r="AA58" s="140"/>
      <c r="AB58" s="141"/>
      <c r="AC58" s="141"/>
      <c r="AD58" s="139"/>
    </row>
    <row r="59" spans="1:30" ht="12.6" x14ac:dyDescent="0.25">
      <c r="A59" s="143" t="s">
        <v>77</v>
      </c>
      <c r="B59" s="179" t="s">
        <v>37</v>
      </c>
      <c r="C59" s="179"/>
      <c r="D59" s="156"/>
      <c r="E59" s="121" t="s">
        <v>37</v>
      </c>
      <c r="F59" s="121" t="s">
        <v>37</v>
      </c>
      <c r="G59" s="170">
        <v>0</v>
      </c>
      <c r="H59" s="178">
        <v>0</v>
      </c>
      <c r="I59" s="39">
        <v>0</v>
      </c>
      <c r="J59" s="39">
        <v>0</v>
      </c>
      <c r="K59" s="39">
        <v>0</v>
      </c>
      <c r="L59" s="38">
        <f>SUM(H59-I59-J59-K59)</f>
        <v>0</v>
      </c>
      <c r="M59" s="39">
        <v>0</v>
      </c>
      <c r="N59" s="39">
        <v>0</v>
      </c>
      <c r="O59" s="39">
        <v>0</v>
      </c>
      <c r="P59" s="36">
        <f>SUM(L59-M59-N59-O59)</f>
        <v>0</v>
      </c>
      <c r="R59" s="151" t="str">
        <f>IF(F59&lt;=$L$3,IF(L59&lt;&gt;0,"X","-"),"-")</f>
        <v>-</v>
      </c>
      <c r="S59" s="152" t="e">
        <f>ROUND((F59-E59)/30.41,0)</f>
        <v>#VALUE!</v>
      </c>
      <c r="T59" s="152" t="e">
        <f>IF($L$3&gt;F59,S59,ROUND(($L$3-E59)/30,0))</f>
        <v>#VALUE!</v>
      </c>
      <c r="U59" s="153" t="e">
        <f>G59/S59*T59</f>
        <v>#VALUE!</v>
      </c>
      <c r="V59" s="153" t="e">
        <f>G59-U59</f>
        <v>#VALUE!</v>
      </c>
      <c r="W59" s="139" t="e">
        <f>ROUND(L59-V59,-3)</f>
        <v>#VALUE!</v>
      </c>
      <c r="Y59" s="151" t="str">
        <f>IF(F59&lt;=$P$3,IF(P59&lt;&gt;0,"X","-"),"-")</f>
        <v>-</v>
      </c>
      <c r="Z59" s="152" t="e">
        <f>ROUND((F59-E59)/30.41,0)</f>
        <v>#VALUE!</v>
      </c>
      <c r="AA59" s="152" t="e">
        <f>IF($P$3&gt;F59,Z59,ROUND(($P$3-E59)/30,0))</f>
        <v>#VALUE!</v>
      </c>
      <c r="AB59" s="153" t="e">
        <f>G59/Z59*AA59</f>
        <v>#VALUE!</v>
      </c>
      <c r="AC59" s="153" t="e">
        <f>G59-AB59</f>
        <v>#VALUE!</v>
      </c>
      <c r="AD59" s="139" t="e">
        <f>ROUND(P59-AC59,-3)</f>
        <v>#VALUE!</v>
      </c>
    </row>
    <row r="60" spans="1:30" ht="12.6" x14ac:dyDescent="0.25">
      <c r="A60" s="143"/>
      <c r="B60" s="179"/>
      <c r="C60" s="179"/>
      <c r="D60" s="134"/>
      <c r="E60" s="167"/>
      <c r="F60" s="167"/>
      <c r="G60" s="186"/>
      <c r="H60" s="135">
        <f>SUM(H59)</f>
        <v>0</v>
      </c>
      <c r="I60" s="57">
        <f t="shared" ref="I60:P60" si="39">SUM(I59)</f>
        <v>0</v>
      </c>
      <c r="J60" s="57">
        <f t="shared" si="39"/>
        <v>0</v>
      </c>
      <c r="K60" s="57">
        <f t="shared" si="39"/>
        <v>0</v>
      </c>
      <c r="L60" s="56">
        <f t="shared" si="39"/>
        <v>0</v>
      </c>
      <c r="M60" s="57">
        <f t="shared" si="39"/>
        <v>0</v>
      </c>
      <c r="N60" s="57">
        <f t="shared" si="39"/>
        <v>0</v>
      </c>
      <c r="O60" s="57">
        <f t="shared" si="39"/>
        <v>0</v>
      </c>
      <c r="P60" s="56">
        <f t="shared" si="39"/>
        <v>0</v>
      </c>
      <c r="R60" s="136"/>
      <c r="S60" s="137"/>
      <c r="T60" s="137"/>
      <c r="U60" s="138"/>
      <c r="V60" s="138"/>
      <c r="W60" s="139"/>
      <c r="X60" s="140"/>
      <c r="Y60" s="140" t="str">
        <f>IF(F60&lt;=$P$3,IF(P60&lt;&gt;0,"X","-"),"-")</f>
        <v>-</v>
      </c>
      <c r="Z60" s="140"/>
      <c r="AA60" s="140"/>
      <c r="AB60" s="141"/>
      <c r="AC60" s="141"/>
      <c r="AD60" s="139"/>
    </row>
    <row r="61" spans="1:30" ht="12.6" x14ac:dyDescent="0.25">
      <c r="A61" s="143" t="s">
        <v>78</v>
      </c>
      <c r="B61" s="179" t="s">
        <v>37</v>
      </c>
      <c r="C61" s="179"/>
      <c r="D61" s="156" t="s">
        <v>37</v>
      </c>
      <c r="E61" s="121" t="s">
        <v>37</v>
      </c>
      <c r="F61" s="121" t="s">
        <v>37</v>
      </c>
      <c r="G61" s="170">
        <v>0</v>
      </c>
      <c r="H61" s="178">
        <v>0</v>
      </c>
      <c r="I61" s="39">
        <v>0</v>
      </c>
      <c r="J61" s="39">
        <v>0</v>
      </c>
      <c r="K61" s="39">
        <v>0</v>
      </c>
      <c r="L61" s="38">
        <f>SUM(H61-I61-J61-K61)</f>
        <v>0</v>
      </c>
      <c r="M61" s="39">
        <v>0</v>
      </c>
      <c r="N61" s="39">
        <v>0</v>
      </c>
      <c r="O61" s="39">
        <v>0</v>
      </c>
      <c r="P61" s="36">
        <f>SUM(L61-M61-N61-O61)</f>
        <v>0</v>
      </c>
      <c r="R61" s="151" t="str">
        <f>IF(F61&lt;=$L$3,IF(L61&lt;&gt;0,"X","-"),"-")</f>
        <v>-</v>
      </c>
      <c r="S61" s="152" t="e">
        <f>ROUND((F61-E61)/30.41,0)</f>
        <v>#VALUE!</v>
      </c>
      <c r="T61" s="152" t="e">
        <f>IF($L$3&gt;F61,S61,ROUND(($L$3-E61)/30,0))</f>
        <v>#VALUE!</v>
      </c>
      <c r="U61" s="153" t="e">
        <f>G61/S61*T61</f>
        <v>#VALUE!</v>
      </c>
      <c r="V61" s="153" t="e">
        <f>G61-U61</f>
        <v>#VALUE!</v>
      </c>
      <c r="W61" s="139" t="e">
        <f>ROUND(L61-V61,-3)</f>
        <v>#VALUE!</v>
      </c>
      <c r="Y61" s="151" t="str">
        <f>IF(F61&lt;=$P$3,IF(P61&lt;&gt;0,"X","-"),"-")</f>
        <v>-</v>
      </c>
      <c r="Z61" s="152" t="e">
        <f>ROUND((F61-E61)/30.41,0)</f>
        <v>#VALUE!</v>
      </c>
      <c r="AA61" s="152" t="e">
        <f>IF($P$3&gt;F61,Z61,ROUND(($P$3-E61)/30,0))</f>
        <v>#VALUE!</v>
      </c>
      <c r="AB61" s="153" t="e">
        <f>G61/Z61*AA61</f>
        <v>#VALUE!</v>
      </c>
      <c r="AC61" s="153" t="e">
        <f>G61-AB61</f>
        <v>#VALUE!</v>
      </c>
      <c r="AD61" s="139" t="e">
        <f>ROUND(P61-AC61,-3)</f>
        <v>#VALUE!</v>
      </c>
    </row>
    <row r="62" spans="1:30" ht="12.6" x14ac:dyDescent="0.25">
      <c r="A62" s="143"/>
      <c r="B62" s="179"/>
      <c r="C62" s="179"/>
      <c r="D62" s="134"/>
      <c r="E62" s="167"/>
      <c r="F62" s="167"/>
      <c r="G62" s="186">
        <f>SUM(G61)</f>
        <v>0</v>
      </c>
      <c r="H62" s="186">
        <f t="shared" ref="H62:P62" si="40">SUM(H61)</f>
        <v>0</v>
      </c>
      <c r="I62" s="187">
        <f t="shared" si="40"/>
        <v>0</v>
      </c>
      <c r="J62" s="187">
        <f t="shared" si="40"/>
        <v>0</v>
      </c>
      <c r="K62" s="187">
        <f t="shared" si="40"/>
        <v>0</v>
      </c>
      <c r="L62" s="186">
        <f t="shared" si="40"/>
        <v>0</v>
      </c>
      <c r="M62" s="187">
        <f t="shared" si="40"/>
        <v>0</v>
      </c>
      <c r="N62" s="187">
        <f t="shared" si="40"/>
        <v>0</v>
      </c>
      <c r="O62" s="187">
        <f t="shared" si="40"/>
        <v>0</v>
      </c>
      <c r="P62" s="186">
        <f t="shared" si="40"/>
        <v>0</v>
      </c>
      <c r="R62" s="136"/>
      <c r="S62" s="137"/>
      <c r="T62" s="137"/>
      <c r="U62" s="138"/>
      <c r="V62" s="138"/>
      <c r="W62" s="139"/>
      <c r="X62" s="140"/>
      <c r="Y62" s="140"/>
      <c r="Z62" s="140"/>
      <c r="AA62" s="140"/>
      <c r="AB62" s="141"/>
      <c r="AC62" s="141"/>
      <c r="AD62" s="139"/>
    </row>
    <row r="63" spans="1:30" ht="14.45" x14ac:dyDescent="0.35">
      <c r="A63" s="155" t="s">
        <v>37</v>
      </c>
      <c r="B63" s="179"/>
      <c r="C63" s="179"/>
      <c r="D63" s="163"/>
      <c r="E63" s="144"/>
      <c r="F63" s="144"/>
      <c r="G63" s="36"/>
      <c r="H63" s="83"/>
      <c r="I63" s="39"/>
      <c r="J63" s="39"/>
      <c r="K63" s="39"/>
      <c r="L63" s="176"/>
      <c r="M63" s="39"/>
      <c r="N63" s="39"/>
      <c r="O63" s="39"/>
      <c r="P63" s="145"/>
      <c r="W63" s="139"/>
      <c r="AD63" s="139"/>
    </row>
    <row r="64" spans="1:30" ht="21" x14ac:dyDescent="0.25">
      <c r="A64" s="155" t="s">
        <v>79</v>
      </c>
      <c r="B64" s="179">
        <v>39543</v>
      </c>
      <c r="C64" s="144"/>
      <c r="D64" s="163" t="s">
        <v>80</v>
      </c>
      <c r="E64" s="144" t="s">
        <v>37</v>
      </c>
      <c r="F64" s="144" t="s">
        <v>37</v>
      </c>
      <c r="G64" s="36" t="s">
        <v>37</v>
      </c>
      <c r="H64" s="83" t="s">
        <v>37</v>
      </c>
      <c r="I64" s="39"/>
      <c r="J64" s="39" t="s">
        <v>37</v>
      </c>
      <c r="K64" s="39" t="s">
        <v>37</v>
      </c>
      <c r="L64" s="176" t="s">
        <v>37</v>
      </c>
      <c r="M64" s="39">
        <v>0</v>
      </c>
      <c r="N64" s="39">
        <v>0</v>
      </c>
      <c r="O64" s="39">
        <v>0</v>
      </c>
      <c r="P64" s="145" t="s">
        <v>37</v>
      </c>
      <c r="R64" s="129" t="str">
        <f>IF(F64&lt;=$L$3,IF(L64&lt;&gt;0,"X","-"),"-")</f>
        <v>-</v>
      </c>
      <c r="S64" s="130" t="e">
        <f>ROUND((F64-E64)/30,0)</f>
        <v>#VALUE!</v>
      </c>
      <c r="T64" s="130" t="e">
        <f>IF($L$3&gt;F64,S64,ROUND(($L$3-E64)/30,0))</f>
        <v>#VALUE!</v>
      </c>
      <c r="U64" s="131" t="e">
        <f>G64/S64*T64</f>
        <v>#VALUE!</v>
      </c>
      <c r="V64" s="131" t="e">
        <f>G64-U64</f>
        <v>#VALUE!</v>
      </c>
      <c r="W64" s="131" t="e">
        <f>ROUND(L64-V64,-3)</f>
        <v>#VALUE!</v>
      </c>
      <c r="X64" s="128"/>
      <c r="Y64" s="129" t="str">
        <f>IF(F64&lt;=$P$3,IF(P64&lt;&gt;0,"X","-"),"-")</f>
        <v>-</v>
      </c>
      <c r="Z64" s="130" t="e">
        <f>ROUND((F64-E64)/30,0)</f>
        <v>#VALUE!</v>
      </c>
      <c r="AA64" s="130" t="e">
        <f>IF($P$3&gt;F64,Z64,ROUND(($P$3-E64)/30,0))</f>
        <v>#VALUE!</v>
      </c>
      <c r="AB64" s="131" t="e">
        <f>G64/Z64*AA64</f>
        <v>#VALUE!</v>
      </c>
      <c r="AC64" s="131" t="e">
        <f>G64-AB64</f>
        <v>#VALUE!</v>
      </c>
      <c r="AD64" s="131" t="e">
        <f>ROUND(P64-AC64,-3)</f>
        <v>#VALUE!</v>
      </c>
    </row>
    <row r="65" spans="1:30" ht="12.6" x14ac:dyDescent="0.25">
      <c r="A65" s="155"/>
      <c r="B65" s="179" t="s">
        <v>37</v>
      </c>
      <c r="C65" s="179"/>
      <c r="D65" s="156" t="s">
        <v>37</v>
      </c>
      <c r="E65" s="121" t="s">
        <v>37</v>
      </c>
      <c r="F65" s="121" t="s">
        <v>37</v>
      </c>
      <c r="G65" s="36">
        <v>0</v>
      </c>
      <c r="H65" s="178">
        <v>0</v>
      </c>
      <c r="I65" s="39">
        <v>0</v>
      </c>
      <c r="J65" s="39">
        <v>0</v>
      </c>
      <c r="K65" s="39">
        <v>0</v>
      </c>
      <c r="L65" s="176">
        <f>SUM(-K65-J65-I65+H65)+G65</f>
        <v>0</v>
      </c>
      <c r="M65" s="39">
        <v>0</v>
      </c>
      <c r="N65" s="39">
        <v>0</v>
      </c>
      <c r="O65" s="39">
        <v>0</v>
      </c>
      <c r="P65" s="145">
        <f>SUM(L65-M65-N65-O65)</f>
        <v>0</v>
      </c>
      <c r="R65" s="129" t="str">
        <f>IF(F65&lt;=$L$3,IF(L65&lt;&gt;0,"X","-"),"-")</f>
        <v>-</v>
      </c>
      <c r="S65" s="130" t="e">
        <f>ROUND((F65-E65)/30,0)</f>
        <v>#VALUE!</v>
      </c>
      <c r="T65" s="130" t="e">
        <f>IF($L$3&gt;F65,S65,ROUND(($L$3-E65)/30,0))</f>
        <v>#VALUE!</v>
      </c>
      <c r="U65" s="131" t="e">
        <f>G65/S65*T65</f>
        <v>#VALUE!</v>
      </c>
      <c r="V65" s="131" t="e">
        <f>G65-U65</f>
        <v>#VALUE!</v>
      </c>
      <c r="W65" s="131" t="e">
        <f>ROUND(L65-V65,-3)</f>
        <v>#VALUE!</v>
      </c>
      <c r="X65" s="128"/>
      <c r="Y65" s="129" t="str">
        <f>IF(F65&lt;=$P$3,IF(P65&lt;&gt;0,"X","-"),"-")</f>
        <v>-</v>
      </c>
      <c r="Z65" s="130" t="e">
        <f>ROUND((F65-E65)/30,0)</f>
        <v>#VALUE!</v>
      </c>
      <c r="AA65" s="130" t="e">
        <f>IF($P$3&gt;F65,Z65,ROUND(($P$3-E65)/30,0))</f>
        <v>#VALUE!</v>
      </c>
      <c r="AB65" s="131" t="e">
        <f>G65/Z65*AA65</f>
        <v>#VALUE!</v>
      </c>
      <c r="AC65" s="131" t="e">
        <f>G65-AB65</f>
        <v>#VALUE!</v>
      </c>
      <c r="AD65" s="131" t="e">
        <f>ROUND(P65-AC65,-3)</f>
        <v>#VALUE!</v>
      </c>
    </row>
    <row r="66" spans="1:30" s="128" customFormat="1" ht="52.5" x14ac:dyDescent="0.25">
      <c r="A66" s="155" t="s">
        <v>77</v>
      </c>
      <c r="B66" s="120">
        <v>40729</v>
      </c>
      <c r="C66" s="121"/>
      <c r="D66" s="163" t="s">
        <v>81</v>
      </c>
      <c r="E66" s="188" t="s">
        <v>82</v>
      </c>
      <c r="F66" s="121" t="s">
        <v>83</v>
      </c>
      <c r="G66" s="36">
        <v>7500</v>
      </c>
      <c r="H66" s="178">
        <v>7500</v>
      </c>
      <c r="I66" s="39">
        <v>0</v>
      </c>
      <c r="J66" s="39">
        <v>0</v>
      </c>
      <c r="K66" s="39">
        <v>7500</v>
      </c>
      <c r="L66" s="38">
        <f>SUM(H66-I66-J66-K66)</f>
        <v>0</v>
      </c>
      <c r="M66" s="39">
        <v>0</v>
      </c>
      <c r="N66" s="39">
        <v>0</v>
      </c>
      <c r="O66" s="39">
        <v>0</v>
      </c>
      <c r="P66" s="36">
        <f>SUM(L66-O66-N66-M66)</f>
        <v>0</v>
      </c>
      <c r="R66" s="129" t="str">
        <f>IF(F66&lt;=$L$3,IF(L66&lt;&gt;0,"X","-"),"-")</f>
        <v>-</v>
      </c>
      <c r="S66" s="130" t="e">
        <f>ROUND((F66-E66)/30,0)</f>
        <v>#VALUE!</v>
      </c>
      <c r="T66" s="130">
        <f>IF($L$3&gt;F66,S66,ROUND(($L$3-E66)/30,0))</f>
        <v>64</v>
      </c>
      <c r="U66" s="131" t="e">
        <f>G66/S66*T66</f>
        <v>#VALUE!</v>
      </c>
      <c r="V66" s="131" t="e">
        <f>G66-U66</f>
        <v>#VALUE!</v>
      </c>
      <c r="W66" s="131" t="e">
        <f>ROUND(L66-V66,-3)</f>
        <v>#VALUE!</v>
      </c>
      <c r="Y66" s="129" t="str">
        <f>IF(F66&lt;=$P$3,IF(P66&lt;&gt;0,"X","-"),"-")</f>
        <v>-</v>
      </c>
      <c r="Z66" s="130" t="e">
        <f>ROUND((F66-E66)/30,0)</f>
        <v>#VALUE!</v>
      </c>
      <c r="AA66" s="130">
        <f>IF($P$3&gt;F66,Z66,ROUND(($P$3-E66)/30,0))</f>
        <v>67</v>
      </c>
      <c r="AB66" s="131" t="e">
        <f>G66/Z66*AA66</f>
        <v>#VALUE!</v>
      </c>
      <c r="AC66" s="131" t="e">
        <f>G66-AB66</f>
        <v>#VALUE!</v>
      </c>
      <c r="AD66" s="131" t="e">
        <f>ROUND(P66-AC66,-3)</f>
        <v>#VALUE!</v>
      </c>
    </row>
    <row r="67" spans="1:30" s="128" customFormat="1" ht="21" x14ac:dyDescent="0.25">
      <c r="A67" s="155"/>
      <c r="B67" s="120">
        <v>42438</v>
      </c>
      <c r="C67" s="121"/>
      <c r="D67" s="163" t="s">
        <v>84</v>
      </c>
      <c r="E67" s="188"/>
      <c r="F67" s="121"/>
      <c r="G67" s="36">
        <v>-7500</v>
      </c>
      <c r="H67" s="178">
        <v>0</v>
      </c>
      <c r="I67" s="39"/>
      <c r="J67" s="39"/>
      <c r="K67" s="39">
        <v>-7500</v>
      </c>
      <c r="L67" s="38">
        <f>SUM(H67-I67-J67-K67)+G67</f>
        <v>0</v>
      </c>
      <c r="M67" s="39"/>
      <c r="N67" s="39"/>
      <c r="O67" s="39"/>
      <c r="P67" s="36">
        <f>SUM(L67-O67-N67-M67)</f>
        <v>0</v>
      </c>
      <c r="R67" s="129" t="str">
        <f>IF(F67&lt;=$L$3,IF(L67&lt;&gt;0,"X","-"),"-")</f>
        <v>-</v>
      </c>
      <c r="S67" s="130">
        <f>ROUND((F67-E67)/30,0)</f>
        <v>0</v>
      </c>
      <c r="T67" s="130">
        <f>IF($L$3&gt;F67,S67,ROUND(($L$3-E67)/30,0))</f>
        <v>0</v>
      </c>
      <c r="U67" s="131" t="e">
        <f>G67/S67*T67</f>
        <v>#DIV/0!</v>
      </c>
      <c r="V67" s="131" t="e">
        <f>G67-U67</f>
        <v>#DIV/0!</v>
      </c>
      <c r="W67" s="131" t="e">
        <f>ROUND(L67-V67,-3)</f>
        <v>#DIV/0!</v>
      </c>
      <c r="Y67" s="129" t="str">
        <f>IF(F67&lt;=$P$3,IF(P67&lt;&gt;0,"X","-"),"-")</f>
        <v>-</v>
      </c>
      <c r="Z67" s="130">
        <f>ROUND((F67-E67)/30,0)</f>
        <v>0</v>
      </c>
      <c r="AA67" s="130">
        <f>IF($P$3&gt;F67,Z67,ROUND(($P$3-E67)/30,0))</f>
        <v>0</v>
      </c>
      <c r="AB67" s="131" t="e">
        <f>G67/Z67*AA67</f>
        <v>#DIV/0!</v>
      </c>
      <c r="AC67" s="131" t="e">
        <f>G67-AB67</f>
        <v>#DIV/0!</v>
      </c>
      <c r="AD67" s="131" t="e">
        <f>ROUND(P67-AC67,-3)</f>
        <v>#DIV/0!</v>
      </c>
    </row>
    <row r="68" spans="1:30" s="128" customFormat="1" ht="12.6" x14ac:dyDescent="0.25">
      <c r="A68" s="155"/>
      <c r="B68" s="120">
        <v>42506</v>
      </c>
      <c r="C68" s="121">
        <v>42513</v>
      </c>
      <c r="D68" s="163" t="s">
        <v>85</v>
      </c>
      <c r="E68" s="188" t="s">
        <v>86</v>
      </c>
      <c r="F68" s="121" t="s">
        <v>83</v>
      </c>
      <c r="G68" s="36">
        <v>20000</v>
      </c>
      <c r="H68" s="178">
        <v>20000</v>
      </c>
      <c r="I68" s="39"/>
      <c r="J68" s="39"/>
      <c r="K68" s="39"/>
      <c r="L68" s="38">
        <f>SUM(H68-I68-J68-K68)</f>
        <v>20000</v>
      </c>
      <c r="M68" s="39"/>
      <c r="N68" s="39">
        <v>0</v>
      </c>
      <c r="O68" s="39"/>
      <c r="P68" s="36">
        <f>SUM(L68-O68-N68-M68)</f>
        <v>20000</v>
      </c>
      <c r="R68" s="129" t="str">
        <f>IF(F68&lt;=$L$3,IF(L68&lt;&gt;0,"X","-"),"-")</f>
        <v>-</v>
      </c>
      <c r="S68" s="130" t="e">
        <f>ROUND((F68-E68)/30,0)</f>
        <v>#VALUE!</v>
      </c>
      <c r="T68" s="130">
        <f>IF($L$3&gt;F68,S68,ROUND(($L$3-E68)/30,0))</f>
        <v>5</v>
      </c>
      <c r="U68" s="131" t="e">
        <f>G68/S68*T68</f>
        <v>#VALUE!</v>
      </c>
      <c r="V68" s="131" t="e">
        <f>G68-U68</f>
        <v>#VALUE!</v>
      </c>
      <c r="W68" s="131" t="e">
        <f>ROUND(L68-V68,-3)</f>
        <v>#VALUE!</v>
      </c>
      <c r="Y68" s="129" t="str">
        <f>IF(F68&lt;=$P$3,IF(P68&lt;&gt;0,"X","-"),"-")</f>
        <v>-</v>
      </c>
      <c r="Z68" s="130" t="e">
        <f>ROUND((F68-E68)/30,0)</f>
        <v>#VALUE!</v>
      </c>
      <c r="AA68" s="130">
        <f>IF($P$3&gt;F68,Z68,ROUND(($P$3-E68)/30,0))</f>
        <v>8</v>
      </c>
      <c r="AB68" s="131" t="e">
        <f>G68/Z68*AA68</f>
        <v>#VALUE!</v>
      </c>
      <c r="AC68" s="131" t="e">
        <f>G68-AB68</f>
        <v>#VALUE!</v>
      </c>
      <c r="AD68" s="131" t="e">
        <f>ROUND(P68-AC68,-3)</f>
        <v>#VALUE!</v>
      </c>
    </row>
    <row r="69" spans="1:30" ht="12.6" x14ac:dyDescent="0.25">
      <c r="A69" s="143"/>
      <c r="B69" s="134"/>
      <c r="C69" s="134"/>
      <c r="D69" s="134"/>
      <c r="E69" s="134"/>
      <c r="F69" s="134"/>
      <c r="G69" s="189">
        <f>SUM(G66:G67)</f>
        <v>0</v>
      </c>
      <c r="H69" s="189">
        <f>H68</f>
        <v>20000</v>
      </c>
      <c r="I69" s="189">
        <f t="shared" ref="I69:P69" si="41">SUM(I66:I68)</f>
        <v>0</v>
      </c>
      <c r="J69" s="189">
        <f t="shared" si="41"/>
        <v>0</v>
      </c>
      <c r="K69" s="189">
        <f t="shared" si="41"/>
        <v>0</v>
      </c>
      <c r="L69" s="189">
        <f t="shared" si="41"/>
        <v>20000</v>
      </c>
      <c r="M69" s="189">
        <f t="shared" si="41"/>
        <v>0</v>
      </c>
      <c r="N69" s="189">
        <f t="shared" si="41"/>
        <v>0</v>
      </c>
      <c r="O69" s="189">
        <f t="shared" si="41"/>
        <v>0</v>
      </c>
      <c r="P69" s="189">
        <f t="shared" si="41"/>
        <v>20000</v>
      </c>
      <c r="R69" s="136"/>
      <c r="S69" s="137"/>
      <c r="T69" s="137"/>
      <c r="U69" s="138"/>
      <c r="V69" s="138"/>
      <c r="W69" s="139"/>
      <c r="X69" s="140"/>
      <c r="Y69" s="140"/>
      <c r="Z69" s="140"/>
      <c r="AA69" s="140"/>
      <c r="AB69" s="141"/>
      <c r="AC69" s="141"/>
      <c r="AD69" s="139"/>
    </row>
    <row r="70" spans="1:30" ht="14.45" x14ac:dyDescent="0.35">
      <c r="A70" s="155"/>
      <c r="B70" s="179"/>
      <c r="C70" s="179"/>
      <c r="D70" s="156"/>
      <c r="E70" s="121"/>
      <c r="F70" s="121"/>
      <c r="G70" s="36"/>
      <c r="H70" s="178"/>
      <c r="I70" s="39"/>
      <c r="J70" s="39"/>
      <c r="K70" s="39"/>
      <c r="L70" s="176"/>
      <c r="M70" s="39"/>
      <c r="N70" s="39"/>
      <c r="O70" s="39"/>
      <c r="P70" s="145"/>
    </row>
    <row r="71" spans="1:30" s="128" customFormat="1" ht="21" x14ac:dyDescent="0.25">
      <c r="A71" s="155" t="s">
        <v>87</v>
      </c>
      <c r="B71" s="190" t="s">
        <v>88</v>
      </c>
      <c r="C71" s="188"/>
      <c r="D71" s="163" t="s">
        <v>89</v>
      </c>
      <c r="E71" s="121">
        <v>41456</v>
      </c>
      <c r="F71" s="121">
        <v>43281</v>
      </c>
      <c r="G71" s="36">
        <v>13477.85</v>
      </c>
      <c r="H71" s="83">
        <v>5391.1200000000017</v>
      </c>
      <c r="I71" s="39">
        <v>224.63</v>
      </c>
      <c r="J71" s="39">
        <v>224.63</v>
      </c>
      <c r="K71" s="39">
        <v>224.63</v>
      </c>
      <c r="L71" s="38">
        <f>SUM(H71-I71-J71-K71)</f>
        <v>4717.2300000000014</v>
      </c>
      <c r="M71" s="39">
        <v>224.63</v>
      </c>
      <c r="N71" s="39">
        <v>224.63</v>
      </c>
      <c r="O71" s="39">
        <v>224.63</v>
      </c>
      <c r="P71" s="36">
        <f>SUM(L71-O71-N71-M71)</f>
        <v>4043.3400000000011</v>
      </c>
      <c r="R71" s="129" t="str">
        <f>IF(F71&lt;=$L$3,IF(L71&lt;&gt;0,"X","-"),"-")</f>
        <v>-</v>
      </c>
      <c r="S71" s="130">
        <v>60</v>
      </c>
      <c r="T71" s="130">
        <f>IF($L$3&gt;F71,S71,ROUND(($L$3-E71)/30,0))</f>
        <v>40</v>
      </c>
      <c r="U71" s="131">
        <f>G71/S71*T71</f>
        <v>8985.2333333333336</v>
      </c>
      <c r="V71" s="131">
        <f>G71-U71</f>
        <v>4492.6166666666668</v>
      </c>
      <c r="W71" s="131">
        <f>ROUND(L71-V71,-3)</f>
        <v>0</v>
      </c>
      <c r="Y71" s="129" t="str">
        <f>IF(F71&lt;=$P$3,IF(P71&lt;&gt;0,"X","-"),"-")</f>
        <v>-</v>
      </c>
      <c r="Z71" s="130">
        <f>ROUND((F71-E71)/30.41,0)</f>
        <v>60</v>
      </c>
      <c r="AA71" s="130">
        <f>IF($P$3&gt;F71,Z71,ROUND(($P$3-E71)/30,0))</f>
        <v>43</v>
      </c>
      <c r="AB71" s="131">
        <f>G71/Z71*AA71</f>
        <v>9659.1258333333335</v>
      </c>
      <c r="AC71" s="131">
        <f>G71-AB71</f>
        <v>3818.7241666666669</v>
      </c>
      <c r="AD71" s="131">
        <f>ROUND(P71-AC71,-3)</f>
        <v>0</v>
      </c>
    </row>
    <row r="72" spans="1:30" s="128" customFormat="1" ht="21" x14ac:dyDescent="0.25">
      <c r="A72" s="155"/>
      <c r="B72" s="190" t="s">
        <v>88</v>
      </c>
      <c r="C72" s="188"/>
      <c r="D72" s="163" t="s">
        <v>90</v>
      </c>
      <c r="E72" s="121">
        <v>41456</v>
      </c>
      <c r="F72" s="121">
        <v>43281</v>
      </c>
      <c r="G72" s="36">
        <v>13478.12</v>
      </c>
      <c r="H72" s="83">
        <v>5391.1200000000017</v>
      </c>
      <c r="I72" s="39">
        <v>224.63</v>
      </c>
      <c r="J72" s="39">
        <v>224.63</v>
      </c>
      <c r="K72" s="39">
        <v>224.63</v>
      </c>
      <c r="L72" s="38">
        <f>SUM(H72-I72-J72-K72)</f>
        <v>4717.2300000000014</v>
      </c>
      <c r="M72" s="39">
        <v>224.63</v>
      </c>
      <c r="N72" s="39">
        <v>224.63</v>
      </c>
      <c r="O72" s="39">
        <v>224.63</v>
      </c>
      <c r="P72" s="36">
        <f>SUM(L72-O72-N72-M72)</f>
        <v>4043.3400000000011</v>
      </c>
      <c r="R72" s="129" t="str">
        <f>IF(F72&lt;=$L$3,IF(L72&lt;&gt;0,"X","-"),"-")</f>
        <v>-</v>
      </c>
      <c r="S72" s="130">
        <v>60</v>
      </c>
      <c r="T72" s="130">
        <f>IF($L$3&gt;F72,S72,ROUND(($L$3-E72)/30,0))</f>
        <v>40</v>
      </c>
      <c r="U72" s="131">
        <f>G72/S72*T72</f>
        <v>8985.4133333333339</v>
      </c>
      <c r="V72" s="131">
        <f>G72-U72</f>
        <v>4492.7066666666669</v>
      </c>
      <c r="W72" s="131">
        <f>ROUND(L72-V72,-3)</f>
        <v>0</v>
      </c>
      <c r="Y72" s="129" t="str">
        <f>IF(F72&lt;=$P$3,IF(P72&lt;&gt;0,"X","-"),"-")</f>
        <v>-</v>
      </c>
      <c r="Z72" s="130">
        <f>ROUND((F72-E72)/30.41,0)</f>
        <v>60</v>
      </c>
      <c r="AA72" s="130">
        <f>IF($P$3&gt;F72,Z72,ROUND(($P$3-E72)/30,0))</f>
        <v>43</v>
      </c>
      <c r="AB72" s="131">
        <f>G72/Z72*AA72</f>
        <v>9659.3193333333329</v>
      </c>
      <c r="AC72" s="131">
        <f>G72-AB72</f>
        <v>3818.8006666666679</v>
      </c>
      <c r="AD72" s="131">
        <f>ROUND(P72-AC72,-3)</f>
        <v>0</v>
      </c>
    </row>
    <row r="73" spans="1:30" s="128" customFormat="1" ht="14.45" x14ac:dyDescent="0.35">
      <c r="A73" s="155"/>
      <c r="B73" s="120"/>
      <c r="C73" s="120"/>
      <c r="D73" s="156"/>
      <c r="E73" s="121"/>
      <c r="F73" s="121"/>
      <c r="G73" s="36"/>
      <c r="H73" s="178"/>
      <c r="I73" s="39"/>
      <c r="J73" s="39"/>
      <c r="K73" s="39"/>
      <c r="L73" s="38"/>
      <c r="M73" s="39"/>
      <c r="N73" s="39"/>
      <c r="O73" s="39"/>
      <c r="P73" s="36"/>
      <c r="R73" s="129"/>
      <c r="S73" s="130"/>
      <c r="T73" s="130"/>
      <c r="U73" s="131"/>
      <c r="V73" s="131"/>
      <c r="W73" s="131"/>
      <c r="AB73" s="169"/>
      <c r="AC73" s="169"/>
      <c r="AD73" s="169"/>
    </row>
    <row r="74" spans="1:30" s="128" customFormat="1" ht="14.45" x14ac:dyDescent="0.35">
      <c r="A74" s="155"/>
      <c r="B74" s="120"/>
      <c r="C74" s="120"/>
      <c r="D74" s="156"/>
      <c r="E74" s="121"/>
      <c r="F74" s="121"/>
      <c r="G74" s="36"/>
      <c r="H74" s="178"/>
      <c r="I74" s="39"/>
      <c r="J74" s="39"/>
      <c r="K74" s="39"/>
      <c r="L74" s="38"/>
      <c r="M74" s="39"/>
      <c r="N74" s="39"/>
      <c r="O74" s="39"/>
      <c r="P74" s="36"/>
      <c r="R74" s="129"/>
      <c r="S74" s="130"/>
      <c r="T74" s="130"/>
      <c r="U74" s="131"/>
      <c r="V74" s="131"/>
      <c r="W74" s="131"/>
      <c r="AB74" s="169"/>
      <c r="AC74" s="169"/>
      <c r="AD74" s="169"/>
    </row>
    <row r="75" spans="1:30" s="128" customFormat="1" ht="21" x14ac:dyDescent="0.25">
      <c r="A75" s="155" t="s">
        <v>91</v>
      </c>
      <c r="B75" s="190" t="s">
        <v>88</v>
      </c>
      <c r="C75" s="188"/>
      <c r="D75" s="163" t="s">
        <v>90</v>
      </c>
      <c r="E75" s="121">
        <v>41456</v>
      </c>
      <c r="F75" s="121">
        <v>43281</v>
      </c>
      <c r="G75" s="36">
        <v>13477.84</v>
      </c>
      <c r="H75" s="83">
        <v>5391.1200000000017</v>
      </c>
      <c r="I75" s="39">
        <v>224.63</v>
      </c>
      <c r="J75" s="39">
        <v>224.63</v>
      </c>
      <c r="K75" s="39">
        <v>224.63</v>
      </c>
      <c r="L75" s="38">
        <f>SUM(H75-I75-J75-K75)</f>
        <v>4717.2300000000014</v>
      </c>
      <c r="M75" s="39">
        <v>224.63</v>
      </c>
      <c r="N75" s="39">
        <v>224.63</v>
      </c>
      <c r="O75" s="39">
        <v>224.63</v>
      </c>
      <c r="P75" s="36">
        <f>SUM(L75-O75-N75-M75)</f>
        <v>4043.3400000000011</v>
      </c>
      <c r="R75" s="129" t="str">
        <f>IF(F75&lt;=$L$3,IF(L75&lt;&gt;0,"X","-"),"-")</f>
        <v>-</v>
      </c>
      <c r="S75" s="130">
        <v>60</v>
      </c>
      <c r="T75" s="130">
        <f>IF($L$3&gt;F75,S75,ROUND(($L$3-E75)/30,0))</f>
        <v>40</v>
      </c>
      <c r="U75" s="131">
        <f>G75/S75*T75</f>
        <v>8985.2266666666656</v>
      </c>
      <c r="V75" s="131">
        <f>G75-U75</f>
        <v>4492.6133333333346</v>
      </c>
      <c r="W75" s="131">
        <f>ROUND(L75-V75,-3)</f>
        <v>0</v>
      </c>
      <c r="Y75" s="129" t="str">
        <f>IF(F75&lt;=$P$3,IF(P75&lt;&gt;0,"X","-"),"-")</f>
        <v>-</v>
      </c>
      <c r="Z75" s="130">
        <f>ROUND((F75-E75)/30.41,0)</f>
        <v>60</v>
      </c>
      <c r="AA75" s="130">
        <f>IF($P$3&gt;F75,Z75,ROUND(($P$3-E75)/30,0))</f>
        <v>43</v>
      </c>
      <c r="AB75" s="131">
        <f>G75/Z75*AA75</f>
        <v>9659.1186666666654</v>
      </c>
      <c r="AC75" s="131">
        <f>G75-AB75</f>
        <v>3818.7213333333348</v>
      </c>
      <c r="AD75" s="131">
        <f>ROUND(P75-AC75,-3)</f>
        <v>0</v>
      </c>
    </row>
    <row r="76" spans="1:30" s="128" customFormat="1" ht="21" x14ac:dyDescent="0.25">
      <c r="A76" s="155"/>
      <c r="B76" s="190" t="s">
        <v>88</v>
      </c>
      <c r="C76" s="188"/>
      <c r="D76" s="163" t="s">
        <v>90</v>
      </c>
      <c r="E76" s="121">
        <v>41456</v>
      </c>
      <c r="F76" s="121">
        <v>43281</v>
      </c>
      <c r="G76" s="36">
        <v>13478.13</v>
      </c>
      <c r="H76" s="83">
        <v>5391.1200000000017</v>
      </c>
      <c r="I76" s="39">
        <v>224.63</v>
      </c>
      <c r="J76" s="39">
        <v>224.63</v>
      </c>
      <c r="K76" s="39">
        <v>224.63</v>
      </c>
      <c r="L76" s="38">
        <f>SUM(H76-I76-J76-K76)</f>
        <v>4717.2300000000014</v>
      </c>
      <c r="M76" s="39">
        <v>224.63</v>
      </c>
      <c r="N76" s="39">
        <v>224.63</v>
      </c>
      <c r="O76" s="39">
        <v>224.63</v>
      </c>
      <c r="P76" s="36">
        <f>SUM(L76-O76-N76-M76)</f>
        <v>4043.3400000000011</v>
      </c>
      <c r="R76" s="129" t="str">
        <f>IF(F76&lt;=$L$3,IF(L76&lt;&gt;0,"X","-"),"-")</f>
        <v>-</v>
      </c>
      <c r="S76" s="130">
        <v>60</v>
      </c>
      <c r="T76" s="130">
        <f>IF($L$3&gt;F76,S76,ROUND(($L$3-E76)/30,0))</f>
        <v>40</v>
      </c>
      <c r="U76" s="131">
        <f>G76/S76*T76</f>
        <v>8985.4199999999983</v>
      </c>
      <c r="V76" s="131">
        <f>G76-U76</f>
        <v>4492.7100000000009</v>
      </c>
      <c r="W76" s="131">
        <f>ROUND(L76-V76,-3)</f>
        <v>0</v>
      </c>
      <c r="Y76" s="129" t="str">
        <f>IF(F76&lt;=$P$3,IF(P76&lt;&gt;0,"X","-"),"-")</f>
        <v>-</v>
      </c>
      <c r="Z76" s="130">
        <f>ROUND((F76-E76)/30.41,0)</f>
        <v>60</v>
      </c>
      <c r="AA76" s="130">
        <f>IF($P$3&gt;F76,Z76,ROUND(($P$3-E76)/30,0))</f>
        <v>43</v>
      </c>
      <c r="AB76" s="131">
        <f>G76/Z76*AA76</f>
        <v>9659.3264999999992</v>
      </c>
      <c r="AC76" s="131">
        <f>G76-AB76</f>
        <v>3818.8035</v>
      </c>
      <c r="AD76" s="131">
        <f>ROUND(P76-AC76,-3)</f>
        <v>0</v>
      </c>
    </row>
    <row r="77" spans="1:30" ht="14.45" x14ac:dyDescent="0.35">
      <c r="A77" s="155"/>
      <c r="B77" s="179"/>
      <c r="C77" s="179"/>
      <c r="D77" s="156"/>
      <c r="E77" s="121"/>
      <c r="F77" s="121"/>
      <c r="G77" s="36"/>
      <c r="H77" s="178"/>
      <c r="I77" s="39"/>
      <c r="J77" s="39"/>
      <c r="K77" s="39"/>
      <c r="L77" s="176"/>
      <c r="M77" s="39"/>
      <c r="N77" s="39"/>
      <c r="O77" s="39"/>
      <c r="P77" s="145"/>
    </row>
    <row r="78" spans="1:30" ht="14.45" x14ac:dyDescent="0.35">
      <c r="A78" s="155"/>
      <c r="B78" s="179"/>
      <c r="C78" s="179"/>
      <c r="D78" s="156"/>
      <c r="E78" s="121"/>
      <c r="F78" s="121"/>
      <c r="G78" s="36"/>
      <c r="H78" s="178"/>
      <c r="I78" s="39"/>
      <c r="J78" s="39"/>
      <c r="K78" s="39"/>
      <c r="L78" s="176"/>
      <c r="M78" s="39"/>
      <c r="N78" s="39"/>
      <c r="O78" s="39"/>
      <c r="P78" s="145"/>
    </row>
    <row r="79" spans="1:30" ht="14.45" x14ac:dyDescent="0.35">
      <c r="A79" s="155"/>
      <c r="B79" s="179"/>
      <c r="C79" s="179"/>
      <c r="D79" s="156" t="s">
        <v>92</v>
      </c>
      <c r="E79" s="121"/>
      <c r="F79" s="121"/>
      <c r="G79" s="36">
        <v>0</v>
      </c>
      <c r="H79" s="178">
        <v>0</v>
      </c>
      <c r="I79" s="39">
        <v>0</v>
      </c>
      <c r="J79" s="39"/>
      <c r="K79" s="39"/>
      <c r="L79" s="176">
        <f>SUM(-K79-J79-I79+H79)</f>
        <v>0</v>
      </c>
      <c r="M79" s="39"/>
      <c r="N79" s="39"/>
      <c r="O79" s="39">
        <v>0</v>
      </c>
      <c r="P79" s="145">
        <v>0</v>
      </c>
    </row>
    <row r="80" spans="1:30" ht="14.45" x14ac:dyDescent="0.35">
      <c r="A80" s="155"/>
      <c r="B80" s="179"/>
      <c r="C80" s="179"/>
      <c r="D80" s="156" t="s">
        <v>93</v>
      </c>
      <c r="E80" s="121"/>
      <c r="F80" s="121"/>
      <c r="G80" s="36">
        <v>0</v>
      </c>
      <c r="H80" s="178">
        <v>0</v>
      </c>
      <c r="I80" s="39">
        <v>0</v>
      </c>
      <c r="J80" s="39"/>
      <c r="K80" s="39">
        <v>0</v>
      </c>
      <c r="L80" s="176">
        <f>SUM(-K80-J80-I80+H80)+G80</f>
        <v>0</v>
      </c>
      <c r="M80" s="39"/>
      <c r="N80" s="39"/>
      <c r="O80" s="39">
        <v>0</v>
      </c>
      <c r="P80" s="145">
        <v>0</v>
      </c>
    </row>
    <row r="81" spans="1:30" ht="14.45" x14ac:dyDescent="0.35">
      <c r="A81" s="155"/>
      <c r="B81" s="179"/>
      <c r="C81" s="179"/>
      <c r="D81" s="156" t="s">
        <v>93</v>
      </c>
      <c r="E81" s="121"/>
      <c r="F81" s="121"/>
      <c r="G81" s="36">
        <v>0</v>
      </c>
      <c r="H81" s="178" t="s">
        <v>37</v>
      </c>
      <c r="I81" s="39"/>
      <c r="J81" s="39"/>
      <c r="K81" s="39"/>
      <c r="L81" s="176"/>
      <c r="M81" s="39"/>
      <c r="N81" s="39"/>
      <c r="O81" s="39"/>
      <c r="P81" s="145">
        <f>SUM(L81-M81-N81-O81)+G81</f>
        <v>0</v>
      </c>
    </row>
    <row r="82" spans="1:30" ht="14.45" x14ac:dyDescent="0.35">
      <c r="A82" s="155"/>
      <c r="B82" s="179"/>
      <c r="C82" s="179"/>
      <c r="D82" s="156" t="s">
        <v>92</v>
      </c>
      <c r="E82" s="121"/>
      <c r="F82" s="121"/>
      <c r="G82" s="36">
        <v>0</v>
      </c>
      <c r="H82" s="178"/>
      <c r="I82" s="39"/>
      <c r="J82" s="39"/>
      <c r="K82" s="39"/>
      <c r="L82" s="176"/>
      <c r="M82" s="39"/>
      <c r="N82" s="39"/>
      <c r="O82" s="39"/>
      <c r="P82" s="145">
        <f>SUM(L82-M82-N82-O82)+G82</f>
        <v>0</v>
      </c>
    </row>
    <row r="83" spans="1:30" ht="14.45" x14ac:dyDescent="0.35">
      <c r="A83" s="155"/>
      <c r="B83" s="179"/>
      <c r="C83" s="179"/>
      <c r="D83" s="156" t="s">
        <v>93</v>
      </c>
      <c r="E83" s="121"/>
      <c r="F83" s="121"/>
      <c r="G83" s="36">
        <v>0</v>
      </c>
      <c r="H83" s="178"/>
      <c r="I83" s="39"/>
      <c r="J83" s="39"/>
      <c r="K83" s="39"/>
      <c r="L83" s="176"/>
      <c r="M83" s="39"/>
      <c r="N83" s="39"/>
      <c r="O83" s="39"/>
      <c r="P83" s="145">
        <f>SUM(L83-M83-N83-O83)+G83</f>
        <v>0</v>
      </c>
    </row>
    <row r="84" spans="1:30" ht="14.45" x14ac:dyDescent="0.35">
      <c r="A84" s="133"/>
      <c r="B84" s="134"/>
      <c r="C84" s="134"/>
      <c r="D84" s="134"/>
      <c r="E84" s="134"/>
      <c r="F84" s="134"/>
      <c r="G84" s="56"/>
      <c r="H84" s="135">
        <f>+H69</f>
        <v>20000</v>
      </c>
      <c r="I84" s="57">
        <f t="shared" ref="I84:P84" si="42">+I69</f>
        <v>0</v>
      </c>
      <c r="J84" s="57">
        <f t="shared" si="42"/>
        <v>0</v>
      </c>
      <c r="K84" s="57">
        <f t="shared" si="42"/>
        <v>0</v>
      </c>
      <c r="L84" s="56">
        <f t="shared" si="42"/>
        <v>20000</v>
      </c>
      <c r="M84" s="57">
        <f t="shared" si="42"/>
        <v>0</v>
      </c>
      <c r="N84" s="57">
        <f t="shared" si="42"/>
        <v>0</v>
      </c>
      <c r="O84" s="57">
        <f t="shared" si="42"/>
        <v>0</v>
      </c>
      <c r="P84" s="56">
        <f t="shared" si="42"/>
        <v>20000</v>
      </c>
      <c r="Q84" s="191"/>
    </row>
    <row r="85" spans="1:30" ht="14.45" x14ac:dyDescent="0.35">
      <c r="A85" s="192" t="s">
        <v>94</v>
      </c>
      <c r="B85" s="134"/>
      <c r="C85" s="134"/>
      <c r="D85" s="134"/>
      <c r="E85" s="134"/>
      <c r="F85" s="134"/>
      <c r="G85" s="56"/>
      <c r="H85" s="36">
        <f>H7+H11+H26+H47+H58</f>
        <v>631776.07999999996</v>
      </c>
      <c r="I85" s="36">
        <f t="shared" ref="I85:O85" si="43">+I7+I11+I26+I47+I58</f>
        <v>75372.160000000003</v>
      </c>
      <c r="J85" s="36">
        <f t="shared" si="43"/>
        <v>75572.100000000006</v>
      </c>
      <c r="K85" s="36">
        <f t="shared" si="43"/>
        <v>75772.100000000006</v>
      </c>
      <c r="L85" s="36">
        <f t="shared" si="43"/>
        <v>412746.38000000006</v>
      </c>
      <c r="M85" s="36">
        <f t="shared" si="43"/>
        <v>75172.100000000006</v>
      </c>
      <c r="N85" s="36">
        <f t="shared" si="43"/>
        <v>75172.100000000006</v>
      </c>
      <c r="O85" s="36">
        <f t="shared" si="43"/>
        <v>75072.100000000006</v>
      </c>
      <c r="P85" s="36">
        <f>+P7+P11+P26+P47+P58</f>
        <v>187330.08000000002</v>
      </c>
      <c r="Q85" s="191"/>
    </row>
    <row r="86" spans="1:30" ht="14.45" x14ac:dyDescent="0.35">
      <c r="A86" s="192" t="s">
        <v>95</v>
      </c>
      <c r="B86" s="134"/>
      <c r="C86" s="134"/>
      <c r="D86" s="134"/>
      <c r="E86" s="134"/>
      <c r="F86" s="134"/>
      <c r="G86" s="56"/>
      <c r="H86" s="36">
        <f>H41+H43+H50+H52+H55+H60+H62+H71+H72+H75+H76+H84</f>
        <v>304948.27999999997</v>
      </c>
      <c r="I86" s="36">
        <f t="shared" ref="I86:P86" si="44">+I41+I50+I52+I55+I60+I62+I69+I71+I72+I75+I76+I43</f>
        <v>38229.049999999988</v>
      </c>
      <c r="J86" s="36">
        <f t="shared" si="44"/>
        <v>35824.399999999987</v>
      </c>
      <c r="K86" s="36">
        <f t="shared" si="44"/>
        <v>35824.419999999991</v>
      </c>
      <c r="L86" s="36">
        <f t="shared" si="44"/>
        <v>408125.50999999995</v>
      </c>
      <c r="M86" s="36">
        <f t="shared" si="44"/>
        <v>35824.419999999991</v>
      </c>
      <c r="N86" s="36">
        <f t="shared" si="44"/>
        <v>35824.419999999991</v>
      </c>
      <c r="O86" s="36">
        <f t="shared" si="44"/>
        <v>35824.419999999991</v>
      </c>
      <c r="P86" s="36">
        <f t="shared" si="44"/>
        <v>300652.25000000012</v>
      </c>
      <c r="Q86" s="191"/>
    </row>
    <row r="87" spans="1:30" ht="14.45" x14ac:dyDescent="0.35">
      <c r="A87" s="193" t="s">
        <v>96</v>
      </c>
      <c r="B87" s="134"/>
      <c r="C87" s="134"/>
      <c r="D87" s="134"/>
      <c r="E87" s="134"/>
      <c r="F87" s="134"/>
      <c r="G87" s="56"/>
      <c r="H87" s="36">
        <f>H29</f>
        <v>5524.7999999999993</v>
      </c>
      <c r="I87" s="36">
        <f t="shared" ref="I87:P87" si="45">+I29</f>
        <v>690.6</v>
      </c>
      <c r="J87" s="36">
        <f t="shared" si="45"/>
        <v>690.6</v>
      </c>
      <c r="K87" s="36">
        <f t="shared" si="45"/>
        <v>690.6</v>
      </c>
      <c r="L87" s="36">
        <f t="shared" si="45"/>
        <v>3452.9999999999986</v>
      </c>
      <c r="M87" s="36">
        <f t="shared" si="45"/>
        <v>690.6</v>
      </c>
      <c r="N87" s="36">
        <f t="shared" si="45"/>
        <v>690.6</v>
      </c>
      <c r="O87" s="36">
        <f t="shared" si="45"/>
        <v>690.6</v>
      </c>
      <c r="P87" s="36">
        <f t="shared" si="45"/>
        <v>1381.1999999999989</v>
      </c>
      <c r="Q87" s="191"/>
      <c r="V87" s="153" t="s">
        <v>37</v>
      </c>
    </row>
    <row r="88" spans="1:30" ht="14.45" x14ac:dyDescent="0.35">
      <c r="A88" s="194"/>
      <c r="B88" s="143"/>
      <c r="C88" s="143"/>
      <c r="D88" s="145"/>
      <c r="E88" s="194"/>
      <c r="F88" s="194"/>
      <c r="G88" s="56"/>
      <c r="H88" s="195"/>
      <c r="I88" s="196"/>
      <c r="J88" s="175"/>
      <c r="K88" s="175"/>
      <c r="L88" s="176"/>
      <c r="M88" s="175"/>
      <c r="N88" s="39"/>
      <c r="O88" s="39"/>
      <c r="P88" s="145"/>
      <c r="Q88" s="191"/>
      <c r="V88" s="153" t="s">
        <v>37</v>
      </c>
      <c r="W88" s="85"/>
      <c r="AB88" s="85"/>
      <c r="AC88" s="85"/>
      <c r="AD88" s="85"/>
    </row>
    <row r="89" spans="1:30" ht="14.45" x14ac:dyDescent="0.35">
      <c r="A89" s="113" t="s">
        <v>97</v>
      </c>
      <c r="B89" s="197"/>
      <c r="C89" s="197"/>
      <c r="D89" s="198"/>
      <c r="E89" s="145"/>
      <c r="F89" s="145"/>
      <c r="G89" s="145"/>
      <c r="H89" s="145">
        <f>H7+H11+H26+H47+H58</f>
        <v>631776.07999999996</v>
      </c>
      <c r="I89" s="145">
        <f>+H89-I85+I95+I92+I93</f>
        <v>564090.57999999996</v>
      </c>
      <c r="J89" s="145">
        <f>+I89-J85+J95+J92+J93</f>
        <v>488518.48</v>
      </c>
      <c r="K89" s="145">
        <f>+J89-K85+K95+K93</f>
        <v>412746.38</v>
      </c>
      <c r="L89" s="145">
        <f>+L7+L11+L26+L47+L58+L93+L95</f>
        <v>412746.38000000006</v>
      </c>
      <c r="M89" s="145">
        <f>+L89-M85+M95+M92+M93</f>
        <v>337574.28</v>
      </c>
      <c r="N89" s="145">
        <f>+M89-N85+N95+-N92+N93</f>
        <v>262402.18000000005</v>
      </c>
      <c r="O89" s="145">
        <f>+N89-O85+O95+-O92+O93</f>
        <v>187330.08000000005</v>
      </c>
      <c r="P89" s="145">
        <f>+P7+P11+P26+P47+P58+P93+P95</f>
        <v>187330.08000000002</v>
      </c>
      <c r="Q89" s="191"/>
      <c r="W89" s="85"/>
      <c r="AB89" s="85"/>
      <c r="AC89" s="85"/>
      <c r="AD89" s="85"/>
    </row>
    <row r="90" spans="1:30" ht="14.45" x14ac:dyDescent="0.35">
      <c r="A90" s="142" t="s">
        <v>98</v>
      </c>
      <c r="B90" s="197"/>
      <c r="C90" s="197"/>
      <c r="D90" s="198"/>
      <c r="E90" s="145"/>
      <c r="F90" s="145"/>
      <c r="G90" s="145"/>
      <c r="H90" s="36">
        <f>H41+H43+H50+H52+H55+H60+H62+H71+H72+H75+H76+H84+H94+H96</f>
        <v>350676.06999999995</v>
      </c>
      <c r="I90" s="36">
        <f>+H90-I86+I96+I94</f>
        <v>479774.33</v>
      </c>
      <c r="J90" s="36">
        <f>+I90-J86+J96+J94</f>
        <v>443949.93000000005</v>
      </c>
      <c r="K90" s="36">
        <f>+J90-K86+K96+K94+K92</f>
        <v>473091.72000000009</v>
      </c>
      <c r="L90" s="36">
        <f>+L41+L48+L52+L55+L60+L62+L66+L71+L72+L75+L76+L94+L96+L43+L84</f>
        <v>473091.72</v>
      </c>
      <c r="M90" s="36">
        <f>+L90-M86+M96+M94</f>
        <v>372301.08999999997</v>
      </c>
      <c r="N90" s="36">
        <f>+M90-N86+N96+N94</f>
        <v>336476.67</v>
      </c>
      <c r="O90" s="36">
        <f>+N90-O86+O96+O94</f>
        <v>432040.86</v>
      </c>
      <c r="P90" s="36">
        <f>+P41+P43+P48+P52+P55+P60+P62+P69+P71+P72+P75+P76+P94+P96</f>
        <v>432040.8600000001</v>
      </c>
      <c r="Q90" s="191"/>
      <c r="W90" s="85"/>
      <c r="AB90" s="85"/>
      <c r="AC90" s="85"/>
      <c r="AD90" s="85"/>
    </row>
    <row r="91" spans="1:30" ht="14.45" x14ac:dyDescent="0.35">
      <c r="A91" s="142" t="s">
        <v>99</v>
      </c>
      <c r="B91" s="197"/>
      <c r="C91" s="197"/>
      <c r="D91" s="198"/>
      <c r="E91" s="145"/>
      <c r="F91" s="145"/>
      <c r="G91" s="145"/>
      <c r="H91" s="145">
        <f>H29</f>
        <v>5524.7999999999993</v>
      </c>
      <c r="I91" s="36">
        <f>+H91-I87+I97</f>
        <v>4834.1999999999989</v>
      </c>
      <c r="J91" s="145">
        <f>+I91-J87+J97</f>
        <v>4143.5999999999985</v>
      </c>
      <c r="K91" s="145">
        <f>+J91-K87+K97</f>
        <v>3452.9999999999986</v>
      </c>
      <c r="L91" s="145">
        <f>+L87</f>
        <v>3452.9999999999986</v>
      </c>
      <c r="M91" s="145">
        <f>+L91-M87+M97</f>
        <v>2762.3999999999987</v>
      </c>
      <c r="N91" s="36">
        <f>+M91-N87+N97</f>
        <v>2071.7999999999988</v>
      </c>
      <c r="O91" s="36">
        <f>+N91-O87+O97</f>
        <v>1381.1999999999989</v>
      </c>
      <c r="P91" s="145">
        <f>+P87</f>
        <v>1381.1999999999989</v>
      </c>
      <c r="Q91" s="191"/>
      <c r="W91" s="85"/>
      <c r="AB91" s="85"/>
      <c r="AC91" s="85"/>
      <c r="AD91" s="85"/>
    </row>
    <row r="92" spans="1:30" ht="12.6" x14ac:dyDescent="0.25">
      <c r="A92" s="199" t="s">
        <v>100</v>
      </c>
      <c r="B92" s="200"/>
      <c r="C92" s="200"/>
      <c r="D92" s="201"/>
      <c r="E92" s="202"/>
      <c r="F92" s="202"/>
      <c r="G92" s="203"/>
      <c r="H92" s="201"/>
      <c r="I92" s="39"/>
      <c r="J92" s="175"/>
      <c r="K92" s="39"/>
      <c r="L92" s="38"/>
      <c r="M92" s="175"/>
      <c r="N92" s="39"/>
      <c r="O92" s="39"/>
      <c r="P92" s="36"/>
      <c r="W92" s="85"/>
      <c r="AB92" s="85"/>
      <c r="AC92" s="85"/>
      <c r="AD92" s="85"/>
    </row>
    <row r="93" spans="1:30" ht="12.6" x14ac:dyDescent="0.25">
      <c r="A93" s="199" t="s">
        <v>101</v>
      </c>
      <c r="B93" s="200"/>
      <c r="C93" s="200"/>
      <c r="D93" s="201"/>
      <c r="E93" s="202"/>
      <c r="F93" s="202"/>
      <c r="G93" s="203"/>
      <c r="H93" s="39"/>
      <c r="I93" s="39"/>
      <c r="J93" s="175"/>
      <c r="K93" s="175"/>
      <c r="L93" s="38"/>
      <c r="M93" s="175"/>
      <c r="N93" s="39"/>
      <c r="O93" s="39"/>
      <c r="P93" s="36"/>
      <c r="W93" s="85"/>
      <c r="AB93" s="85"/>
      <c r="AC93" s="85"/>
      <c r="AD93" s="85"/>
    </row>
    <row r="94" spans="1:30" ht="12.6" x14ac:dyDescent="0.25">
      <c r="A94" s="199" t="s">
        <v>102</v>
      </c>
      <c r="B94" s="200"/>
      <c r="C94" s="200"/>
      <c r="D94" s="201"/>
      <c r="E94" s="202"/>
      <c r="F94" s="202"/>
      <c r="G94" s="203"/>
      <c r="H94" s="39">
        <v>45727.79</v>
      </c>
      <c r="I94" s="39">
        <f>-45727.79</f>
        <v>-45727.79</v>
      </c>
      <c r="J94" s="175">
        <v>-174705.1</v>
      </c>
      <c r="K94" s="175">
        <v>64966.21</v>
      </c>
      <c r="L94" s="38">
        <f>+K94</f>
        <v>64966.21</v>
      </c>
      <c r="M94" s="175">
        <v>-64966.21</v>
      </c>
      <c r="N94" s="39"/>
      <c r="O94" s="39">
        <v>131388.60999999999</v>
      </c>
      <c r="P94" s="36">
        <f>+O94</f>
        <v>131388.60999999999</v>
      </c>
      <c r="R94" s="151" t="s">
        <v>37</v>
      </c>
      <c r="W94" s="85"/>
      <c r="AB94" s="85"/>
      <c r="AC94" s="85"/>
      <c r="AD94" s="85"/>
    </row>
    <row r="95" spans="1:30" ht="12.6" x14ac:dyDescent="0.25">
      <c r="A95" s="199" t="s">
        <v>103</v>
      </c>
      <c r="B95" s="200"/>
      <c r="C95" s="200"/>
      <c r="D95" s="201"/>
      <c r="E95" s="202"/>
      <c r="F95" s="202"/>
      <c r="G95" s="203"/>
      <c r="H95" s="204" t="s">
        <v>37</v>
      </c>
      <c r="I95" s="39">
        <v>7686.66</v>
      </c>
      <c r="J95" s="175"/>
      <c r="K95" s="175"/>
      <c r="L95" s="145">
        <v>0</v>
      </c>
      <c r="M95" s="175"/>
      <c r="N95" s="39"/>
      <c r="O95" s="39"/>
      <c r="P95" s="36">
        <f>O95</f>
        <v>0</v>
      </c>
      <c r="W95" s="85"/>
      <c r="AB95" s="85"/>
      <c r="AC95" s="85"/>
      <c r="AD95" s="85"/>
    </row>
    <row r="96" spans="1:30" ht="12.6" x14ac:dyDescent="0.25">
      <c r="A96" s="205" t="s">
        <v>104</v>
      </c>
      <c r="B96" s="206"/>
      <c r="C96" s="206"/>
      <c r="D96" s="83"/>
      <c r="E96" s="207"/>
      <c r="F96" s="207"/>
      <c r="G96" s="208"/>
      <c r="H96" s="39"/>
      <c r="I96" s="39">
        <f>38350+43758+130947.1</f>
        <v>213055.1</v>
      </c>
      <c r="J96" s="39">
        <v>174705.1</v>
      </c>
      <c r="K96" s="39"/>
      <c r="L96" s="38">
        <v>0</v>
      </c>
      <c r="M96" s="39"/>
      <c r="N96" s="39"/>
      <c r="O96" s="39"/>
      <c r="P96" s="36">
        <v>0</v>
      </c>
      <c r="Q96" s="209" t="s">
        <v>37</v>
      </c>
      <c r="W96" s="85"/>
      <c r="AB96" s="85"/>
      <c r="AC96" s="85"/>
      <c r="AD96" s="85"/>
    </row>
    <row r="97" spans="1:30" ht="12.6" x14ac:dyDescent="0.25">
      <c r="A97" s="205" t="s">
        <v>105</v>
      </c>
      <c r="B97" s="206"/>
      <c r="C97" s="206"/>
      <c r="D97" s="83"/>
      <c r="E97" s="207"/>
      <c r="F97" s="207"/>
      <c r="G97" s="208"/>
      <c r="H97" s="39"/>
      <c r="I97" s="39"/>
      <c r="J97" s="39"/>
      <c r="K97" s="39"/>
      <c r="L97" s="36">
        <v>0</v>
      </c>
      <c r="M97" s="39"/>
      <c r="N97" s="39"/>
      <c r="O97" s="39"/>
      <c r="P97" s="36">
        <f>O97</f>
        <v>0</v>
      </c>
      <c r="W97" s="85"/>
      <c r="AB97" s="85"/>
      <c r="AC97" s="85"/>
      <c r="AD97" s="85"/>
    </row>
    <row r="98" spans="1:30" ht="12.6" x14ac:dyDescent="0.25">
      <c r="A98" s="134"/>
      <c r="B98" s="134"/>
      <c r="C98" s="134"/>
      <c r="D98" s="134"/>
      <c r="E98" s="134"/>
      <c r="F98" s="134"/>
      <c r="G98" s="56"/>
      <c r="H98" s="56"/>
      <c r="I98" s="57"/>
      <c r="J98" s="57"/>
      <c r="K98" s="57"/>
      <c r="L98" s="210"/>
      <c r="M98" s="57"/>
      <c r="N98" s="57"/>
      <c r="O98" s="57"/>
      <c r="P98" s="56"/>
      <c r="W98" s="85"/>
      <c r="AB98" s="85"/>
      <c r="AC98" s="85"/>
      <c r="AD98" s="85"/>
    </row>
    <row r="99" spans="1:30" ht="12.6" x14ac:dyDescent="0.25">
      <c r="A99" s="156" t="s">
        <v>106</v>
      </c>
      <c r="B99" s="156"/>
      <c r="C99" s="156"/>
      <c r="D99" s="156"/>
      <c r="E99" s="156"/>
      <c r="F99" s="156"/>
      <c r="G99" s="36"/>
      <c r="H99" s="36">
        <v>0</v>
      </c>
      <c r="I99" s="39">
        <f>639462.74-75372.16</f>
        <v>564090.57999999996</v>
      </c>
      <c r="J99" s="39">
        <f>564090.58-75572.1</f>
        <v>488518.48</v>
      </c>
      <c r="K99" s="39">
        <f>488518.48-75772.1</f>
        <v>412746.38</v>
      </c>
      <c r="L99" s="36">
        <f>K99</f>
        <v>412746.38</v>
      </c>
      <c r="M99" s="39">
        <f>412746.38-75172.1</f>
        <v>337574.28</v>
      </c>
      <c r="N99" s="39">
        <f>337574.28-75172.1</f>
        <v>262402.18000000005</v>
      </c>
      <c r="O99" s="39">
        <f>262402.18-75072.1</f>
        <v>187330.08</v>
      </c>
      <c r="P99" s="36">
        <f>O99</f>
        <v>187330.08</v>
      </c>
      <c r="W99" s="85"/>
      <c r="AB99" s="85"/>
      <c r="AC99" s="85"/>
      <c r="AD99" s="85"/>
    </row>
    <row r="100" spans="1:30" ht="12.6" x14ac:dyDescent="0.25">
      <c r="A100" s="143" t="s">
        <v>107</v>
      </c>
      <c r="B100" s="143"/>
      <c r="C100" s="143"/>
      <c r="D100" s="143"/>
      <c r="E100" s="143"/>
      <c r="F100" s="143"/>
      <c r="G100" s="145"/>
      <c r="H100" s="145">
        <v>0</v>
      </c>
      <c r="I100" s="39">
        <f>518003.38-38229.05</f>
        <v>479774.33</v>
      </c>
      <c r="J100" s="39">
        <f>479774.33-35824.4</f>
        <v>443949.93</v>
      </c>
      <c r="K100" s="39">
        <f>508916.14-35824.42</f>
        <v>473091.72000000003</v>
      </c>
      <c r="L100" s="36">
        <f>K100</f>
        <v>473091.72000000003</v>
      </c>
      <c r="M100" s="39">
        <f>408125.51-35824.42</f>
        <v>372301.09</v>
      </c>
      <c r="N100" s="39">
        <f>372301.09-35824.42</f>
        <v>336476.67000000004</v>
      </c>
      <c r="O100" s="39">
        <f>467865.28-35824.42</f>
        <v>432040.86000000004</v>
      </c>
      <c r="P100" s="36">
        <f>O100</f>
        <v>432040.86000000004</v>
      </c>
      <c r="W100" s="85"/>
      <c r="AB100" s="85"/>
      <c r="AC100" s="85"/>
      <c r="AD100" s="85"/>
    </row>
    <row r="101" spans="1:30" ht="12.6" x14ac:dyDescent="0.25">
      <c r="A101" s="143" t="s">
        <v>108</v>
      </c>
      <c r="B101" s="143"/>
      <c r="C101" s="143"/>
      <c r="D101" s="143"/>
      <c r="E101" s="143"/>
      <c r="F101" s="143"/>
      <c r="G101" s="145"/>
      <c r="H101" s="145"/>
      <c r="I101" s="39">
        <f>5524.8-690.6</f>
        <v>4834.2</v>
      </c>
      <c r="J101" s="39">
        <f>4834.2-690.6</f>
        <v>4143.5999999999995</v>
      </c>
      <c r="K101" s="39">
        <f>4143.6-690.6</f>
        <v>3453.0000000000005</v>
      </c>
      <c r="L101" s="36">
        <f>K101</f>
        <v>3453.0000000000005</v>
      </c>
      <c r="M101" s="39">
        <f>3453-690.6</f>
        <v>2762.4</v>
      </c>
      <c r="N101" s="39">
        <f>2762.4-690.6</f>
        <v>2071.8000000000002</v>
      </c>
      <c r="O101" s="39">
        <f>2071.8-690.6</f>
        <v>1381.2000000000003</v>
      </c>
      <c r="P101" s="36">
        <f>O101</f>
        <v>1381.2000000000003</v>
      </c>
      <c r="W101" s="85"/>
      <c r="AB101" s="85"/>
      <c r="AC101" s="85"/>
      <c r="AD101" s="85"/>
    </row>
    <row r="102" spans="1:30" ht="12.6" x14ac:dyDescent="0.25">
      <c r="A102" s="142" t="s">
        <v>109</v>
      </c>
      <c r="B102" s="143"/>
      <c r="C102" s="143"/>
      <c r="D102" s="143"/>
      <c r="E102" s="143"/>
      <c r="F102" s="143"/>
      <c r="G102" s="145"/>
      <c r="H102" s="162"/>
      <c r="I102" s="39">
        <f t="shared" ref="I102:O102" si="46">+I99+I100+I101-I89-I90-I91</f>
        <v>-1.0368239600211382E-10</v>
      </c>
      <c r="J102" s="39">
        <f t="shared" si="46"/>
        <v>-1.3824319466948509E-10</v>
      </c>
      <c r="K102" s="39">
        <f t="shared" si="46"/>
        <v>0</v>
      </c>
      <c r="L102" s="36">
        <f>+L99+L100+L101-L89-L90-L91</f>
        <v>5.95719029661268E-11</v>
      </c>
      <c r="M102" s="39">
        <f t="shared" si="46"/>
        <v>1.4097167877480388E-10</v>
      </c>
      <c r="N102" s="39">
        <f t="shared" si="46"/>
        <v>1.0595613275654614E-10</v>
      </c>
      <c r="O102" s="39">
        <f t="shared" si="46"/>
        <v>-4.5474735088646412E-11</v>
      </c>
      <c r="P102" s="36">
        <f>+P99+P100+P101-P89-P90-P91</f>
        <v>-1.0368239600211382E-10</v>
      </c>
      <c r="W102" s="85"/>
      <c r="AB102" s="85"/>
      <c r="AC102" s="85"/>
      <c r="AD102" s="85"/>
    </row>
    <row r="103" spans="1:30" ht="12.6" x14ac:dyDescent="0.25">
      <c r="A103" s="181"/>
      <c r="B103" s="211"/>
      <c r="C103" s="211"/>
      <c r="D103" s="211"/>
      <c r="E103" s="211"/>
      <c r="F103" s="211"/>
      <c r="G103" s="212"/>
      <c r="H103" s="213"/>
      <c r="I103" s="74"/>
      <c r="J103" s="214"/>
      <c r="K103" s="214"/>
      <c r="L103" s="215"/>
      <c r="M103" s="214"/>
      <c r="N103" s="74"/>
      <c r="O103" s="74"/>
      <c r="P103" s="212"/>
      <c r="W103" s="85"/>
      <c r="AB103" s="85"/>
      <c r="AC103" s="85"/>
      <c r="AD103" s="85"/>
    </row>
    <row r="104" spans="1:30" ht="8.25" customHeight="1" x14ac:dyDescent="0.25">
      <c r="A104" s="216"/>
      <c r="B104" s="216"/>
      <c r="C104" s="216"/>
      <c r="D104" s="216"/>
      <c r="E104" s="216"/>
      <c r="F104" s="216"/>
      <c r="G104" s="217"/>
      <c r="H104" s="217"/>
      <c r="I104" s="218"/>
      <c r="J104" s="219"/>
      <c r="K104" s="219"/>
      <c r="L104" s="220"/>
      <c r="M104" s="219"/>
      <c r="N104" s="218"/>
      <c r="O104" s="218"/>
      <c r="P104" s="217"/>
      <c r="R104" s="85"/>
      <c r="S104" s="85"/>
      <c r="T104" s="85"/>
      <c r="U104" s="85"/>
      <c r="V104" s="85"/>
      <c r="W104" s="85"/>
      <c r="AB104" s="85"/>
      <c r="AC104" s="85"/>
      <c r="AD104" s="85"/>
    </row>
    <row r="105" spans="1:30" ht="19.5" customHeight="1" x14ac:dyDescent="0.25">
      <c r="A105" s="216"/>
      <c r="B105" s="216"/>
      <c r="C105" s="216"/>
      <c r="D105" s="216"/>
      <c r="E105" s="216"/>
      <c r="F105" s="216"/>
      <c r="G105" s="217"/>
      <c r="H105" s="221" t="s">
        <v>110</v>
      </c>
      <c r="I105" s="218"/>
      <c r="J105" s="219"/>
      <c r="K105" s="219"/>
      <c r="L105" s="220"/>
      <c r="M105" s="218"/>
      <c r="N105" s="218"/>
      <c r="O105" s="218" t="s">
        <v>37</v>
      </c>
      <c r="P105" s="217"/>
      <c r="R105" s="85"/>
      <c r="S105" s="85"/>
      <c r="T105" s="85"/>
      <c r="U105" s="85"/>
      <c r="V105" s="85"/>
      <c r="W105" s="85"/>
      <c r="AB105" s="85"/>
      <c r="AC105" s="85"/>
      <c r="AD105" s="85"/>
    </row>
    <row r="106" spans="1:30" ht="19.5" customHeight="1" x14ac:dyDescent="0.25">
      <c r="A106" s="216"/>
      <c r="B106" s="216"/>
      <c r="C106" s="216"/>
      <c r="D106" s="216"/>
      <c r="E106" s="216"/>
      <c r="F106" s="216"/>
      <c r="G106" s="217"/>
      <c r="H106" s="222"/>
      <c r="I106" s="218"/>
      <c r="J106" s="219"/>
      <c r="K106" s="219"/>
      <c r="L106" s="220"/>
      <c r="M106" s="218"/>
      <c r="N106" s="218"/>
      <c r="O106" s="218"/>
      <c r="P106" s="217"/>
      <c r="R106" s="85"/>
      <c r="S106" s="85"/>
      <c r="T106" s="85"/>
      <c r="U106" s="85"/>
      <c r="V106" s="85"/>
      <c r="W106" s="85"/>
      <c r="AB106" s="85"/>
      <c r="AC106" s="85"/>
      <c r="AD106" s="85"/>
    </row>
    <row r="107" spans="1:30" ht="19.5" customHeight="1" x14ac:dyDescent="0.25">
      <c r="A107" s="216"/>
      <c r="B107" s="216"/>
      <c r="C107" s="216"/>
      <c r="D107" s="216"/>
      <c r="E107" s="216"/>
      <c r="F107" s="216"/>
      <c r="G107" s="217"/>
      <c r="H107" s="223"/>
      <c r="I107" s="224"/>
      <c r="J107" s="225"/>
      <c r="K107" s="224"/>
      <c r="L107" s="215"/>
      <c r="M107" s="226"/>
      <c r="N107" s="226"/>
      <c r="O107" s="226"/>
      <c r="P107" s="212"/>
      <c r="R107" s="85"/>
      <c r="S107" s="85"/>
      <c r="T107" s="85"/>
      <c r="U107" s="85"/>
      <c r="V107" s="85"/>
      <c r="W107" s="85"/>
      <c r="AB107" s="85"/>
      <c r="AC107" s="85"/>
      <c r="AD107" s="85"/>
    </row>
    <row r="108" spans="1:30" ht="12.6" x14ac:dyDescent="0.25">
      <c r="A108" s="216"/>
      <c r="B108" s="216"/>
      <c r="C108" s="216"/>
      <c r="D108" s="216"/>
      <c r="E108" s="216"/>
      <c r="F108" s="216"/>
      <c r="G108" s="217"/>
      <c r="H108" s="227" t="s">
        <v>2</v>
      </c>
      <c r="I108" s="228">
        <f>+I3</f>
        <v>42582</v>
      </c>
      <c r="J108" s="228">
        <f>+J3</f>
        <v>42610</v>
      </c>
      <c r="K108" s="228">
        <f>+K3</f>
        <v>42641</v>
      </c>
      <c r="L108" s="229"/>
      <c r="M108" s="228">
        <f>+M3</f>
        <v>42671</v>
      </c>
      <c r="N108" s="228">
        <f>+N3</f>
        <v>42702</v>
      </c>
      <c r="O108" s="230">
        <f>+O3</f>
        <v>42732</v>
      </c>
      <c r="P108" s="212"/>
      <c r="R108" s="85"/>
      <c r="S108" s="85"/>
      <c r="T108" s="85"/>
      <c r="U108" s="85"/>
      <c r="V108" s="85"/>
      <c r="W108" s="85"/>
      <c r="AB108" s="85"/>
      <c r="AC108" s="85"/>
      <c r="AD108" s="85"/>
    </row>
    <row r="109" spans="1:30" ht="12.95" x14ac:dyDescent="0.3">
      <c r="A109" s="216"/>
      <c r="B109" s="216"/>
      <c r="C109" s="216"/>
      <c r="D109" s="216"/>
      <c r="E109" s="216"/>
      <c r="F109" s="216"/>
      <c r="G109" s="217"/>
      <c r="H109" s="231" t="s">
        <v>111</v>
      </c>
      <c r="I109" s="232">
        <f>-I85</f>
        <v>-75372.160000000003</v>
      </c>
      <c r="J109" s="233">
        <f t="shared" ref="I109:K111" si="47">-J85</f>
        <v>-75572.100000000006</v>
      </c>
      <c r="K109" s="232">
        <f t="shared" si="47"/>
        <v>-75772.100000000006</v>
      </c>
      <c r="L109" s="229"/>
      <c r="M109" s="232">
        <f t="shared" ref="M109:O111" si="48">-M85</f>
        <v>-75172.100000000006</v>
      </c>
      <c r="N109" s="232">
        <f t="shared" si="48"/>
        <v>-75172.100000000006</v>
      </c>
      <c r="O109" s="234">
        <f t="shared" si="48"/>
        <v>-75072.100000000006</v>
      </c>
      <c r="P109" s="212"/>
      <c r="R109" s="85"/>
      <c r="S109" s="85"/>
      <c r="T109" s="85"/>
      <c r="U109" s="85"/>
      <c r="V109" s="85"/>
      <c r="W109" s="85"/>
      <c r="AB109" s="85"/>
      <c r="AC109" s="85"/>
      <c r="AD109" s="85"/>
    </row>
    <row r="110" spans="1:30" ht="12.6" x14ac:dyDescent="0.25">
      <c r="A110" s="216"/>
      <c r="B110" s="216"/>
      <c r="C110" s="216"/>
      <c r="D110" s="216"/>
      <c r="E110" s="216"/>
      <c r="F110" s="216"/>
      <c r="G110" s="217"/>
      <c r="H110" s="235">
        <v>1.165</v>
      </c>
      <c r="I110" s="236">
        <f>-I86</f>
        <v>-38229.049999999988</v>
      </c>
      <c r="J110" s="236">
        <f t="shared" si="47"/>
        <v>-35824.399999999987</v>
      </c>
      <c r="K110" s="236">
        <f t="shared" si="47"/>
        <v>-35824.419999999991</v>
      </c>
      <c r="L110" s="237"/>
      <c r="M110" s="236">
        <f>-M86</f>
        <v>-35824.419999999991</v>
      </c>
      <c r="N110" s="236">
        <f t="shared" si="48"/>
        <v>-35824.419999999991</v>
      </c>
      <c r="O110" s="238">
        <f t="shared" si="48"/>
        <v>-35824.419999999991</v>
      </c>
      <c r="P110" s="217"/>
      <c r="R110" s="85"/>
      <c r="S110" s="85"/>
      <c r="T110" s="85"/>
      <c r="U110" s="85"/>
      <c r="V110" s="85"/>
      <c r="W110" s="85"/>
      <c r="AB110" s="85"/>
      <c r="AC110" s="85"/>
      <c r="AD110" s="85"/>
    </row>
    <row r="111" spans="1:30" ht="12.6" x14ac:dyDescent="0.25">
      <c r="A111" s="216"/>
      <c r="B111" s="216"/>
      <c r="C111" s="216"/>
      <c r="D111" s="216"/>
      <c r="E111" s="216"/>
      <c r="F111" s="216"/>
      <c r="G111" s="217"/>
      <c r="H111" s="235">
        <v>5.165</v>
      </c>
      <c r="I111" s="236">
        <f t="shared" si="47"/>
        <v>-690.6</v>
      </c>
      <c r="J111" s="236">
        <f t="shared" si="47"/>
        <v>-690.6</v>
      </c>
      <c r="K111" s="236">
        <f t="shared" si="47"/>
        <v>-690.6</v>
      </c>
      <c r="L111" s="237"/>
      <c r="M111" s="236">
        <f t="shared" si="48"/>
        <v>-690.6</v>
      </c>
      <c r="N111" s="236">
        <f t="shared" si="48"/>
        <v>-690.6</v>
      </c>
      <c r="O111" s="238">
        <f t="shared" si="48"/>
        <v>-690.6</v>
      </c>
      <c r="P111" s="217"/>
      <c r="R111" s="85"/>
      <c r="S111" s="85"/>
      <c r="T111" s="85"/>
      <c r="U111" s="85"/>
      <c r="V111" s="85"/>
      <c r="W111" s="85"/>
      <c r="AB111" s="85"/>
      <c r="AC111" s="85"/>
      <c r="AD111" s="85"/>
    </row>
    <row r="112" spans="1:30" ht="12.6" x14ac:dyDescent="0.25">
      <c r="A112" s="216"/>
      <c r="B112" s="216"/>
      <c r="C112" s="216"/>
      <c r="D112" s="216"/>
      <c r="E112" s="216"/>
      <c r="F112" s="216"/>
      <c r="G112" s="217"/>
      <c r="H112" s="239">
        <v>1.9239999999999999</v>
      </c>
      <c r="I112" s="236">
        <f>+I7+I11+I26</f>
        <v>68226.16</v>
      </c>
      <c r="J112" s="236">
        <f>+J7+J11+J26</f>
        <v>68426.100000000006</v>
      </c>
      <c r="K112" s="236">
        <f>+K7+K11+K26</f>
        <v>68626.100000000006</v>
      </c>
      <c r="L112" s="237"/>
      <c r="M112" s="236">
        <f>+M7+M11+M26</f>
        <v>68026.100000000006</v>
      </c>
      <c r="N112" s="236">
        <f>+N7+N11+N26</f>
        <v>68026.100000000006</v>
      </c>
      <c r="O112" s="238">
        <f>+O7+O11+O26</f>
        <v>67926.100000000006</v>
      </c>
      <c r="P112" s="217"/>
      <c r="R112" s="85"/>
      <c r="S112" s="85"/>
      <c r="T112" s="85"/>
      <c r="U112" s="85"/>
      <c r="V112" s="85"/>
      <c r="W112" s="85"/>
      <c r="AB112" s="85"/>
      <c r="AC112" s="85"/>
      <c r="AD112" s="85"/>
    </row>
    <row r="113" spans="1:30" ht="12.6" x14ac:dyDescent="0.25">
      <c r="A113" s="216"/>
      <c r="B113" s="216"/>
      <c r="C113" s="216"/>
      <c r="D113" s="216"/>
      <c r="E113" s="216"/>
      <c r="F113" s="216"/>
      <c r="G113" s="217"/>
      <c r="H113" s="239" t="s">
        <v>16</v>
      </c>
      <c r="I113" s="236">
        <f>+I41</f>
        <v>26627.62</v>
      </c>
      <c r="J113" s="236">
        <f>+J41</f>
        <v>24223.03</v>
      </c>
      <c r="K113" s="236">
        <f>+K41</f>
        <v>24223.050000000003</v>
      </c>
      <c r="L113" s="237"/>
      <c r="M113" s="236">
        <f>+M41</f>
        <v>24223.050000000003</v>
      </c>
      <c r="N113" s="236">
        <f>+N41</f>
        <v>24223.050000000003</v>
      </c>
      <c r="O113" s="238">
        <f>+O41</f>
        <v>24223.050000000003</v>
      </c>
      <c r="P113" s="217"/>
      <c r="R113" s="85"/>
      <c r="S113" s="85"/>
      <c r="T113" s="85"/>
      <c r="U113" s="85"/>
      <c r="V113" s="85"/>
      <c r="W113" s="85"/>
      <c r="AB113" s="85"/>
      <c r="AC113" s="85"/>
      <c r="AD113" s="85"/>
    </row>
    <row r="114" spans="1:30" ht="12.6" x14ac:dyDescent="0.25">
      <c r="A114" s="216"/>
      <c r="B114" s="216"/>
      <c r="C114" s="216"/>
      <c r="D114" s="216"/>
      <c r="E114" s="216"/>
      <c r="F114" s="216"/>
      <c r="G114" s="217"/>
      <c r="H114" s="239" t="s">
        <v>67</v>
      </c>
      <c r="I114" s="236">
        <f>+I47</f>
        <v>0</v>
      </c>
      <c r="J114" s="236">
        <f>+J47</f>
        <v>0</v>
      </c>
      <c r="K114" s="236">
        <f>+K47</f>
        <v>0</v>
      </c>
      <c r="L114" s="237"/>
      <c r="M114" s="236">
        <f>+M47</f>
        <v>0</v>
      </c>
      <c r="N114" s="236">
        <f>+N47</f>
        <v>0</v>
      </c>
      <c r="O114" s="238">
        <f>+O47</f>
        <v>0</v>
      </c>
      <c r="P114" s="217"/>
      <c r="R114" s="85"/>
      <c r="S114" s="85"/>
      <c r="T114" s="85"/>
      <c r="U114" s="85"/>
      <c r="V114" s="85"/>
      <c r="W114" s="85"/>
      <c r="AB114" s="85"/>
      <c r="AC114" s="85"/>
      <c r="AD114" s="85"/>
    </row>
    <row r="115" spans="1:30" ht="12.6" x14ac:dyDescent="0.25">
      <c r="A115" s="216"/>
      <c r="B115" s="216"/>
      <c r="C115" s="216"/>
      <c r="D115" s="216"/>
      <c r="E115" s="216"/>
      <c r="F115" s="216"/>
      <c r="G115" s="217"/>
      <c r="H115" s="239">
        <v>1.9279999999999999</v>
      </c>
      <c r="I115" s="236">
        <f>+I55</f>
        <v>8278.09</v>
      </c>
      <c r="J115" s="236">
        <f>+J55</f>
        <v>8278.0300000000007</v>
      </c>
      <c r="K115" s="236">
        <f>+K55</f>
        <v>8278.0300000000007</v>
      </c>
      <c r="L115" s="237"/>
      <c r="M115" s="236">
        <f>+M55</f>
        <v>8278.0300000000007</v>
      </c>
      <c r="N115" s="236">
        <f>+N55</f>
        <v>8278.0300000000007</v>
      </c>
      <c r="O115" s="238">
        <f>+O55</f>
        <v>8278.0300000000007</v>
      </c>
      <c r="P115" s="217"/>
      <c r="R115" s="85"/>
      <c r="S115" s="85"/>
      <c r="T115" s="85"/>
      <c r="U115" s="85"/>
      <c r="V115" s="85"/>
      <c r="W115" s="85"/>
      <c r="AB115" s="85"/>
      <c r="AC115" s="85"/>
      <c r="AD115" s="85"/>
    </row>
    <row r="116" spans="1:30" ht="12.6" x14ac:dyDescent="0.25">
      <c r="A116" s="152"/>
      <c r="B116" s="152"/>
      <c r="C116" s="152"/>
      <c r="D116" s="152"/>
      <c r="E116" s="152"/>
      <c r="F116" s="152"/>
      <c r="G116" s="152"/>
      <c r="H116" s="239" t="s">
        <v>76</v>
      </c>
      <c r="I116" s="240">
        <f>+I58</f>
        <v>7146</v>
      </c>
      <c r="J116" s="240">
        <f>+J58</f>
        <v>7146</v>
      </c>
      <c r="K116" s="240">
        <f>+K58</f>
        <v>7146</v>
      </c>
      <c r="L116" s="241"/>
      <c r="M116" s="240">
        <f>+M58</f>
        <v>7146</v>
      </c>
      <c r="N116" s="240">
        <f>+N58</f>
        <v>7146</v>
      </c>
      <c r="O116" s="242">
        <f>+O58</f>
        <v>7146</v>
      </c>
      <c r="P116" s="152"/>
      <c r="R116" s="85"/>
      <c r="S116" s="85"/>
      <c r="T116" s="85"/>
      <c r="U116" s="85"/>
      <c r="V116" s="85"/>
      <c r="W116" s="85"/>
      <c r="AB116" s="85"/>
      <c r="AC116" s="85"/>
      <c r="AD116" s="85"/>
    </row>
    <row r="117" spans="1:30" ht="12.6" x14ac:dyDescent="0.25">
      <c r="A117" s="152"/>
      <c r="B117" s="152"/>
      <c r="C117" s="152"/>
      <c r="D117" s="152"/>
      <c r="E117" s="152"/>
      <c r="F117" s="152"/>
      <c r="G117" s="152"/>
      <c r="H117" s="239" t="s">
        <v>112</v>
      </c>
      <c r="I117" s="240">
        <f>+I61</f>
        <v>0</v>
      </c>
      <c r="J117" s="240">
        <f>+J61</f>
        <v>0</v>
      </c>
      <c r="K117" s="240">
        <f>+K61</f>
        <v>0</v>
      </c>
      <c r="L117" s="241"/>
      <c r="M117" s="240">
        <f>+M61</f>
        <v>0</v>
      </c>
      <c r="N117" s="240">
        <f>+N61</f>
        <v>0</v>
      </c>
      <c r="O117" s="242">
        <f>+O61</f>
        <v>0</v>
      </c>
      <c r="P117" s="152"/>
      <c r="R117" s="85"/>
      <c r="S117" s="85"/>
      <c r="T117" s="85"/>
      <c r="U117" s="85"/>
      <c r="V117" s="85"/>
      <c r="W117" s="85"/>
      <c r="AB117" s="85"/>
      <c r="AC117" s="85"/>
      <c r="AD117" s="85"/>
    </row>
    <row r="118" spans="1:30" ht="12.6" x14ac:dyDescent="0.25">
      <c r="A118" s="152"/>
      <c r="B118" s="152"/>
      <c r="C118" s="152"/>
      <c r="D118" s="152"/>
      <c r="E118" s="152"/>
      <c r="F118" s="152"/>
      <c r="G118" s="152"/>
      <c r="H118" s="239" t="s">
        <v>70</v>
      </c>
      <c r="I118" s="240">
        <f>+I50</f>
        <v>0</v>
      </c>
      <c r="J118" s="240">
        <f>+J50</f>
        <v>0</v>
      </c>
      <c r="K118" s="240">
        <f>+K50</f>
        <v>0</v>
      </c>
      <c r="L118" s="241"/>
      <c r="M118" s="240">
        <f>+M50</f>
        <v>0</v>
      </c>
      <c r="N118" s="240">
        <f>+N50</f>
        <v>0</v>
      </c>
      <c r="O118" s="242">
        <f>+O50</f>
        <v>0</v>
      </c>
      <c r="P118" s="152"/>
      <c r="R118" s="85"/>
      <c r="S118" s="85"/>
      <c r="T118" s="85"/>
      <c r="U118" s="85"/>
      <c r="V118" s="85"/>
      <c r="W118" s="85"/>
      <c r="AB118" s="85"/>
      <c r="AC118" s="85"/>
      <c r="AD118" s="85"/>
    </row>
    <row r="119" spans="1:30" ht="12.6" x14ac:dyDescent="0.25">
      <c r="A119" s="152"/>
      <c r="B119" s="152"/>
      <c r="C119" s="152"/>
      <c r="D119" s="152"/>
      <c r="E119" s="152"/>
      <c r="F119" s="152"/>
      <c r="G119" s="152"/>
      <c r="H119" s="239">
        <v>5.9240000000000004</v>
      </c>
      <c r="I119" s="240">
        <f>+I29</f>
        <v>690.6</v>
      </c>
      <c r="J119" s="240">
        <f>+J29</f>
        <v>690.6</v>
      </c>
      <c r="K119" s="240">
        <f>+K29</f>
        <v>690.6</v>
      </c>
      <c r="L119" s="241"/>
      <c r="M119" s="240">
        <f>+M29</f>
        <v>690.6</v>
      </c>
      <c r="N119" s="240">
        <f>+N29</f>
        <v>690.6</v>
      </c>
      <c r="O119" s="242">
        <f>+O29</f>
        <v>690.6</v>
      </c>
      <c r="P119" s="152"/>
      <c r="R119" s="85"/>
      <c r="S119" s="85"/>
      <c r="T119" s="85"/>
      <c r="U119" s="85"/>
      <c r="V119" s="85"/>
      <c r="W119" s="85"/>
      <c r="AB119" s="85"/>
      <c r="AC119" s="85"/>
      <c r="AD119" s="85"/>
    </row>
    <row r="120" spans="1:30" ht="16.5" customHeight="1" x14ac:dyDescent="0.25">
      <c r="A120" s="152"/>
      <c r="B120" s="152"/>
      <c r="C120" s="152"/>
      <c r="D120" s="152"/>
      <c r="E120" s="152"/>
      <c r="F120" s="152"/>
      <c r="G120" s="152"/>
      <c r="H120" s="239" t="s">
        <v>79</v>
      </c>
      <c r="I120" s="240">
        <f>+I84</f>
        <v>0</v>
      </c>
      <c r="J120" s="240">
        <f>+J84</f>
        <v>0</v>
      </c>
      <c r="K120" s="240">
        <f>+K84</f>
        <v>0</v>
      </c>
      <c r="L120" s="241"/>
      <c r="M120" s="240">
        <f>+M84</f>
        <v>0</v>
      </c>
      <c r="N120" s="240">
        <f>+N84</f>
        <v>0</v>
      </c>
      <c r="O120" s="242">
        <f>+O84</f>
        <v>0</v>
      </c>
      <c r="P120" s="152"/>
      <c r="R120" s="85"/>
      <c r="S120" s="85"/>
      <c r="T120" s="85"/>
      <c r="U120" s="85"/>
      <c r="V120" s="85"/>
      <c r="W120" s="85"/>
      <c r="AB120" s="85"/>
      <c r="AC120" s="85"/>
      <c r="AD120" s="85"/>
    </row>
    <row r="121" spans="1:30" ht="12.6" x14ac:dyDescent="0.25">
      <c r="A121" s="152"/>
      <c r="B121" s="152"/>
      <c r="C121" s="152"/>
      <c r="D121" s="152"/>
      <c r="E121" s="152"/>
      <c r="F121" s="152"/>
      <c r="G121" s="152"/>
      <c r="H121" s="239" t="s">
        <v>72</v>
      </c>
      <c r="I121" s="240">
        <f>+I52</f>
        <v>758.15</v>
      </c>
      <c r="J121" s="240">
        <f>+J52</f>
        <v>758.15</v>
      </c>
      <c r="K121" s="240">
        <f>+K52</f>
        <v>758.15</v>
      </c>
      <c r="L121" s="243"/>
      <c r="M121" s="240">
        <f>+M52</f>
        <v>758.15</v>
      </c>
      <c r="N121" s="240">
        <f>+N52</f>
        <v>758.15</v>
      </c>
      <c r="O121" s="242">
        <f>+O52</f>
        <v>758.15</v>
      </c>
      <c r="P121" s="152"/>
      <c r="R121" s="85"/>
      <c r="S121" s="85"/>
      <c r="T121" s="85"/>
      <c r="U121" s="85"/>
      <c r="V121" s="85"/>
      <c r="W121" s="85"/>
      <c r="AB121" s="85"/>
      <c r="AC121" s="85"/>
      <c r="AD121" s="85"/>
    </row>
    <row r="122" spans="1:30" ht="12.6" x14ac:dyDescent="0.25">
      <c r="A122" s="152"/>
      <c r="B122" s="152"/>
      <c r="C122" s="152"/>
      <c r="D122" s="152"/>
      <c r="E122" s="152"/>
      <c r="F122" s="152"/>
      <c r="G122" s="152"/>
      <c r="H122" s="239" t="s">
        <v>65</v>
      </c>
      <c r="I122" s="240">
        <f>+I42</f>
        <v>1666.67</v>
      </c>
      <c r="J122" s="240">
        <f>+J42</f>
        <v>1666.67</v>
      </c>
      <c r="K122" s="240">
        <f>+K42</f>
        <v>1666.67</v>
      </c>
      <c r="L122" s="243"/>
      <c r="M122" s="240">
        <f>+M42</f>
        <v>1666.67</v>
      </c>
      <c r="N122" s="240">
        <f>+N42</f>
        <v>1666.67</v>
      </c>
      <c r="O122" s="242">
        <f>+O42</f>
        <v>1666.67</v>
      </c>
      <c r="P122" s="152"/>
      <c r="R122" s="85"/>
      <c r="S122" s="85"/>
      <c r="T122" s="85"/>
      <c r="U122" s="85"/>
      <c r="V122" s="85"/>
      <c r="W122" s="85"/>
      <c r="AB122" s="85"/>
      <c r="AC122" s="85"/>
      <c r="AD122" s="85"/>
    </row>
    <row r="123" spans="1:30" ht="12.6" x14ac:dyDescent="0.25">
      <c r="A123" s="152"/>
      <c r="B123" s="152"/>
      <c r="C123" s="152"/>
      <c r="D123" s="152"/>
      <c r="E123" s="152"/>
      <c r="F123" s="152"/>
      <c r="G123" s="152"/>
      <c r="H123" s="239" t="s">
        <v>77</v>
      </c>
      <c r="I123" s="240">
        <f>+I69</f>
        <v>0</v>
      </c>
      <c r="J123" s="240">
        <f t="shared" ref="J123:O123" si="49">+J69</f>
        <v>0</v>
      </c>
      <c r="K123" s="240">
        <f t="shared" si="49"/>
        <v>0</v>
      </c>
      <c r="L123" s="243"/>
      <c r="M123" s="240">
        <f t="shared" si="49"/>
        <v>0</v>
      </c>
      <c r="N123" s="240">
        <f t="shared" si="49"/>
        <v>0</v>
      </c>
      <c r="O123" s="242">
        <f t="shared" si="49"/>
        <v>0</v>
      </c>
      <c r="P123" s="152"/>
      <c r="R123" s="85"/>
      <c r="S123" s="85"/>
      <c r="T123" s="85"/>
      <c r="U123" s="85"/>
      <c r="V123" s="85"/>
      <c r="W123" s="85"/>
      <c r="AB123" s="85"/>
      <c r="AC123" s="85"/>
      <c r="AD123" s="85"/>
    </row>
    <row r="124" spans="1:30" ht="12.6" x14ac:dyDescent="0.25">
      <c r="A124" s="152"/>
      <c r="B124" s="152"/>
      <c r="C124" s="152"/>
      <c r="D124" s="152"/>
      <c r="E124" s="152"/>
      <c r="F124" s="152"/>
      <c r="G124" s="152"/>
      <c r="H124" s="239" t="s">
        <v>87</v>
      </c>
      <c r="I124" s="240">
        <f>+I71+I72</f>
        <v>449.26</v>
      </c>
      <c r="J124" s="240">
        <f>+J71+J72</f>
        <v>449.26</v>
      </c>
      <c r="K124" s="240">
        <f>+K71+K72</f>
        <v>449.26</v>
      </c>
      <c r="L124" s="243"/>
      <c r="M124" s="240">
        <f>+M71+M72</f>
        <v>449.26</v>
      </c>
      <c r="N124" s="240">
        <f>+N71+N72</f>
        <v>449.26</v>
      </c>
      <c r="O124" s="242">
        <f>+O71+O72</f>
        <v>449.26</v>
      </c>
      <c r="P124" s="152"/>
      <c r="R124" s="85"/>
      <c r="S124" s="85"/>
      <c r="T124" s="85"/>
      <c r="U124" s="85"/>
      <c r="V124" s="85"/>
      <c r="W124" s="85"/>
      <c r="AB124" s="85"/>
      <c r="AC124" s="85"/>
      <c r="AD124" s="85"/>
    </row>
    <row r="125" spans="1:30" ht="12.6" x14ac:dyDescent="0.25">
      <c r="A125" s="152"/>
      <c r="B125" s="152"/>
      <c r="C125" s="152"/>
      <c r="D125" s="152"/>
      <c r="E125" s="152"/>
      <c r="F125" s="152"/>
      <c r="G125" s="152"/>
      <c r="H125" s="239" t="s">
        <v>91</v>
      </c>
      <c r="I125" s="240">
        <f>+I75+I76</f>
        <v>449.26</v>
      </c>
      <c r="J125" s="240">
        <f>+J75+J76</f>
        <v>449.26</v>
      </c>
      <c r="K125" s="240">
        <f>+K75+K76</f>
        <v>449.26</v>
      </c>
      <c r="L125" s="243"/>
      <c r="M125" s="240">
        <f>+M75+M76</f>
        <v>449.26</v>
      </c>
      <c r="N125" s="240">
        <f>+N75+N76</f>
        <v>449.26</v>
      </c>
      <c r="O125" s="242">
        <f>+O75+O76</f>
        <v>449.26</v>
      </c>
      <c r="P125" s="152"/>
      <c r="R125" s="85"/>
      <c r="S125" s="85"/>
      <c r="T125" s="85"/>
      <c r="U125" s="85"/>
      <c r="V125" s="85"/>
      <c r="W125" s="85"/>
      <c r="AB125" s="85"/>
      <c r="AC125" s="85"/>
      <c r="AD125" s="85"/>
    </row>
    <row r="126" spans="1:30" ht="12.6" x14ac:dyDescent="0.25">
      <c r="A126" s="152"/>
      <c r="B126" s="152"/>
      <c r="C126" s="152"/>
      <c r="D126" s="152"/>
      <c r="E126" s="152"/>
      <c r="F126" s="152"/>
      <c r="G126" s="152"/>
      <c r="H126" s="239" t="s">
        <v>113</v>
      </c>
      <c r="I126" s="240">
        <f>SUM(I109:I125)</f>
        <v>5.0022208597511053E-12</v>
      </c>
      <c r="J126" s="240">
        <f>SUM(J109:J125)</f>
        <v>-4.5474735088646412E-13</v>
      </c>
      <c r="K126" s="240">
        <f>SUM(K109:K125)</f>
        <v>1.4097167877480388E-11</v>
      </c>
      <c r="L126" s="243"/>
      <c r="M126" s="240">
        <f>SUM(M109:M125)</f>
        <v>1.4097167877480388E-11</v>
      </c>
      <c r="N126" s="240">
        <f>SUM(N109:N125)</f>
        <v>1.4097167877480388E-11</v>
      </c>
      <c r="O126" s="242">
        <f>SUM(O109:O125)</f>
        <v>1.4097167877480388E-11</v>
      </c>
      <c r="P126" s="152"/>
      <c r="R126" s="85"/>
      <c r="S126" s="85"/>
      <c r="T126" s="85"/>
      <c r="U126" s="85"/>
      <c r="V126" s="85"/>
      <c r="W126" s="85"/>
      <c r="AB126" s="85"/>
      <c r="AC126" s="85"/>
      <c r="AD126" s="85"/>
    </row>
    <row r="127" spans="1:30" ht="12.6" x14ac:dyDescent="0.25">
      <c r="A127" s="152"/>
      <c r="B127" s="152"/>
      <c r="C127" s="152"/>
      <c r="D127" s="152"/>
      <c r="E127" s="152"/>
      <c r="F127" s="152"/>
      <c r="G127" s="152"/>
      <c r="H127" s="239"/>
      <c r="I127" s="244"/>
      <c r="J127" s="244"/>
      <c r="K127" s="244"/>
      <c r="L127" s="241"/>
      <c r="M127" s="244"/>
      <c r="N127" s="244"/>
      <c r="O127" s="245"/>
      <c r="P127" s="152"/>
      <c r="R127" s="85"/>
      <c r="S127" s="85"/>
      <c r="T127" s="85"/>
      <c r="U127" s="85"/>
      <c r="V127" s="85"/>
      <c r="W127" s="85"/>
      <c r="AB127" s="85"/>
      <c r="AC127" s="85"/>
      <c r="AD127" s="85"/>
    </row>
    <row r="128" spans="1:30" ht="12.6" x14ac:dyDescent="0.25">
      <c r="A128" s="152"/>
      <c r="B128" s="152"/>
      <c r="C128" s="152"/>
      <c r="D128" s="152"/>
      <c r="E128" s="152"/>
      <c r="F128" s="152"/>
      <c r="G128" s="152"/>
      <c r="H128" s="239" t="s">
        <v>114</v>
      </c>
      <c r="I128" s="240">
        <f t="shared" ref="I128:M128" si="50">IF(I110&gt;0,I110,0)+IF(I112&gt;0,I112,0)+IF(I114&gt;0,I114,0)+IF(I115&gt;0,I115,0)+IF(I116&gt;0,I116,0)+IF(I113&gt;0,I113)+IF(I117&gt;0,I117)+IF(I118&gt;0,I118)+IF(I111&gt;0,I111)+IF(I109&gt;0,I109)+IF(I119&gt;0,I119)+IF(I120&gt;0,I120)+IF(I121&gt;0,I121)+IF(I122&gt;0,I122)+IF(I123&gt;0,I123)+IF(I124&gt;0,I124)+IF(I125&gt;0,I125)</f>
        <v>114291.80999999998</v>
      </c>
      <c r="J128" s="240">
        <f t="shared" si="50"/>
        <v>112087.09999999999</v>
      </c>
      <c r="K128" s="240">
        <f t="shared" si="50"/>
        <v>112287.12</v>
      </c>
      <c r="L128" s="243">
        <f t="shared" si="50"/>
        <v>0</v>
      </c>
      <c r="M128" s="240">
        <f t="shared" si="50"/>
        <v>111687.12</v>
      </c>
      <c r="N128" s="240">
        <f>IF(N110&gt;0,N110,0)+IF(N112&gt;0,N112,0)+IF(N114&gt;0,N114,0)+IF(N115&gt;0,N115,0)+IF(N116&gt;0,N116,0)+IF(N113&gt;0,N113)+IF(N117&gt;0,N117)+IF(N118&gt;0,N118)+IF(N111&gt;0,N111)+IF(N109&gt;0,N109)+IF(N119&gt;0,N119)+IF(N120&gt;0,N120)+IF(N121&gt;0,N121)+IF(N122&gt;0,N122)+IF(N123&gt;0,N123)+IF(N124&gt;0,N124)+IF(N125&gt;0,N125)</f>
        <v>111687.12</v>
      </c>
      <c r="O128" s="242">
        <f>IF(O110&gt;0,O110,0)+IF(O112&gt;0,O112,0)+IF(O114&gt;0,O114,0)+IF(O115&gt;0,O115,0)+IF(O116&gt;0,O116,0)+IF(O113&gt;0,O113)+IF(O117&gt;0,O117)+IF(O118&gt;0,O118)+IF(O111&gt;0,O111)+IF(O109&gt;0,O109)+IF(O119&gt;0,O119)+IF(O120&gt;0,O120)+IF(O121&gt;0,O121)+IF(O122&gt;0,O122)+IF(O123&gt;0,O123)+IF(O124&gt;0,O124)+IF(O125&gt;0,O125)</f>
        <v>111587.12</v>
      </c>
      <c r="P128" s="152"/>
      <c r="R128" s="85"/>
      <c r="S128" s="85"/>
      <c r="T128" s="85"/>
      <c r="U128" s="85"/>
      <c r="V128" s="85"/>
      <c r="W128" s="85"/>
      <c r="AB128" s="85"/>
      <c r="AC128" s="85"/>
      <c r="AD128" s="85"/>
    </row>
    <row r="129" spans="8:30" ht="12.6" x14ac:dyDescent="0.25">
      <c r="H129" s="246"/>
      <c r="I129" s="244"/>
      <c r="J129" s="244"/>
      <c r="K129" s="244"/>
      <c r="L129" s="246"/>
      <c r="M129" s="244"/>
      <c r="N129" s="244"/>
      <c r="O129" s="244"/>
      <c r="R129" s="85"/>
      <c r="S129" s="85"/>
      <c r="T129" s="85"/>
      <c r="U129" s="85"/>
      <c r="V129" s="85"/>
      <c r="W129" s="85"/>
      <c r="AB129" s="85"/>
      <c r="AC129" s="85"/>
      <c r="AD129" s="85"/>
    </row>
    <row r="130" spans="8:30" ht="12.75" x14ac:dyDescent="0.2">
      <c r="M130" s="86"/>
      <c r="R130" s="85"/>
      <c r="S130" s="85"/>
      <c r="T130" s="85"/>
      <c r="U130" s="85"/>
      <c r="V130" s="85"/>
      <c r="W130" s="85"/>
      <c r="AB130" s="85"/>
      <c r="AC130" s="85"/>
      <c r="AD130" s="85"/>
    </row>
    <row r="131" spans="8:30" ht="12.75" x14ac:dyDescent="0.2">
      <c r="M131" s="86"/>
      <c r="R131" s="85"/>
      <c r="S131" s="85"/>
      <c r="T131" s="85"/>
      <c r="U131" s="85"/>
      <c r="V131" s="85"/>
      <c r="W131" s="85"/>
      <c r="AB131" s="85"/>
      <c r="AC131" s="85"/>
      <c r="AD131" s="85"/>
    </row>
    <row r="132" spans="8:30" ht="12.75" x14ac:dyDescent="0.2">
      <c r="M132" s="86"/>
      <c r="R132" s="85"/>
      <c r="S132" s="85"/>
      <c r="T132" s="85"/>
      <c r="U132" s="85"/>
      <c r="V132" s="85"/>
      <c r="W132" s="85"/>
      <c r="AB132" s="85"/>
      <c r="AC132" s="85"/>
      <c r="AD132" s="85"/>
    </row>
    <row r="133" spans="8:30" ht="12.75" x14ac:dyDescent="0.2">
      <c r="M133" s="86"/>
      <c r="R133" s="85"/>
      <c r="S133" s="85"/>
      <c r="T133" s="85"/>
      <c r="U133" s="85"/>
      <c r="V133" s="85"/>
      <c r="W133" s="85"/>
      <c r="AB133" s="85"/>
      <c r="AC133" s="85"/>
      <c r="AD133" s="85"/>
    </row>
  </sheetData>
  <mergeCells count="2">
    <mergeCell ref="R1:W1"/>
    <mergeCell ref="Y1:AD1"/>
  </mergeCells>
  <pageMargins left="0.7" right="0.7" top="0.75" bottom="0.75" header="0.3" footer="0.3"/>
  <pageSetup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zoomScale="105" zoomScaleNormal="105" workbookViewId="0">
      <selection activeCell="O18" sqref="O18"/>
    </sheetView>
  </sheetViews>
  <sheetFormatPr defaultRowHeight="12.75" x14ac:dyDescent="0.2"/>
  <cols>
    <col min="1" max="1" width="11.140625" style="277" bestFit="1" customWidth="1"/>
    <col min="2" max="2" width="43.42578125" style="277" bestFit="1" customWidth="1"/>
    <col min="3" max="5" width="12.140625" style="277" bestFit="1" customWidth="1"/>
    <col min="6" max="14" width="13.7109375" style="277" bestFit="1" customWidth="1"/>
    <col min="15" max="15" width="12.85546875" style="277" bestFit="1" customWidth="1"/>
    <col min="16" max="16" width="14.85546875" style="277" bestFit="1" customWidth="1"/>
    <col min="17" max="16384" width="9.140625" style="277"/>
  </cols>
  <sheetData>
    <row r="3" spans="1:16" x14ac:dyDescent="0.2">
      <c r="C3" s="278">
        <v>43910</v>
      </c>
      <c r="D3" s="278">
        <f>C3+30</f>
        <v>43940</v>
      </c>
      <c r="E3" s="278">
        <f t="shared" ref="E3:O3" si="0">D3+30</f>
        <v>43970</v>
      </c>
      <c r="F3" s="278">
        <f t="shared" si="0"/>
        <v>44000</v>
      </c>
      <c r="G3" s="278">
        <f t="shared" si="0"/>
        <v>44030</v>
      </c>
      <c r="H3" s="278">
        <f t="shared" si="0"/>
        <v>44060</v>
      </c>
      <c r="I3" s="278">
        <f t="shared" si="0"/>
        <v>44090</v>
      </c>
      <c r="J3" s="278">
        <f t="shared" si="0"/>
        <v>44120</v>
      </c>
      <c r="K3" s="278">
        <f t="shared" si="0"/>
        <v>44150</v>
      </c>
      <c r="L3" s="278">
        <f t="shared" si="0"/>
        <v>44180</v>
      </c>
      <c r="M3" s="278">
        <f t="shared" si="0"/>
        <v>44210</v>
      </c>
      <c r="N3" s="278">
        <f t="shared" si="0"/>
        <v>44240</v>
      </c>
      <c r="O3" s="278">
        <f t="shared" si="0"/>
        <v>44270</v>
      </c>
    </row>
    <row r="4" spans="1:16" ht="15" x14ac:dyDescent="0.25">
      <c r="A4" s="277" t="s">
        <v>345</v>
      </c>
      <c r="C4" s="279">
        <v>747432</v>
      </c>
      <c r="D4" s="279">
        <v>646353</v>
      </c>
      <c r="E4" s="279">
        <v>494022</v>
      </c>
      <c r="F4" s="279">
        <v>1470999</v>
      </c>
      <c r="G4" s="279">
        <v>1354673</v>
      </c>
      <c r="H4" s="279">
        <v>1284682</v>
      </c>
      <c r="I4" s="279">
        <v>2096975</v>
      </c>
      <c r="J4" s="279">
        <v>1228461</v>
      </c>
      <c r="K4" s="279">
        <v>1176704</v>
      </c>
      <c r="L4" s="279">
        <v>1163544</v>
      </c>
      <c r="M4" s="279">
        <v>1163366</v>
      </c>
      <c r="N4" s="279">
        <v>1139548</v>
      </c>
      <c r="O4" s="279">
        <v>-21130</v>
      </c>
      <c r="P4" s="280">
        <f>AVERAGE(C4:O4)</f>
        <v>1072740.6923076923</v>
      </c>
    </row>
    <row r="5" spans="1:16" ht="15" x14ac:dyDescent="0.25">
      <c r="A5" s="277">
        <v>1191110</v>
      </c>
      <c r="B5" s="277" t="s">
        <v>346</v>
      </c>
      <c r="F5" s="281">
        <f>94738+413915</f>
        <v>508653</v>
      </c>
      <c r="G5" s="281">
        <v>508653</v>
      </c>
      <c r="H5" s="281">
        <v>508653</v>
      </c>
      <c r="I5" s="281">
        <f>1364144-180059</f>
        <v>1184085</v>
      </c>
      <c r="J5" s="281">
        <v>508653</v>
      </c>
      <c r="K5" s="281">
        <v>508653</v>
      </c>
      <c r="L5" s="281">
        <v>508653</v>
      </c>
      <c r="M5" s="281">
        <v>508653</v>
      </c>
      <c r="N5" s="281">
        <v>508653</v>
      </c>
      <c r="O5" s="279">
        <f>165382-631505</f>
        <v>-466123</v>
      </c>
      <c r="P5" s="280">
        <f t="shared" ref="P5:P19" si="1">AVERAGE(C5:O5)</f>
        <v>478718.6</v>
      </c>
    </row>
    <row r="6" spans="1:16" ht="15" x14ac:dyDescent="0.25">
      <c r="A6" s="277">
        <v>1191120</v>
      </c>
      <c r="B6" s="277" t="s">
        <v>347</v>
      </c>
      <c r="F6" s="281">
        <f>23398+314254</f>
        <v>337652</v>
      </c>
      <c r="G6" s="281">
        <v>337652.31</v>
      </c>
      <c r="H6" s="281">
        <v>337652.31</v>
      </c>
      <c r="I6" s="281">
        <f>576728.26-58516-11215</f>
        <v>506997.26</v>
      </c>
      <c r="J6" s="281">
        <v>337652.31</v>
      </c>
      <c r="K6" s="281">
        <v>337652.31</v>
      </c>
      <c r="L6" s="281">
        <v>337652.31</v>
      </c>
      <c r="M6" s="281">
        <v>337652.31</v>
      </c>
      <c r="N6" s="281">
        <v>337652.31</v>
      </c>
      <c r="O6" s="279">
        <f>131757.31+41066</f>
        <v>172823.31</v>
      </c>
      <c r="P6" s="280">
        <f t="shared" si="1"/>
        <v>338103.87400000001</v>
      </c>
    </row>
    <row r="7" spans="1:16" ht="15" x14ac:dyDescent="0.25">
      <c r="B7" s="277" t="s">
        <v>348</v>
      </c>
      <c r="C7" s="282">
        <f t="shared" ref="C7:L7" si="2">SUM(C5:C6)</f>
        <v>0</v>
      </c>
      <c r="D7" s="282">
        <f t="shared" si="2"/>
        <v>0</v>
      </c>
      <c r="E7" s="282">
        <f t="shared" si="2"/>
        <v>0</v>
      </c>
      <c r="F7" s="282">
        <f t="shared" si="2"/>
        <v>846305</v>
      </c>
      <c r="G7" s="282">
        <f t="shared" si="2"/>
        <v>846305.31</v>
      </c>
      <c r="H7" s="282">
        <f t="shared" si="2"/>
        <v>846305.31</v>
      </c>
      <c r="I7" s="282">
        <f t="shared" si="2"/>
        <v>1691082.26</v>
      </c>
      <c r="J7" s="282">
        <f t="shared" si="2"/>
        <v>846305.31</v>
      </c>
      <c r="K7" s="282">
        <f t="shared" si="2"/>
        <v>846305.31</v>
      </c>
      <c r="L7" s="282">
        <f t="shared" si="2"/>
        <v>846305.31</v>
      </c>
      <c r="M7" s="282">
        <f>SUM(M5:M6)</f>
        <v>846305.31</v>
      </c>
      <c r="N7" s="282">
        <f>SUM(N5:N6)</f>
        <v>846305.31</v>
      </c>
      <c r="O7" s="282">
        <f>SUM(O5:O6)</f>
        <v>-293299.69</v>
      </c>
      <c r="P7" s="283">
        <f t="shared" si="1"/>
        <v>628324.9800000001</v>
      </c>
    </row>
    <row r="8" spans="1:16" ht="15" x14ac:dyDescent="0.25">
      <c r="A8" s="284" t="s">
        <v>349</v>
      </c>
      <c r="B8" s="277" t="s">
        <v>350</v>
      </c>
      <c r="C8" s="277">
        <v>6.48</v>
      </c>
      <c r="D8" s="281">
        <v>17983.099999999999</v>
      </c>
      <c r="E8" s="281">
        <v>14710.14</v>
      </c>
      <c r="F8" s="281">
        <v>11437.18</v>
      </c>
      <c r="G8" s="281">
        <v>8164.22</v>
      </c>
      <c r="H8" s="281">
        <v>4891.26</v>
      </c>
      <c r="I8" s="281">
        <v>1618.29</v>
      </c>
      <c r="O8" s="281"/>
      <c r="P8" s="280">
        <f t="shared" si="1"/>
        <v>8401.5242857142857</v>
      </c>
    </row>
    <row r="9" spans="1:16" ht="15" x14ac:dyDescent="0.25">
      <c r="A9" s="277">
        <v>1191220</v>
      </c>
      <c r="B9" s="277" t="s">
        <v>351</v>
      </c>
      <c r="C9" s="281">
        <v>267832.03999999998</v>
      </c>
      <c r="D9" s="281">
        <v>226232.72</v>
      </c>
      <c r="E9" s="281">
        <v>182500.15</v>
      </c>
      <c r="F9" s="281">
        <v>138767.57999999999</v>
      </c>
      <c r="G9" s="281">
        <v>95035.01</v>
      </c>
      <c r="H9" s="281">
        <v>51302.44</v>
      </c>
      <c r="I9" s="281">
        <v>7662.28</v>
      </c>
      <c r="J9" s="281">
        <v>7403.99</v>
      </c>
      <c r="K9" s="281">
        <v>7403.99</v>
      </c>
      <c r="L9" s="281">
        <v>7403.99</v>
      </c>
      <c r="M9" s="281">
        <v>7403.99</v>
      </c>
      <c r="N9" s="281">
        <v>7403.99</v>
      </c>
      <c r="O9" s="281">
        <v>7403.74</v>
      </c>
      <c r="P9" s="280">
        <f t="shared" si="1"/>
        <v>77981.223846153836</v>
      </c>
    </row>
    <row r="10" spans="1:16" ht="15" x14ac:dyDescent="0.25">
      <c r="A10" s="277">
        <v>1191250</v>
      </c>
      <c r="B10" s="277" t="s">
        <v>352</v>
      </c>
      <c r="C10" s="281">
        <v>96112.1</v>
      </c>
      <c r="D10" s="281">
        <v>95504.9</v>
      </c>
      <c r="E10" s="281">
        <v>57875</v>
      </c>
      <c r="F10" s="281">
        <v>93254.9</v>
      </c>
      <c r="G10" s="281">
        <v>55625</v>
      </c>
      <c r="H10" s="281">
        <v>54500</v>
      </c>
      <c r="I10" s="281">
        <v>88844.3</v>
      </c>
      <c r="J10" s="281">
        <v>89272.7</v>
      </c>
      <c r="K10" s="281">
        <v>51125</v>
      </c>
      <c r="L10" s="281">
        <v>50000</v>
      </c>
      <c r="M10" s="281">
        <v>62375</v>
      </c>
      <c r="N10" s="281">
        <v>61250</v>
      </c>
      <c r="O10" s="281">
        <v>60125</v>
      </c>
      <c r="P10" s="280">
        <f t="shared" si="1"/>
        <v>70451.069230769237</v>
      </c>
    </row>
    <row r="11" spans="1:16" ht="15" x14ac:dyDescent="0.25">
      <c r="A11" s="277">
        <v>1191260</v>
      </c>
      <c r="B11" s="277" t="s">
        <v>353</v>
      </c>
      <c r="C11" s="281">
        <v>20853.240000000002</v>
      </c>
      <c r="D11" s="281">
        <v>17377.7</v>
      </c>
      <c r="E11" s="281">
        <v>13902.16</v>
      </c>
      <c r="F11" s="281">
        <v>10426.620000000001</v>
      </c>
      <c r="G11" s="281">
        <v>6951.08</v>
      </c>
      <c r="H11" s="281">
        <v>3475.54</v>
      </c>
      <c r="I11" s="277">
        <v>0</v>
      </c>
      <c r="O11" s="281"/>
      <c r="P11" s="280">
        <f t="shared" si="1"/>
        <v>10426.619999999999</v>
      </c>
    </row>
    <row r="12" spans="1:16" ht="15" x14ac:dyDescent="0.25">
      <c r="A12" s="277">
        <v>1191280</v>
      </c>
      <c r="B12" s="277" t="s">
        <v>354</v>
      </c>
      <c r="C12" s="281">
        <v>217353.49</v>
      </c>
      <c r="D12" s="281">
        <v>183295.61</v>
      </c>
      <c r="E12" s="281">
        <v>151747.85</v>
      </c>
      <c r="F12" s="281">
        <v>153742.48000000001</v>
      </c>
      <c r="G12" s="281">
        <v>147001.63</v>
      </c>
      <c r="H12" s="281">
        <v>140260.78</v>
      </c>
      <c r="I12" s="281">
        <v>133367.01999999999</v>
      </c>
      <c r="J12" s="281">
        <v>127180.4</v>
      </c>
      <c r="K12" s="281">
        <v>120993.78</v>
      </c>
      <c r="L12" s="281">
        <v>114807.16</v>
      </c>
      <c r="M12" s="281">
        <v>108620.54</v>
      </c>
      <c r="N12" s="281">
        <v>102433.92</v>
      </c>
      <c r="O12" s="281">
        <v>98494.41</v>
      </c>
      <c r="P12" s="280">
        <f t="shared" si="1"/>
        <v>138407.62076923074</v>
      </c>
    </row>
    <row r="13" spans="1:16" ht="15" x14ac:dyDescent="0.25">
      <c r="A13" s="277">
        <v>1191290</v>
      </c>
      <c r="B13" s="277" t="s">
        <v>355</v>
      </c>
      <c r="C13" s="281">
        <v>34386.910000000003</v>
      </c>
      <c r="D13" s="281">
        <v>14585.4</v>
      </c>
      <c r="E13" s="277">
        <v>280.89999999999998</v>
      </c>
      <c r="F13" s="277">
        <v>288.73</v>
      </c>
      <c r="G13" s="277">
        <v>296.56</v>
      </c>
      <c r="H13" s="277">
        <v>304.43</v>
      </c>
      <c r="I13" s="277">
        <v>0</v>
      </c>
      <c r="J13" s="281"/>
      <c r="K13" s="281"/>
      <c r="L13" s="281"/>
      <c r="M13" s="281"/>
      <c r="N13" s="281"/>
      <c r="O13" s="281"/>
      <c r="P13" s="280">
        <f t="shared" si="1"/>
        <v>7163.2757142857154</v>
      </c>
    </row>
    <row r="14" spans="1:16" ht="15" x14ac:dyDescent="0.25">
      <c r="B14" s="277" t="s">
        <v>356</v>
      </c>
      <c r="C14" s="282">
        <f t="shared" ref="C14:K14" si="3">SUM(C8:C13)</f>
        <v>636544.26</v>
      </c>
      <c r="D14" s="282">
        <f t="shared" si="3"/>
        <v>554979.43000000005</v>
      </c>
      <c r="E14" s="282">
        <f t="shared" si="3"/>
        <v>421016.19999999995</v>
      </c>
      <c r="F14" s="282">
        <f t="shared" si="3"/>
        <v>407917.49</v>
      </c>
      <c r="G14" s="282">
        <f t="shared" si="3"/>
        <v>313073.49999999994</v>
      </c>
      <c r="H14" s="282">
        <f t="shared" si="3"/>
        <v>254734.45</v>
      </c>
      <c r="I14" s="282">
        <f t="shared" si="3"/>
        <v>231491.88999999998</v>
      </c>
      <c r="J14" s="282">
        <f t="shared" si="3"/>
        <v>223857.09</v>
      </c>
      <c r="K14" s="282">
        <f t="shared" si="3"/>
        <v>179522.77</v>
      </c>
      <c r="L14" s="282">
        <f>SUM(L8:L13)</f>
        <v>172211.15</v>
      </c>
      <c r="M14" s="282">
        <f>SUM(M8:M13)</f>
        <v>178399.53</v>
      </c>
      <c r="N14" s="282">
        <f>SUM(N8:N13)</f>
        <v>171087.91</v>
      </c>
      <c r="O14" s="282">
        <f>SUM(O8:O13)</f>
        <v>166023.15000000002</v>
      </c>
      <c r="P14" s="283">
        <f t="shared" si="1"/>
        <v>300835.29384615383</v>
      </c>
    </row>
    <row r="15" spans="1:16" ht="15" x14ac:dyDescent="0.25">
      <c r="A15" s="277">
        <v>1191435</v>
      </c>
      <c r="B15" s="277" t="s">
        <v>357</v>
      </c>
      <c r="C15" s="281">
        <v>2000</v>
      </c>
      <c r="D15" s="281">
        <v>2000</v>
      </c>
      <c r="E15" s="281">
        <v>2000</v>
      </c>
      <c r="F15" s="281">
        <v>2000</v>
      </c>
      <c r="G15" s="281">
        <v>2000</v>
      </c>
      <c r="H15" s="281">
        <v>2000</v>
      </c>
      <c r="I15" s="281">
        <v>2000</v>
      </c>
      <c r="J15" s="281">
        <v>2200</v>
      </c>
      <c r="K15" s="281">
        <v>2200</v>
      </c>
      <c r="L15" s="281">
        <v>2200</v>
      </c>
      <c r="M15" s="281">
        <v>2200</v>
      </c>
      <c r="N15" s="281">
        <v>2200</v>
      </c>
      <c r="O15" s="281">
        <v>2200</v>
      </c>
      <c r="P15" s="280">
        <f t="shared" si="1"/>
        <v>2092.3076923076924</v>
      </c>
    </row>
    <row r="16" spans="1:16" ht="15" x14ac:dyDescent="0.25">
      <c r="A16" s="277">
        <v>1191440</v>
      </c>
      <c r="B16" s="277" t="s">
        <v>358</v>
      </c>
      <c r="C16" s="281">
        <v>20000</v>
      </c>
      <c r="D16" s="281">
        <v>20000</v>
      </c>
      <c r="E16" s="281">
        <v>20000</v>
      </c>
      <c r="F16" s="281">
        <v>20000</v>
      </c>
      <c r="G16" s="281">
        <v>20000</v>
      </c>
      <c r="H16" s="281">
        <v>20000</v>
      </c>
      <c r="I16" s="281">
        <v>20000</v>
      </c>
      <c r="J16" s="281">
        <v>20000</v>
      </c>
      <c r="K16" s="281">
        <v>20000</v>
      </c>
      <c r="L16" s="281">
        <v>20000</v>
      </c>
      <c r="M16" s="281">
        <v>20000</v>
      </c>
      <c r="N16" s="281">
        <v>20000</v>
      </c>
      <c r="O16" s="281">
        <v>20000</v>
      </c>
      <c r="P16" s="280">
        <f t="shared" si="1"/>
        <v>20000</v>
      </c>
    </row>
    <row r="17" spans="1:16" ht="15" x14ac:dyDescent="0.25">
      <c r="A17" s="277">
        <v>1191900</v>
      </c>
      <c r="B17" s="277" t="s">
        <v>359</v>
      </c>
      <c r="C17" s="281">
        <v>34778</v>
      </c>
      <c r="D17" s="281">
        <v>25025</v>
      </c>
      <c r="E17" s="281">
        <v>15585</v>
      </c>
      <c r="F17" s="281">
        <v>101418</v>
      </c>
      <c r="G17" s="281">
        <v>92123.56</v>
      </c>
      <c r="H17" s="281">
        <v>82828.070000000007</v>
      </c>
      <c r="I17" s="281">
        <v>82639.94</v>
      </c>
      <c r="J17" s="281">
        <v>73456.98</v>
      </c>
      <c r="K17" s="281">
        <v>71763.8</v>
      </c>
      <c r="L17" s="281">
        <v>62026.57</v>
      </c>
      <c r="M17" s="281">
        <v>52289.34</v>
      </c>
      <c r="N17" s="281">
        <v>42552.11</v>
      </c>
      <c r="O17" s="281">
        <v>33159.54</v>
      </c>
      <c r="P17" s="280">
        <f t="shared" si="1"/>
        <v>59203.531538461531</v>
      </c>
    </row>
    <row r="18" spans="1:16" ht="15" x14ac:dyDescent="0.25">
      <c r="A18" s="277">
        <v>1191910</v>
      </c>
      <c r="B18" s="277" t="s">
        <v>360</v>
      </c>
      <c r="C18" s="281">
        <v>54108.5</v>
      </c>
      <c r="D18" s="281">
        <v>44347.32</v>
      </c>
      <c r="E18" s="281">
        <v>35420.65</v>
      </c>
      <c r="F18" s="281">
        <v>93356.82</v>
      </c>
      <c r="G18" s="281">
        <v>81170.47</v>
      </c>
      <c r="H18" s="281">
        <v>78814.34</v>
      </c>
      <c r="I18" s="281">
        <v>69761.91</v>
      </c>
      <c r="J18" s="281">
        <v>62641.62</v>
      </c>
      <c r="K18" s="281">
        <v>56912.46</v>
      </c>
      <c r="L18" s="281">
        <v>60801.24</v>
      </c>
      <c r="M18" s="281">
        <v>64171.99</v>
      </c>
      <c r="N18" s="281">
        <v>57403.12</v>
      </c>
      <c r="O18" s="281">
        <v>50786.96</v>
      </c>
      <c r="P18" s="280">
        <f t="shared" si="1"/>
        <v>62284.415384615379</v>
      </c>
    </row>
    <row r="19" spans="1:16" ht="15" x14ac:dyDescent="0.25">
      <c r="B19" s="277" t="s">
        <v>361</v>
      </c>
      <c r="C19" s="282">
        <f>SUM(C15:C18)</f>
        <v>110886.5</v>
      </c>
      <c r="D19" s="282">
        <f t="shared" ref="D19:O19" si="4">SUM(D15:D18)</f>
        <v>91372.32</v>
      </c>
      <c r="E19" s="282">
        <f t="shared" si="4"/>
        <v>73005.649999999994</v>
      </c>
      <c r="F19" s="282">
        <f t="shared" si="4"/>
        <v>216774.82</v>
      </c>
      <c r="G19" s="282">
        <f t="shared" si="4"/>
        <v>195294.03</v>
      </c>
      <c r="H19" s="282">
        <f t="shared" si="4"/>
        <v>183642.41</v>
      </c>
      <c r="I19" s="282">
        <f t="shared" si="4"/>
        <v>174401.85</v>
      </c>
      <c r="J19" s="282">
        <f t="shared" si="4"/>
        <v>158298.6</v>
      </c>
      <c r="K19" s="282">
        <f t="shared" si="4"/>
        <v>150876.26</v>
      </c>
      <c r="L19" s="282">
        <f t="shared" si="4"/>
        <v>145027.81</v>
      </c>
      <c r="M19" s="282">
        <f t="shared" si="4"/>
        <v>138661.32999999999</v>
      </c>
      <c r="N19" s="282">
        <f t="shared" si="4"/>
        <v>122155.23000000001</v>
      </c>
      <c r="O19" s="282">
        <f t="shared" si="4"/>
        <v>106146.5</v>
      </c>
      <c r="P19" s="283">
        <f t="shared" si="1"/>
        <v>143580.25461538462</v>
      </c>
    </row>
    <row r="20" spans="1:16" ht="15" x14ac:dyDescent="0.25">
      <c r="B20" s="277" t="s">
        <v>362</v>
      </c>
      <c r="C20" s="282">
        <f>C19+C14+C7</f>
        <v>747430.76</v>
      </c>
      <c r="D20" s="282">
        <f t="shared" ref="D20:O20" si="5">D19+D14+D7</f>
        <v>646351.75</v>
      </c>
      <c r="E20" s="282">
        <f t="shared" si="5"/>
        <v>494021.85</v>
      </c>
      <c r="F20" s="282">
        <f t="shared" si="5"/>
        <v>1470997.31</v>
      </c>
      <c r="G20" s="282">
        <f t="shared" si="5"/>
        <v>1354672.8399999999</v>
      </c>
      <c r="H20" s="282">
        <f t="shared" si="5"/>
        <v>1284682.17</v>
      </c>
      <c r="I20" s="282">
        <f t="shared" si="5"/>
        <v>2096976</v>
      </c>
      <c r="J20" s="282">
        <f t="shared" si="5"/>
        <v>1228461</v>
      </c>
      <c r="K20" s="282">
        <f t="shared" si="5"/>
        <v>1176704.3400000001</v>
      </c>
      <c r="L20" s="282">
        <f t="shared" si="5"/>
        <v>1163544.27</v>
      </c>
      <c r="M20" s="282">
        <f t="shared" si="5"/>
        <v>1163366.17</v>
      </c>
      <c r="N20" s="282">
        <f t="shared" si="5"/>
        <v>1139548.4500000002</v>
      </c>
      <c r="O20" s="282">
        <f t="shared" si="5"/>
        <v>-21130.039999999979</v>
      </c>
      <c r="P20" s="280">
        <f>AVERAGE(C20:O20)</f>
        <v>1072740.5284615385</v>
      </c>
    </row>
    <row r="21" spans="1:16" x14ac:dyDescent="0.2">
      <c r="C21" s="281">
        <f t="shared" ref="C21:O21" si="6">C4-C20</f>
        <v>1.2399999999906868</v>
      </c>
      <c r="D21" s="281">
        <f t="shared" si="6"/>
        <v>1.25</v>
      </c>
      <c r="E21" s="281">
        <f t="shared" si="6"/>
        <v>0.15000000002328306</v>
      </c>
      <c r="F21" s="285">
        <f t="shared" si="6"/>
        <v>1.6899999999441206</v>
      </c>
      <c r="G21" s="281">
        <f t="shared" si="6"/>
        <v>0.16000000014901161</v>
      </c>
      <c r="H21" s="281">
        <f t="shared" si="6"/>
        <v>-0.16999999992549419</v>
      </c>
      <c r="I21" s="285">
        <f t="shared" si="6"/>
        <v>-1</v>
      </c>
      <c r="J21" s="281">
        <f t="shared" si="6"/>
        <v>0</v>
      </c>
      <c r="K21" s="281">
        <f t="shared" si="6"/>
        <v>-0.34000000008381903</v>
      </c>
      <c r="L21" s="281">
        <f t="shared" si="6"/>
        <v>-0.27000000001862645</v>
      </c>
      <c r="M21" s="281">
        <f t="shared" si="6"/>
        <v>-0.16999999992549419</v>
      </c>
      <c r="N21" s="281">
        <f t="shared" si="6"/>
        <v>-0.45000000018626451</v>
      </c>
      <c r="O21" s="285">
        <f t="shared" si="6"/>
        <v>3.9999999979045242E-2</v>
      </c>
    </row>
    <row r="25" spans="1:16" x14ac:dyDescent="0.2">
      <c r="C25" s="281"/>
    </row>
    <row r="31" spans="1:16" x14ac:dyDescent="0.2">
      <c r="B31" s="277" t="s">
        <v>363</v>
      </c>
    </row>
    <row r="32" spans="1:16" x14ac:dyDescent="0.2">
      <c r="B32" s="277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9"/>
  <sheetViews>
    <sheetView zoomScale="130" zoomScaleNormal="130" workbookViewId="0">
      <selection activeCell="D25" sqref="D25"/>
    </sheetView>
  </sheetViews>
  <sheetFormatPr defaultRowHeight="11.25" x14ac:dyDescent="0.2"/>
  <cols>
    <col min="1" max="1" width="11.7109375" style="59" customWidth="1"/>
    <col min="2" max="3" width="8.7109375" style="59" customWidth="1"/>
    <col min="4" max="4" width="22.42578125" style="59" customWidth="1"/>
    <col min="5" max="5" width="8.7109375" style="59"/>
    <col min="6" max="6" width="12.42578125" style="59" customWidth="1"/>
    <col min="7" max="7" width="9.5703125" style="59" bestFit="1" customWidth="1"/>
    <col min="8" max="8" width="10.28515625" style="59" bestFit="1" customWidth="1"/>
    <col min="9" max="9" width="15.140625" style="60" customWidth="1"/>
    <col min="10" max="10" width="17.140625" style="61" customWidth="1"/>
    <col min="11" max="11" width="16.5703125" style="61" customWidth="1"/>
    <col min="12" max="12" width="11.140625" style="59" bestFit="1" customWidth="1"/>
    <col min="13" max="13" width="14.28515625" style="61" customWidth="1"/>
    <col min="14" max="14" width="17.85546875" style="60" customWidth="1"/>
    <col min="15" max="15" width="16.42578125" style="60" customWidth="1"/>
    <col min="16" max="16" width="12" style="59" customWidth="1"/>
    <col min="17" max="17" width="14.28515625" style="61" customWidth="1"/>
    <col min="18" max="18" width="17.85546875" style="60" customWidth="1"/>
    <col min="19" max="19" width="16.42578125" style="60" customWidth="1"/>
    <col min="20" max="20" width="12" style="59" customWidth="1"/>
    <col min="21" max="21" width="14.28515625" style="61" customWidth="1"/>
    <col min="22" max="22" width="17.85546875" style="60" customWidth="1"/>
    <col min="23" max="23" width="16.42578125" style="60" customWidth="1"/>
    <col min="24" max="24" width="12" style="59" customWidth="1"/>
    <col min="25" max="244" width="8.7109375" style="59"/>
    <col min="245" max="245" width="22.42578125" style="59" customWidth="1"/>
    <col min="246" max="246" width="8.7109375" style="59"/>
    <col min="247" max="247" width="12.42578125" style="59" customWidth="1"/>
    <col min="248" max="248" width="9.5703125" style="59" bestFit="1" customWidth="1"/>
    <col min="249" max="249" width="10.28515625" style="59" bestFit="1" customWidth="1"/>
    <col min="250" max="250" width="15.140625" style="59" customWidth="1"/>
    <col min="251" max="251" width="17.140625" style="59" customWidth="1"/>
    <col min="252" max="252" width="16.5703125" style="59" customWidth="1"/>
    <col min="253" max="253" width="10.7109375" style="59" customWidth="1"/>
    <col min="254" max="254" width="14.28515625" style="59" customWidth="1"/>
    <col min="255" max="255" width="17.85546875" style="59" customWidth="1"/>
    <col min="256" max="256" width="16.42578125" style="59" customWidth="1"/>
    <col min="257" max="257" width="12" style="59" customWidth="1"/>
    <col min="258" max="258" width="11.28515625" style="59" bestFit="1" customWidth="1"/>
    <col min="259" max="261" width="8.7109375" style="59"/>
    <col min="262" max="262" width="11.28515625" style="59" bestFit="1" customWidth="1"/>
    <col min="263" max="263" width="11.85546875" style="59" bestFit="1" customWidth="1"/>
    <col min="264" max="264" width="11.28515625" style="59" bestFit="1" customWidth="1"/>
    <col min="265" max="268" width="8.7109375" style="59"/>
    <col min="269" max="269" width="9.85546875" style="59" bestFit="1" customWidth="1"/>
    <col min="270" max="271" width="9.28515625" style="59" bestFit="1" customWidth="1"/>
    <col min="272" max="500" width="8.7109375" style="59"/>
    <col min="501" max="501" width="22.42578125" style="59" customWidth="1"/>
    <col min="502" max="502" width="8.7109375" style="59"/>
    <col min="503" max="503" width="12.42578125" style="59" customWidth="1"/>
    <col min="504" max="504" width="9.5703125" style="59" bestFit="1" customWidth="1"/>
    <col min="505" max="505" width="10.28515625" style="59" bestFit="1" customWidth="1"/>
    <col min="506" max="506" width="15.140625" style="59" customWidth="1"/>
    <col min="507" max="507" width="17.140625" style="59" customWidth="1"/>
    <col min="508" max="508" width="16.5703125" style="59" customWidth="1"/>
    <col min="509" max="509" width="10.7109375" style="59" customWidth="1"/>
    <col min="510" max="510" width="14.28515625" style="59" customWidth="1"/>
    <col min="511" max="511" width="17.85546875" style="59" customWidth="1"/>
    <col min="512" max="512" width="16.42578125" style="59" customWidth="1"/>
    <col min="513" max="513" width="12" style="59" customWidth="1"/>
    <col min="514" max="514" width="11.28515625" style="59" bestFit="1" customWidth="1"/>
    <col min="515" max="517" width="8.7109375" style="59"/>
    <col min="518" max="518" width="11.28515625" style="59" bestFit="1" customWidth="1"/>
    <col min="519" max="519" width="11.85546875" style="59" bestFit="1" customWidth="1"/>
    <col min="520" max="520" width="11.28515625" style="59" bestFit="1" customWidth="1"/>
    <col min="521" max="524" width="8.7109375" style="59"/>
    <col min="525" max="525" width="9.85546875" style="59" bestFit="1" customWidth="1"/>
    <col min="526" max="527" width="9.28515625" style="59" bestFit="1" customWidth="1"/>
    <col min="528" max="756" width="8.7109375" style="59"/>
    <col min="757" max="757" width="22.42578125" style="59" customWidth="1"/>
    <col min="758" max="758" width="8.7109375" style="59"/>
    <col min="759" max="759" width="12.42578125" style="59" customWidth="1"/>
    <col min="760" max="760" width="9.5703125" style="59" bestFit="1" customWidth="1"/>
    <col min="761" max="761" width="10.28515625" style="59" bestFit="1" customWidth="1"/>
    <col min="762" max="762" width="15.140625" style="59" customWidth="1"/>
    <col min="763" max="763" width="17.140625" style="59" customWidth="1"/>
    <col min="764" max="764" width="16.5703125" style="59" customWidth="1"/>
    <col min="765" max="765" width="10.7109375" style="59" customWidth="1"/>
    <col min="766" max="766" width="14.28515625" style="59" customWidth="1"/>
    <col min="767" max="767" width="17.85546875" style="59" customWidth="1"/>
    <col min="768" max="768" width="16.42578125" style="59" customWidth="1"/>
    <col min="769" max="769" width="12" style="59" customWidth="1"/>
    <col min="770" max="770" width="11.28515625" style="59" bestFit="1" customWidth="1"/>
    <col min="771" max="773" width="8.7109375" style="59"/>
    <col min="774" max="774" width="11.28515625" style="59" bestFit="1" customWidth="1"/>
    <col min="775" max="775" width="11.85546875" style="59" bestFit="1" customWidth="1"/>
    <col min="776" max="776" width="11.28515625" style="59" bestFit="1" customWidth="1"/>
    <col min="777" max="780" width="8.7109375" style="59"/>
    <col min="781" max="781" width="9.85546875" style="59" bestFit="1" customWidth="1"/>
    <col min="782" max="783" width="9.28515625" style="59" bestFit="1" customWidth="1"/>
    <col min="784" max="1012" width="8.7109375" style="59"/>
    <col min="1013" max="1013" width="22.42578125" style="59" customWidth="1"/>
    <col min="1014" max="1014" width="8.7109375" style="59"/>
    <col min="1015" max="1015" width="12.42578125" style="59" customWidth="1"/>
    <col min="1016" max="1016" width="9.5703125" style="59" bestFit="1" customWidth="1"/>
    <col min="1017" max="1017" width="10.28515625" style="59" bestFit="1" customWidth="1"/>
    <col min="1018" max="1018" width="15.140625" style="59" customWidth="1"/>
    <col min="1019" max="1019" width="17.140625" style="59" customWidth="1"/>
    <col min="1020" max="1020" width="16.5703125" style="59" customWidth="1"/>
    <col min="1021" max="1021" width="10.7109375" style="59" customWidth="1"/>
    <col min="1022" max="1022" width="14.28515625" style="59" customWidth="1"/>
    <col min="1023" max="1023" width="17.85546875" style="59" customWidth="1"/>
    <col min="1024" max="1024" width="16.42578125" style="59" customWidth="1"/>
    <col min="1025" max="1025" width="12" style="59" customWidth="1"/>
    <col min="1026" max="1026" width="11.28515625" style="59" bestFit="1" customWidth="1"/>
    <col min="1027" max="1029" width="8.7109375" style="59"/>
    <col min="1030" max="1030" width="11.28515625" style="59" bestFit="1" customWidth="1"/>
    <col min="1031" max="1031" width="11.85546875" style="59" bestFit="1" customWidth="1"/>
    <col min="1032" max="1032" width="11.28515625" style="59" bestFit="1" customWidth="1"/>
    <col min="1033" max="1036" width="8.7109375" style="59"/>
    <col min="1037" max="1037" width="9.85546875" style="59" bestFit="1" customWidth="1"/>
    <col min="1038" max="1039" width="9.28515625" style="59" bestFit="1" customWidth="1"/>
    <col min="1040" max="1268" width="8.7109375" style="59"/>
    <col min="1269" max="1269" width="22.42578125" style="59" customWidth="1"/>
    <col min="1270" max="1270" width="8.7109375" style="59"/>
    <col min="1271" max="1271" width="12.42578125" style="59" customWidth="1"/>
    <col min="1272" max="1272" width="9.5703125" style="59" bestFit="1" customWidth="1"/>
    <col min="1273" max="1273" width="10.28515625" style="59" bestFit="1" customWidth="1"/>
    <col min="1274" max="1274" width="15.140625" style="59" customWidth="1"/>
    <col min="1275" max="1275" width="17.140625" style="59" customWidth="1"/>
    <col min="1276" max="1276" width="16.5703125" style="59" customWidth="1"/>
    <col min="1277" max="1277" width="10.7109375" style="59" customWidth="1"/>
    <col min="1278" max="1278" width="14.28515625" style="59" customWidth="1"/>
    <col min="1279" max="1279" width="17.85546875" style="59" customWidth="1"/>
    <col min="1280" max="1280" width="16.42578125" style="59" customWidth="1"/>
    <col min="1281" max="1281" width="12" style="59" customWidth="1"/>
    <col min="1282" max="1282" width="11.28515625" style="59" bestFit="1" customWidth="1"/>
    <col min="1283" max="1285" width="8.7109375" style="59"/>
    <col min="1286" max="1286" width="11.28515625" style="59" bestFit="1" customWidth="1"/>
    <col min="1287" max="1287" width="11.85546875" style="59" bestFit="1" customWidth="1"/>
    <col min="1288" max="1288" width="11.28515625" style="59" bestFit="1" customWidth="1"/>
    <col min="1289" max="1292" width="8.7109375" style="59"/>
    <col min="1293" max="1293" width="9.85546875" style="59" bestFit="1" customWidth="1"/>
    <col min="1294" max="1295" width="9.28515625" style="59" bestFit="1" customWidth="1"/>
    <col min="1296" max="1524" width="8.7109375" style="59"/>
    <col min="1525" max="1525" width="22.42578125" style="59" customWidth="1"/>
    <col min="1526" max="1526" width="8.7109375" style="59"/>
    <col min="1527" max="1527" width="12.42578125" style="59" customWidth="1"/>
    <col min="1528" max="1528" width="9.5703125" style="59" bestFit="1" customWidth="1"/>
    <col min="1529" max="1529" width="10.28515625" style="59" bestFit="1" customWidth="1"/>
    <col min="1530" max="1530" width="15.140625" style="59" customWidth="1"/>
    <col min="1531" max="1531" width="17.140625" style="59" customWidth="1"/>
    <col min="1532" max="1532" width="16.5703125" style="59" customWidth="1"/>
    <col min="1533" max="1533" width="10.7109375" style="59" customWidth="1"/>
    <col min="1534" max="1534" width="14.28515625" style="59" customWidth="1"/>
    <col min="1535" max="1535" width="17.85546875" style="59" customWidth="1"/>
    <col min="1536" max="1536" width="16.42578125" style="59" customWidth="1"/>
    <col min="1537" max="1537" width="12" style="59" customWidth="1"/>
    <col min="1538" max="1538" width="11.28515625" style="59" bestFit="1" customWidth="1"/>
    <col min="1539" max="1541" width="8.7109375" style="59"/>
    <col min="1542" max="1542" width="11.28515625" style="59" bestFit="1" customWidth="1"/>
    <col min="1543" max="1543" width="11.85546875" style="59" bestFit="1" customWidth="1"/>
    <col min="1544" max="1544" width="11.28515625" style="59" bestFit="1" customWidth="1"/>
    <col min="1545" max="1548" width="8.7109375" style="59"/>
    <col min="1549" max="1549" width="9.85546875" style="59" bestFit="1" customWidth="1"/>
    <col min="1550" max="1551" width="9.28515625" style="59" bestFit="1" customWidth="1"/>
    <col min="1552" max="1780" width="8.7109375" style="59"/>
    <col min="1781" max="1781" width="22.42578125" style="59" customWidth="1"/>
    <col min="1782" max="1782" width="8.7109375" style="59"/>
    <col min="1783" max="1783" width="12.42578125" style="59" customWidth="1"/>
    <col min="1784" max="1784" width="9.5703125" style="59" bestFit="1" customWidth="1"/>
    <col min="1785" max="1785" width="10.28515625" style="59" bestFit="1" customWidth="1"/>
    <col min="1786" max="1786" width="15.140625" style="59" customWidth="1"/>
    <col min="1787" max="1787" width="17.140625" style="59" customWidth="1"/>
    <col min="1788" max="1788" width="16.5703125" style="59" customWidth="1"/>
    <col min="1789" max="1789" width="10.7109375" style="59" customWidth="1"/>
    <col min="1790" max="1790" width="14.28515625" style="59" customWidth="1"/>
    <col min="1791" max="1791" width="17.85546875" style="59" customWidth="1"/>
    <col min="1792" max="1792" width="16.42578125" style="59" customWidth="1"/>
    <col min="1793" max="1793" width="12" style="59" customWidth="1"/>
    <col min="1794" max="1794" width="11.28515625" style="59" bestFit="1" customWidth="1"/>
    <col min="1795" max="1797" width="8.7109375" style="59"/>
    <col min="1798" max="1798" width="11.28515625" style="59" bestFit="1" customWidth="1"/>
    <col min="1799" max="1799" width="11.85546875" style="59" bestFit="1" customWidth="1"/>
    <col min="1800" max="1800" width="11.28515625" style="59" bestFit="1" customWidth="1"/>
    <col min="1801" max="1804" width="8.7109375" style="59"/>
    <col min="1805" max="1805" width="9.85546875" style="59" bestFit="1" customWidth="1"/>
    <col min="1806" max="1807" width="9.28515625" style="59" bestFit="1" customWidth="1"/>
    <col min="1808" max="2036" width="8.7109375" style="59"/>
    <col min="2037" max="2037" width="22.42578125" style="59" customWidth="1"/>
    <col min="2038" max="2038" width="8.7109375" style="59"/>
    <col min="2039" max="2039" width="12.42578125" style="59" customWidth="1"/>
    <col min="2040" max="2040" width="9.5703125" style="59" bestFit="1" customWidth="1"/>
    <col min="2041" max="2041" width="10.28515625" style="59" bestFit="1" customWidth="1"/>
    <col min="2042" max="2042" width="15.140625" style="59" customWidth="1"/>
    <col min="2043" max="2043" width="17.140625" style="59" customWidth="1"/>
    <col min="2044" max="2044" width="16.5703125" style="59" customWidth="1"/>
    <col min="2045" max="2045" width="10.7109375" style="59" customWidth="1"/>
    <col min="2046" max="2046" width="14.28515625" style="59" customWidth="1"/>
    <col min="2047" max="2047" width="17.85546875" style="59" customWidth="1"/>
    <col min="2048" max="2048" width="16.42578125" style="59" customWidth="1"/>
    <col min="2049" max="2049" width="12" style="59" customWidth="1"/>
    <col min="2050" max="2050" width="11.28515625" style="59" bestFit="1" customWidth="1"/>
    <col min="2051" max="2053" width="8.7109375" style="59"/>
    <col min="2054" max="2054" width="11.28515625" style="59" bestFit="1" customWidth="1"/>
    <col min="2055" max="2055" width="11.85546875" style="59" bestFit="1" customWidth="1"/>
    <col min="2056" max="2056" width="11.28515625" style="59" bestFit="1" customWidth="1"/>
    <col min="2057" max="2060" width="8.7109375" style="59"/>
    <col min="2061" max="2061" width="9.85546875" style="59" bestFit="1" customWidth="1"/>
    <col min="2062" max="2063" width="9.28515625" style="59" bestFit="1" customWidth="1"/>
    <col min="2064" max="2292" width="8.7109375" style="59"/>
    <col min="2293" max="2293" width="22.42578125" style="59" customWidth="1"/>
    <col min="2294" max="2294" width="8.7109375" style="59"/>
    <col min="2295" max="2295" width="12.42578125" style="59" customWidth="1"/>
    <col min="2296" max="2296" width="9.5703125" style="59" bestFit="1" customWidth="1"/>
    <col min="2297" max="2297" width="10.28515625" style="59" bestFit="1" customWidth="1"/>
    <col min="2298" max="2298" width="15.140625" style="59" customWidth="1"/>
    <col min="2299" max="2299" width="17.140625" style="59" customWidth="1"/>
    <col min="2300" max="2300" width="16.5703125" style="59" customWidth="1"/>
    <col min="2301" max="2301" width="10.7109375" style="59" customWidth="1"/>
    <col min="2302" max="2302" width="14.28515625" style="59" customWidth="1"/>
    <col min="2303" max="2303" width="17.85546875" style="59" customWidth="1"/>
    <col min="2304" max="2304" width="16.42578125" style="59" customWidth="1"/>
    <col min="2305" max="2305" width="12" style="59" customWidth="1"/>
    <col min="2306" max="2306" width="11.28515625" style="59" bestFit="1" customWidth="1"/>
    <col min="2307" max="2309" width="8.7109375" style="59"/>
    <col min="2310" max="2310" width="11.28515625" style="59" bestFit="1" customWidth="1"/>
    <col min="2311" max="2311" width="11.85546875" style="59" bestFit="1" customWidth="1"/>
    <col min="2312" max="2312" width="11.28515625" style="59" bestFit="1" customWidth="1"/>
    <col min="2313" max="2316" width="8.7109375" style="59"/>
    <col min="2317" max="2317" width="9.85546875" style="59" bestFit="1" customWidth="1"/>
    <col min="2318" max="2319" width="9.28515625" style="59" bestFit="1" customWidth="1"/>
    <col min="2320" max="2548" width="8.7109375" style="59"/>
    <col min="2549" max="2549" width="22.42578125" style="59" customWidth="1"/>
    <col min="2550" max="2550" width="8.7109375" style="59"/>
    <col min="2551" max="2551" width="12.42578125" style="59" customWidth="1"/>
    <col min="2552" max="2552" width="9.5703125" style="59" bestFit="1" customWidth="1"/>
    <col min="2553" max="2553" width="10.28515625" style="59" bestFit="1" customWidth="1"/>
    <col min="2554" max="2554" width="15.140625" style="59" customWidth="1"/>
    <col min="2555" max="2555" width="17.140625" style="59" customWidth="1"/>
    <col min="2556" max="2556" width="16.5703125" style="59" customWidth="1"/>
    <col min="2557" max="2557" width="10.7109375" style="59" customWidth="1"/>
    <col min="2558" max="2558" width="14.28515625" style="59" customWidth="1"/>
    <col min="2559" max="2559" width="17.85546875" style="59" customWidth="1"/>
    <col min="2560" max="2560" width="16.42578125" style="59" customWidth="1"/>
    <col min="2561" max="2561" width="12" style="59" customWidth="1"/>
    <col min="2562" max="2562" width="11.28515625" style="59" bestFit="1" customWidth="1"/>
    <col min="2563" max="2565" width="8.7109375" style="59"/>
    <col min="2566" max="2566" width="11.28515625" style="59" bestFit="1" customWidth="1"/>
    <col min="2567" max="2567" width="11.85546875" style="59" bestFit="1" customWidth="1"/>
    <col min="2568" max="2568" width="11.28515625" style="59" bestFit="1" customWidth="1"/>
    <col min="2569" max="2572" width="8.7109375" style="59"/>
    <col min="2573" max="2573" width="9.85546875" style="59" bestFit="1" customWidth="1"/>
    <col min="2574" max="2575" width="9.28515625" style="59" bestFit="1" customWidth="1"/>
    <col min="2576" max="2804" width="8.7109375" style="59"/>
    <col min="2805" max="2805" width="22.42578125" style="59" customWidth="1"/>
    <col min="2806" max="2806" width="8.7109375" style="59"/>
    <col min="2807" max="2807" width="12.42578125" style="59" customWidth="1"/>
    <col min="2808" max="2808" width="9.5703125" style="59" bestFit="1" customWidth="1"/>
    <col min="2809" max="2809" width="10.28515625" style="59" bestFit="1" customWidth="1"/>
    <col min="2810" max="2810" width="15.140625" style="59" customWidth="1"/>
    <col min="2811" max="2811" width="17.140625" style="59" customWidth="1"/>
    <col min="2812" max="2812" width="16.5703125" style="59" customWidth="1"/>
    <col min="2813" max="2813" width="10.7109375" style="59" customWidth="1"/>
    <col min="2814" max="2814" width="14.28515625" style="59" customWidth="1"/>
    <col min="2815" max="2815" width="17.85546875" style="59" customWidth="1"/>
    <col min="2816" max="2816" width="16.42578125" style="59" customWidth="1"/>
    <col min="2817" max="2817" width="12" style="59" customWidth="1"/>
    <col min="2818" max="2818" width="11.28515625" style="59" bestFit="1" customWidth="1"/>
    <col min="2819" max="2821" width="8.7109375" style="59"/>
    <col min="2822" max="2822" width="11.28515625" style="59" bestFit="1" customWidth="1"/>
    <col min="2823" max="2823" width="11.85546875" style="59" bestFit="1" customWidth="1"/>
    <col min="2824" max="2824" width="11.28515625" style="59" bestFit="1" customWidth="1"/>
    <col min="2825" max="2828" width="8.7109375" style="59"/>
    <col min="2829" max="2829" width="9.85546875" style="59" bestFit="1" customWidth="1"/>
    <col min="2830" max="2831" width="9.28515625" style="59" bestFit="1" customWidth="1"/>
    <col min="2832" max="3060" width="8.7109375" style="59"/>
    <col min="3061" max="3061" width="22.42578125" style="59" customWidth="1"/>
    <col min="3062" max="3062" width="8.7109375" style="59"/>
    <col min="3063" max="3063" width="12.42578125" style="59" customWidth="1"/>
    <col min="3064" max="3064" width="9.5703125" style="59" bestFit="1" customWidth="1"/>
    <col min="3065" max="3065" width="10.28515625" style="59" bestFit="1" customWidth="1"/>
    <col min="3066" max="3066" width="15.140625" style="59" customWidth="1"/>
    <col min="3067" max="3067" width="17.140625" style="59" customWidth="1"/>
    <col min="3068" max="3068" width="16.5703125" style="59" customWidth="1"/>
    <col min="3069" max="3069" width="10.7109375" style="59" customWidth="1"/>
    <col min="3070" max="3070" width="14.28515625" style="59" customWidth="1"/>
    <col min="3071" max="3071" width="17.85546875" style="59" customWidth="1"/>
    <col min="3072" max="3072" width="16.42578125" style="59" customWidth="1"/>
    <col min="3073" max="3073" width="12" style="59" customWidth="1"/>
    <col min="3074" max="3074" width="11.28515625" style="59" bestFit="1" customWidth="1"/>
    <col min="3075" max="3077" width="8.7109375" style="59"/>
    <col min="3078" max="3078" width="11.28515625" style="59" bestFit="1" customWidth="1"/>
    <col min="3079" max="3079" width="11.85546875" style="59" bestFit="1" customWidth="1"/>
    <col min="3080" max="3080" width="11.28515625" style="59" bestFit="1" customWidth="1"/>
    <col min="3081" max="3084" width="8.7109375" style="59"/>
    <col min="3085" max="3085" width="9.85546875" style="59" bestFit="1" customWidth="1"/>
    <col min="3086" max="3087" width="9.28515625" style="59" bestFit="1" customWidth="1"/>
    <col min="3088" max="3316" width="8.7109375" style="59"/>
    <col min="3317" max="3317" width="22.42578125" style="59" customWidth="1"/>
    <col min="3318" max="3318" width="8.7109375" style="59"/>
    <col min="3319" max="3319" width="12.42578125" style="59" customWidth="1"/>
    <col min="3320" max="3320" width="9.5703125" style="59" bestFit="1" customWidth="1"/>
    <col min="3321" max="3321" width="10.28515625" style="59" bestFit="1" customWidth="1"/>
    <col min="3322" max="3322" width="15.140625" style="59" customWidth="1"/>
    <col min="3323" max="3323" width="17.140625" style="59" customWidth="1"/>
    <col min="3324" max="3324" width="16.5703125" style="59" customWidth="1"/>
    <col min="3325" max="3325" width="10.7109375" style="59" customWidth="1"/>
    <col min="3326" max="3326" width="14.28515625" style="59" customWidth="1"/>
    <col min="3327" max="3327" width="17.85546875" style="59" customWidth="1"/>
    <col min="3328" max="3328" width="16.42578125" style="59" customWidth="1"/>
    <col min="3329" max="3329" width="12" style="59" customWidth="1"/>
    <col min="3330" max="3330" width="11.28515625" style="59" bestFit="1" customWidth="1"/>
    <col min="3331" max="3333" width="8.7109375" style="59"/>
    <col min="3334" max="3334" width="11.28515625" style="59" bestFit="1" customWidth="1"/>
    <col min="3335" max="3335" width="11.85546875" style="59" bestFit="1" customWidth="1"/>
    <col min="3336" max="3336" width="11.28515625" style="59" bestFit="1" customWidth="1"/>
    <col min="3337" max="3340" width="8.7109375" style="59"/>
    <col min="3341" max="3341" width="9.85546875" style="59" bestFit="1" customWidth="1"/>
    <col min="3342" max="3343" width="9.28515625" style="59" bestFit="1" customWidth="1"/>
    <col min="3344" max="3572" width="8.7109375" style="59"/>
    <col min="3573" max="3573" width="22.42578125" style="59" customWidth="1"/>
    <col min="3574" max="3574" width="8.7109375" style="59"/>
    <col min="3575" max="3575" width="12.42578125" style="59" customWidth="1"/>
    <col min="3576" max="3576" width="9.5703125" style="59" bestFit="1" customWidth="1"/>
    <col min="3577" max="3577" width="10.28515625" style="59" bestFit="1" customWidth="1"/>
    <col min="3578" max="3578" width="15.140625" style="59" customWidth="1"/>
    <col min="3579" max="3579" width="17.140625" style="59" customWidth="1"/>
    <col min="3580" max="3580" width="16.5703125" style="59" customWidth="1"/>
    <col min="3581" max="3581" width="10.7109375" style="59" customWidth="1"/>
    <col min="3582" max="3582" width="14.28515625" style="59" customWidth="1"/>
    <col min="3583" max="3583" width="17.85546875" style="59" customWidth="1"/>
    <col min="3584" max="3584" width="16.42578125" style="59" customWidth="1"/>
    <col min="3585" max="3585" width="12" style="59" customWidth="1"/>
    <col min="3586" max="3586" width="11.28515625" style="59" bestFit="1" customWidth="1"/>
    <col min="3587" max="3589" width="8.7109375" style="59"/>
    <col min="3590" max="3590" width="11.28515625" style="59" bestFit="1" customWidth="1"/>
    <col min="3591" max="3591" width="11.85546875" style="59" bestFit="1" customWidth="1"/>
    <col min="3592" max="3592" width="11.28515625" style="59" bestFit="1" customWidth="1"/>
    <col min="3593" max="3596" width="8.7109375" style="59"/>
    <col min="3597" max="3597" width="9.85546875" style="59" bestFit="1" customWidth="1"/>
    <col min="3598" max="3599" width="9.28515625" style="59" bestFit="1" customWidth="1"/>
    <col min="3600" max="3828" width="8.7109375" style="59"/>
    <col min="3829" max="3829" width="22.42578125" style="59" customWidth="1"/>
    <col min="3830" max="3830" width="8.7109375" style="59"/>
    <col min="3831" max="3831" width="12.42578125" style="59" customWidth="1"/>
    <col min="3832" max="3832" width="9.5703125" style="59" bestFit="1" customWidth="1"/>
    <col min="3833" max="3833" width="10.28515625" style="59" bestFit="1" customWidth="1"/>
    <col min="3834" max="3834" width="15.140625" style="59" customWidth="1"/>
    <col min="3835" max="3835" width="17.140625" style="59" customWidth="1"/>
    <col min="3836" max="3836" width="16.5703125" style="59" customWidth="1"/>
    <col min="3837" max="3837" width="10.7109375" style="59" customWidth="1"/>
    <col min="3838" max="3838" width="14.28515625" style="59" customWidth="1"/>
    <col min="3839" max="3839" width="17.85546875" style="59" customWidth="1"/>
    <col min="3840" max="3840" width="16.42578125" style="59" customWidth="1"/>
    <col min="3841" max="3841" width="12" style="59" customWidth="1"/>
    <col min="3842" max="3842" width="11.28515625" style="59" bestFit="1" customWidth="1"/>
    <col min="3843" max="3845" width="8.7109375" style="59"/>
    <col min="3846" max="3846" width="11.28515625" style="59" bestFit="1" customWidth="1"/>
    <col min="3847" max="3847" width="11.85546875" style="59" bestFit="1" customWidth="1"/>
    <col min="3848" max="3848" width="11.28515625" style="59" bestFit="1" customWidth="1"/>
    <col min="3849" max="3852" width="8.7109375" style="59"/>
    <col min="3853" max="3853" width="9.85546875" style="59" bestFit="1" customWidth="1"/>
    <col min="3854" max="3855" width="9.28515625" style="59" bestFit="1" customWidth="1"/>
    <col min="3856" max="4084" width="8.7109375" style="59"/>
    <col min="4085" max="4085" width="22.42578125" style="59" customWidth="1"/>
    <col min="4086" max="4086" width="8.7109375" style="59"/>
    <col min="4087" max="4087" width="12.42578125" style="59" customWidth="1"/>
    <col min="4088" max="4088" width="9.5703125" style="59" bestFit="1" customWidth="1"/>
    <col min="4089" max="4089" width="10.28515625" style="59" bestFit="1" customWidth="1"/>
    <col min="4090" max="4090" width="15.140625" style="59" customWidth="1"/>
    <col min="4091" max="4091" width="17.140625" style="59" customWidth="1"/>
    <col min="4092" max="4092" width="16.5703125" style="59" customWidth="1"/>
    <col min="4093" max="4093" width="10.7109375" style="59" customWidth="1"/>
    <col min="4094" max="4094" width="14.28515625" style="59" customWidth="1"/>
    <col min="4095" max="4095" width="17.85546875" style="59" customWidth="1"/>
    <col min="4096" max="4096" width="16.42578125" style="59" customWidth="1"/>
    <col min="4097" max="4097" width="12" style="59" customWidth="1"/>
    <col min="4098" max="4098" width="11.28515625" style="59" bestFit="1" customWidth="1"/>
    <col min="4099" max="4101" width="8.7109375" style="59"/>
    <col min="4102" max="4102" width="11.28515625" style="59" bestFit="1" customWidth="1"/>
    <col min="4103" max="4103" width="11.85546875" style="59" bestFit="1" customWidth="1"/>
    <col min="4104" max="4104" width="11.28515625" style="59" bestFit="1" customWidth="1"/>
    <col min="4105" max="4108" width="8.7109375" style="59"/>
    <col min="4109" max="4109" width="9.85546875" style="59" bestFit="1" customWidth="1"/>
    <col min="4110" max="4111" width="9.28515625" style="59" bestFit="1" customWidth="1"/>
    <col min="4112" max="4340" width="8.7109375" style="59"/>
    <col min="4341" max="4341" width="22.42578125" style="59" customWidth="1"/>
    <col min="4342" max="4342" width="8.7109375" style="59"/>
    <col min="4343" max="4343" width="12.42578125" style="59" customWidth="1"/>
    <col min="4344" max="4344" width="9.5703125" style="59" bestFit="1" customWidth="1"/>
    <col min="4345" max="4345" width="10.28515625" style="59" bestFit="1" customWidth="1"/>
    <col min="4346" max="4346" width="15.140625" style="59" customWidth="1"/>
    <col min="4347" max="4347" width="17.140625" style="59" customWidth="1"/>
    <col min="4348" max="4348" width="16.5703125" style="59" customWidth="1"/>
    <col min="4349" max="4349" width="10.7109375" style="59" customWidth="1"/>
    <col min="4350" max="4350" width="14.28515625" style="59" customWidth="1"/>
    <col min="4351" max="4351" width="17.85546875" style="59" customWidth="1"/>
    <col min="4352" max="4352" width="16.42578125" style="59" customWidth="1"/>
    <col min="4353" max="4353" width="12" style="59" customWidth="1"/>
    <col min="4354" max="4354" width="11.28515625" style="59" bestFit="1" customWidth="1"/>
    <col min="4355" max="4357" width="8.7109375" style="59"/>
    <col min="4358" max="4358" width="11.28515625" style="59" bestFit="1" customWidth="1"/>
    <col min="4359" max="4359" width="11.85546875" style="59" bestFit="1" customWidth="1"/>
    <col min="4360" max="4360" width="11.28515625" style="59" bestFit="1" customWidth="1"/>
    <col min="4361" max="4364" width="8.7109375" style="59"/>
    <col min="4365" max="4365" width="9.85546875" style="59" bestFit="1" customWidth="1"/>
    <col min="4366" max="4367" width="9.28515625" style="59" bestFit="1" customWidth="1"/>
    <col min="4368" max="4596" width="8.7109375" style="59"/>
    <col min="4597" max="4597" width="22.42578125" style="59" customWidth="1"/>
    <col min="4598" max="4598" width="8.7109375" style="59"/>
    <col min="4599" max="4599" width="12.42578125" style="59" customWidth="1"/>
    <col min="4600" max="4600" width="9.5703125" style="59" bestFit="1" customWidth="1"/>
    <col min="4601" max="4601" width="10.28515625" style="59" bestFit="1" customWidth="1"/>
    <col min="4602" max="4602" width="15.140625" style="59" customWidth="1"/>
    <col min="4603" max="4603" width="17.140625" style="59" customWidth="1"/>
    <col min="4604" max="4604" width="16.5703125" style="59" customWidth="1"/>
    <col min="4605" max="4605" width="10.7109375" style="59" customWidth="1"/>
    <col min="4606" max="4606" width="14.28515625" style="59" customWidth="1"/>
    <col min="4607" max="4607" width="17.85546875" style="59" customWidth="1"/>
    <col min="4608" max="4608" width="16.42578125" style="59" customWidth="1"/>
    <col min="4609" max="4609" width="12" style="59" customWidth="1"/>
    <col min="4610" max="4610" width="11.28515625" style="59" bestFit="1" customWidth="1"/>
    <col min="4611" max="4613" width="8.7109375" style="59"/>
    <col min="4614" max="4614" width="11.28515625" style="59" bestFit="1" customWidth="1"/>
    <col min="4615" max="4615" width="11.85546875" style="59" bestFit="1" customWidth="1"/>
    <col min="4616" max="4616" width="11.28515625" style="59" bestFit="1" customWidth="1"/>
    <col min="4617" max="4620" width="8.7109375" style="59"/>
    <col min="4621" max="4621" width="9.85546875" style="59" bestFit="1" customWidth="1"/>
    <col min="4622" max="4623" width="9.28515625" style="59" bestFit="1" customWidth="1"/>
    <col min="4624" max="4852" width="8.7109375" style="59"/>
    <col min="4853" max="4853" width="22.42578125" style="59" customWidth="1"/>
    <col min="4854" max="4854" width="8.7109375" style="59"/>
    <col min="4855" max="4855" width="12.42578125" style="59" customWidth="1"/>
    <col min="4856" max="4856" width="9.5703125" style="59" bestFit="1" customWidth="1"/>
    <col min="4857" max="4857" width="10.28515625" style="59" bestFit="1" customWidth="1"/>
    <col min="4858" max="4858" width="15.140625" style="59" customWidth="1"/>
    <col min="4859" max="4859" width="17.140625" style="59" customWidth="1"/>
    <col min="4860" max="4860" width="16.5703125" style="59" customWidth="1"/>
    <col min="4861" max="4861" width="10.7109375" style="59" customWidth="1"/>
    <col min="4862" max="4862" width="14.28515625" style="59" customWidth="1"/>
    <col min="4863" max="4863" width="17.85546875" style="59" customWidth="1"/>
    <col min="4864" max="4864" width="16.42578125" style="59" customWidth="1"/>
    <col min="4865" max="4865" width="12" style="59" customWidth="1"/>
    <col min="4866" max="4866" width="11.28515625" style="59" bestFit="1" customWidth="1"/>
    <col min="4867" max="4869" width="8.7109375" style="59"/>
    <col min="4870" max="4870" width="11.28515625" style="59" bestFit="1" customWidth="1"/>
    <col min="4871" max="4871" width="11.85546875" style="59" bestFit="1" customWidth="1"/>
    <col min="4872" max="4872" width="11.28515625" style="59" bestFit="1" customWidth="1"/>
    <col min="4873" max="4876" width="8.7109375" style="59"/>
    <col min="4877" max="4877" width="9.85546875" style="59" bestFit="1" customWidth="1"/>
    <col min="4878" max="4879" width="9.28515625" style="59" bestFit="1" customWidth="1"/>
    <col min="4880" max="5108" width="8.7109375" style="59"/>
    <col min="5109" max="5109" width="22.42578125" style="59" customWidth="1"/>
    <col min="5110" max="5110" width="8.7109375" style="59"/>
    <col min="5111" max="5111" width="12.42578125" style="59" customWidth="1"/>
    <col min="5112" max="5112" width="9.5703125" style="59" bestFit="1" customWidth="1"/>
    <col min="5113" max="5113" width="10.28515625" style="59" bestFit="1" customWidth="1"/>
    <col min="5114" max="5114" width="15.140625" style="59" customWidth="1"/>
    <col min="5115" max="5115" width="17.140625" style="59" customWidth="1"/>
    <col min="5116" max="5116" width="16.5703125" style="59" customWidth="1"/>
    <col min="5117" max="5117" width="10.7109375" style="59" customWidth="1"/>
    <col min="5118" max="5118" width="14.28515625" style="59" customWidth="1"/>
    <col min="5119" max="5119" width="17.85546875" style="59" customWidth="1"/>
    <col min="5120" max="5120" width="16.42578125" style="59" customWidth="1"/>
    <col min="5121" max="5121" width="12" style="59" customWidth="1"/>
    <col min="5122" max="5122" width="11.28515625" style="59" bestFit="1" customWidth="1"/>
    <col min="5123" max="5125" width="8.7109375" style="59"/>
    <col min="5126" max="5126" width="11.28515625" style="59" bestFit="1" customWidth="1"/>
    <col min="5127" max="5127" width="11.85546875" style="59" bestFit="1" customWidth="1"/>
    <col min="5128" max="5128" width="11.28515625" style="59" bestFit="1" customWidth="1"/>
    <col min="5129" max="5132" width="8.7109375" style="59"/>
    <col min="5133" max="5133" width="9.85546875" style="59" bestFit="1" customWidth="1"/>
    <col min="5134" max="5135" width="9.28515625" style="59" bestFit="1" customWidth="1"/>
    <col min="5136" max="5364" width="8.7109375" style="59"/>
    <col min="5365" max="5365" width="22.42578125" style="59" customWidth="1"/>
    <col min="5366" max="5366" width="8.7109375" style="59"/>
    <col min="5367" max="5367" width="12.42578125" style="59" customWidth="1"/>
    <col min="5368" max="5368" width="9.5703125" style="59" bestFit="1" customWidth="1"/>
    <col min="5369" max="5369" width="10.28515625" style="59" bestFit="1" customWidth="1"/>
    <col min="5370" max="5370" width="15.140625" style="59" customWidth="1"/>
    <col min="5371" max="5371" width="17.140625" style="59" customWidth="1"/>
    <col min="5372" max="5372" width="16.5703125" style="59" customWidth="1"/>
    <col min="5373" max="5373" width="10.7109375" style="59" customWidth="1"/>
    <col min="5374" max="5374" width="14.28515625" style="59" customWidth="1"/>
    <col min="5375" max="5375" width="17.85546875" style="59" customWidth="1"/>
    <col min="5376" max="5376" width="16.42578125" style="59" customWidth="1"/>
    <col min="5377" max="5377" width="12" style="59" customWidth="1"/>
    <col min="5378" max="5378" width="11.28515625" style="59" bestFit="1" customWidth="1"/>
    <col min="5379" max="5381" width="8.7109375" style="59"/>
    <col min="5382" max="5382" width="11.28515625" style="59" bestFit="1" customWidth="1"/>
    <col min="5383" max="5383" width="11.85546875" style="59" bestFit="1" customWidth="1"/>
    <col min="5384" max="5384" width="11.28515625" style="59" bestFit="1" customWidth="1"/>
    <col min="5385" max="5388" width="8.7109375" style="59"/>
    <col min="5389" max="5389" width="9.85546875" style="59" bestFit="1" customWidth="1"/>
    <col min="5390" max="5391" width="9.28515625" style="59" bestFit="1" customWidth="1"/>
    <col min="5392" max="5620" width="8.7109375" style="59"/>
    <col min="5621" max="5621" width="22.42578125" style="59" customWidth="1"/>
    <col min="5622" max="5622" width="8.7109375" style="59"/>
    <col min="5623" max="5623" width="12.42578125" style="59" customWidth="1"/>
    <col min="5624" max="5624" width="9.5703125" style="59" bestFit="1" customWidth="1"/>
    <col min="5625" max="5625" width="10.28515625" style="59" bestFit="1" customWidth="1"/>
    <col min="5626" max="5626" width="15.140625" style="59" customWidth="1"/>
    <col min="5627" max="5627" width="17.140625" style="59" customWidth="1"/>
    <col min="5628" max="5628" width="16.5703125" style="59" customWidth="1"/>
    <col min="5629" max="5629" width="10.7109375" style="59" customWidth="1"/>
    <col min="5630" max="5630" width="14.28515625" style="59" customWidth="1"/>
    <col min="5631" max="5631" width="17.85546875" style="59" customWidth="1"/>
    <col min="5632" max="5632" width="16.42578125" style="59" customWidth="1"/>
    <col min="5633" max="5633" width="12" style="59" customWidth="1"/>
    <col min="5634" max="5634" width="11.28515625" style="59" bestFit="1" customWidth="1"/>
    <col min="5635" max="5637" width="8.7109375" style="59"/>
    <col min="5638" max="5638" width="11.28515625" style="59" bestFit="1" customWidth="1"/>
    <col min="5639" max="5639" width="11.85546875" style="59" bestFit="1" customWidth="1"/>
    <col min="5640" max="5640" width="11.28515625" style="59" bestFit="1" customWidth="1"/>
    <col min="5641" max="5644" width="8.7109375" style="59"/>
    <col min="5645" max="5645" width="9.85546875" style="59" bestFit="1" customWidth="1"/>
    <col min="5646" max="5647" width="9.28515625" style="59" bestFit="1" customWidth="1"/>
    <col min="5648" max="5876" width="8.7109375" style="59"/>
    <col min="5877" max="5877" width="22.42578125" style="59" customWidth="1"/>
    <col min="5878" max="5878" width="8.7109375" style="59"/>
    <col min="5879" max="5879" width="12.42578125" style="59" customWidth="1"/>
    <col min="5880" max="5880" width="9.5703125" style="59" bestFit="1" customWidth="1"/>
    <col min="5881" max="5881" width="10.28515625" style="59" bestFit="1" customWidth="1"/>
    <col min="5882" max="5882" width="15.140625" style="59" customWidth="1"/>
    <col min="5883" max="5883" width="17.140625" style="59" customWidth="1"/>
    <col min="5884" max="5884" width="16.5703125" style="59" customWidth="1"/>
    <col min="5885" max="5885" width="10.7109375" style="59" customWidth="1"/>
    <col min="5886" max="5886" width="14.28515625" style="59" customWidth="1"/>
    <col min="5887" max="5887" width="17.85546875" style="59" customWidth="1"/>
    <col min="5888" max="5888" width="16.42578125" style="59" customWidth="1"/>
    <col min="5889" max="5889" width="12" style="59" customWidth="1"/>
    <col min="5890" max="5890" width="11.28515625" style="59" bestFit="1" customWidth="1"/>
    <col min="5891" max="5893" width="8.7109375" style="59"/>
    <col min="5894" max="5894" width="11.28515625" style="59" bestFit="1" customWidth="1"/>
    <col min="5895" max="5895" width="11.85546875" style="59" bestFit="1" customWidth="1"/>
    <col min="5896" max="5896" width="11.28515625" style="59" bestFit="1" customWidth="1"/>
    <col min="5897" max="5900" width="8.7109375" style="59"/>
    <col min="5901" max="5901" width="9.85546875" style="59" bestFit="1" customWidth="1"/>
    <col min="5902" max="5903" width="9.28515625" style="59" bestFit="1" customWidth="1"/>
    <col min="5904" max="6132" width="8.7109375" style="59"/>
    <col min="6133" max="6133" width="22.42578125" style="59" customWidth="1"/>
    <col min="6134" max="6134" width="8.7109375" style="59"/>
    <col min="6135" max="6135" width="12.42578125" style="59" customWidth="1"/>
    <col min="6136" max="6136" width="9.5703125" style="59" bestFit="1" customWidth="1"/>
    <col min="6137" max="6137" width="10.28515625" style="59" bestFit="1" customWidth="1"/>
    <col min="6138" max="6138" width="15.140625" style="59" customWidth="1"/>
    <col min="6139" max="6139" width="17.140625" style="59" customWidth="1"/>
    <col min="6140" max="6140" width="16.5703125" style="59" customWidth="1"/>
    <col min="6141" max="6141" width="10.7109375" style="59" customWidth="1"/>
    <col min="6142" max="6142" width="14.28515625" style="59" customWidth="1"/>
    <col min="6143" max="6143" width="17.85546875" style="59" customWidth="1"/>
    <col min="6144" max="6144" width="16.42578125" style="59" customWidth="1"/>
    <col min="6145" max="6145" width="12" style="59" customWidth="1"/>
    <col min="6146" max="6146" width="11.28515625" style="59" bestFit="1" customWidth="1"/>
    <col min="6147" max="6149" width="8.7109375" style="59"/>
    <col min="6150" max="6150" width="11.28515625" style="59" bestFit="1" customWidth="1"/>
    <col min="6151" max="6151" width="11.85546875" style="59" bestFit="1" customWidth="1"/>
    <col min="6152" max="6152" width="11.28515625" style="59" bestFit="1" customWidth="1"/>
    <col min="6153" max="6156" width="8.7109375" style="59"/>
    <col min="6157" max="6157" width="9.85546875" style="59" bestFit="1" customWidth="1"/>
    <col min="6158" max="6159" width="9.28515625" style="59" bestFit="1" customWidth="1"/>
    <col min="6160" max="6388" width="8.7109375" style="59"/>
    <col min="6389" max="6389" width="22.42578125" style="59" customWidth="1"/>
    <col min="6390" max="6390" width="8.7109375" style="59"/>
    <col min="6391" max="6391" width="12.42578125" style="59" customWidth="1"/>
    <col min="6392" max="6392" width="9.5703125" style="59" bestFit="1" customWidth="1"/>
    <col min="6393" max="6393" width="10.28515625" style="59" bestFit="1" customWidth="1"/>
    <col min="6394" max="6394" width="15.140625" style="59" customWidth="1"/>
    <col min="6395" max="6395" width="17.140625" style="59" customWidth="1"/>
    <col min="6396" max="6396" width="16.5703125" style="59" customWidth="1"/>
    <col min="6397" max="6397" width="10.7109375" style="59" customWidth="1"/>
    <col min="6398" max="6398" width="14.28515625" style="59" customWidth="1"/>
    <col min="6399" max="6399" width="17.85546875" style="59" customWidth="1"/>
    <col min="6400" max="6400" width="16.42578125" style="59" customWidth="1"/>
    <col min="6401" max="6401" width="12" style="59" customWidth="1"/>
    <col min="6402" max="6402" width="11.28515625" style="59" bestFit="1" customWidth="1"/>
    <col min="6403" max="6405" width="8.7109375" style="59"/>
    <col min="6406" max="6406" width="11.28515625" style="59" bestFit="1" customWidth="1"/>
    <col min="6407" max="6407" width="11.85546875" style="59" bestFit="1" customWidth="1"/>
    <col min="6408" max="6408" width="11.28515625" style="59" bestFit="1" customWidth="1"/>
    <col min="6409" max="6412" width="8.7109375" style="59"/>
    <col min="6413" max="6413" width="9.85546875" style="59" bestFit="1" customWidth="1"/>
    <col min="6414" max="6415" width="9.28515625" style="59" bestFit="1" customWidth="1"/>
    <col min="6416" max="6644" width="8.7109375" style="59"/>
    <col min="6645" max="6645" width="22.42578125" style="59" customWidth="1"/>
    <col min="6646" max="6646" width="8.7109375" style="59"/>
    <col min="6647" max="6647" width="12.42578125" style="59" customWidth="1"/>
    <col min="6648" max="6648" width="9.5703125" style="59" bestFit="1" customWidth="1"/>
    <col min="6649" max="6649" width="10.28515625" style="59" bestFit="1" customWidth="1"/>
    <col min="6650" max="6650" width="15.140625" style="59" customWidth="1"/>
    <col min="6651" max="6651" width="17.140625" style="59" customWidth="1"/>
    <col min="6652" max="6652" width="16.5703125" style="59" customWidth="1"/>
    <col min="6653" max="6653" width="10.7109375" style="59" customWidth="1"/>
    <col min="6654" max="6654" width="14.28515625" style="59" customWidth="1"/>
    <col min="6655" max="6655" width="17.85546875" style="59" customWidth="1"/>
    <col min="6656" max="6656" width="16.42578125" style="59" customWidth="1"/>
    <col min="6657" max="6657" width="12" style="59" customWidth="1"/>
    <col min="6658" max="6658" width="11.28515625" style="59" bestFit="1" customWidth="1"/>
    <col min="6659" max="6661" width="8.7109375" style="59"/>
    <col min="6662" max="6662" width="11.28515625" style="59" bestFit="1" customWidth="1"/>
    <col min="6663" max="6663" width="11.85546875" style="59" bestFit="1" customWidth="1"/>
    <col min="6664" max="6664" width="11.28515625" style="59" bestFit="1" customWidth="1"/>
    <col min="6665" max="6668" width="8.7109375" style="59"/>
    <col min="6669" max="6669" width="9.85546875" style="59" bestFit="1" customWidth="1"/>
    <col min="6670" max="6671" width="9.28515625" style="59" bestFit="1" customWidth="1"/>
    <col min="6672" max="6900" width="8.7109375" style="59"/>
    <col min="6901" max="6901" width="22.42578125" style="59" customWidth="1"/>
    <col min="6902" max="6902" width="8.7109375" style="59"/>
    <col min="6903" max="6903" width="12.42578125" style="59" customWidth="1"/>
    <col min="6904" max="6904" width="9.5703125" style="59" bestFit="1" customWidth="1"/>
    <col min="6905" max="6905" width="10.28515625" style="59" bestFit="1" customWidth="1"/>
    <col min="6906" max="6906" width="15.140625" style="59" customWidth="1"/>
    <col min="6907" max="6907" width="17.140625" style="59" customWidth="1"/>
    <col min="6908" max="6908" width="16.5703125" style="59" customWidth="1"/>
    <col min="6909" max="6909" width="10.7109375" style="59" customWidth="1"/>
    <col min="6910" max="6910" width="14.28515625" style="59" customWidth="1"/>
    <col min="6911" max="6911" width="17.85546875" style="59" customWidth="1"/>
    <col min="6912" max="6912" width="16.42578125" style="59" customWidth="1"/>
    <col min="6913" max="6913" width="12" style="59" customWidth="1"/>
    <col min="6914" max="6914" width="11.28515625" style="59" bestFit="1" customWidth="1"/>
    <col min="6915" max="6917" width="8.7109375" style="59"/>
    <col min="6918" max="6918" width="11.28515625" style="59" bestFit="1" customWidth="1"/>
    <col min="6919" max="6919" width="11.85546875" style="59" bestFit="1" customWidth="1"/>
    <col min="6920" max="6920" width="11.28515625" style="59" bestFit="1" customWidth="1"/>
    <col min="6921" max="6924" width="8.7109375" style="59"/>
    <col min="6925" max="6925" width="9.85546875" style="59" bestFit="1" customWidth="1"/>
    <col min="6926" max="6927" width="9.28515625" style="59" bestFit="1" customWidth="1"/>
    <col min="6928" max="7156" width="8.7109375" style="59"/>
    <col min="7157" max="7157" width="22.42578125" style="59" customWidth="1"/>
    <col min="7158" max="7158" width="8.7109375" style="59"/>
    <col min="7159" max="7159" width="12.42578125" style="59" customWidth="1"/>
    <col min="7160" max="7160" width="9.5703125" style="59" bestFit="1" customWidth="1"/>
    <col min="7161" max="7161" width="10.28515625" style="59" bestFit="1" customWidth="1"/>
    <col min="7162" max="7162" width="15.140625" style="59" customWidth="1"/>
    <col min="7163" max="7163" width="17.140625" style="59" customWidth="1"/>
    <col min="7164" max="7164" width="16.5703125" style="59" customWidth="1"/>
    <col min="7165" max="7165" width="10.7109375" style="59" customWidth="1"/>
    <col min="7166" max="7166" width="14.28515625" style="59" customWidth="1"/>
    <col min="7167" max="7167" width="17.85546875" style="59" customWidth="1"/>
    <col min="7168" max="7168" width="16.42578125" style="59" customWidth="1"/>
    <col min="7169" max="7169" width="12" style="59" customWidth="1"/>
    <col min="7170" max="7170" width="11.28515625" style="59" bestFit="1" customWidth="1"/>
    <col min="7171" max="7173" width="8.7109375" style="59"/>
    <col min="7174" max="7174" width="11.28515625" style="59" bestFit="1" customWidth="1"/>
    <col min="7175" max="7175" width="11.85546875" style="59" bestFit="1" customWidth="1"/>
    <col min="7176" max="7176" width="11.28515625" style="59" bestFit="1" customWidth="1"/>
    <col min="7177" max="7180" width="8.7109375" style="59"/>
    <col min="7181" max="7181" width="9.85546875" style="59" bestFit="1" customWidth="1"/>
    <col min="7182" max="7183" width="9.28515625" style="59" bestFit="1" customWidth="1"/>
    <col min="7184" max="7412" width="8.7109375" style="59"/>
    <col min="7413" max="7413" width="22.42578125" style="59" customWidth="1"/>
    <col min="7414" max="7414" width="8.7109375" style="59"/>
    <col min="7415" max="7415" width="12.42578125" style="59" customWidth="1"/>
    <col min="7416" max="7416" width="9.5703125" style="59" bestFit="1" customWidth="1"/>
    <col min="7417" max="7417" width="10.28515625" style="59" bestFit="1" customWidth="1"/>
    <col min="7418" max="7418" width="15.140625" style="59" customWidth="1"/>
    <col min="7419" max="7419" width="17.140625" style="59" customWidth="1"/>
    <col min="7420" max="7420" width="16.5703125" style="59" customWidth="1"/>
    <col min="7421" max="7421" width="10.7109375" style="59" customWidth="1"/>
    <col min="7422" max="7422" width="14.28515625" style="59" customWidth="1"/>
    <col min="7423" max="7423" width="17.85546875" style="59" customWidth="1"/>
    <col min="7424" max="7424" width="16.42578125" style="59" customWidth="1"/>
    <col min="7425" max="7425" width="12" style="59" customWidth="1"/>
    <col min="7426" max="7426" width="11.28515625" style="59" bestFit="1" customWidth="1"/>
    <col min="7427" max="7429" width="8.7109375" style="59"/>
    <col min="7430" max="7430" width="11.28515625" style="59" bestFit="1" customWidth="1"/>
    <col min="7431" max="7431" width="11.85546875" style="59" bestFit="1" customWidth="1"/>
    <col min="7432" max="7432" width="11.28515625" style="59" bestFit="1" customWidth="1"/>
    <col min="7433" max="7436" width="8.7109375" style="59"/>
    <col min="7437" max="7437" width="9.85546875" style="59" bestFit="1" customWidth="1"/>
    <col min="7438" max="7439" width="9.28515625" style="59" bestFit="1" customWidth="1"/>
    <col min="7440" max="7668" width="8.7109375" style="59"/>
    <col min="7669" max="7669" width="22.42578125" style="59" customWidth="1"/>
    <col min="7670" max="7670" width="8.7109375" style="59"/>
    <col min="7671" max="7671" width="12.42578125" style="59" customWidth="1"/>
    <col min="7672" max="7672" width="9.5703125" style="59" bestFit="1" customWidth="1"/>
    <col min="7673" max="7673" width="10.28515625" style="59" bestFit="1" customWidth="1"/>
    <col min="7674" max="7674" width="15.140625" style="59" customWidth="1"/>
    <col min="7675" max="7675" width="17.140625" style="59" customWidth="1"/>
    <col min="7676" max="7676" width="16.5703125" style="59" customWidth="1"/>
    <col min="7677" max="7677" width="10.7109375" style="59" customWidth="1"/>
    <col min="7678" max="7678" width="14.28515625" style="59" customWidth="1"/>
    <col min="7679" max="7679" width="17.85546875" style="59" customWidth="1"/>
    <col min="7680" max="7680" width="16.42578125" style="59" customWidth="1"/>
    <col min="7681" max="7681" width="12" style="59" customWidth="1"/>
    <col min="7682" max="7682" width="11.28515625" style="59" bestFit="1" customWidth="1"/>
    <col min="7683" max="7685" width="8.7109375" style="59"/>
    <col min="7686" max="7686" width="11.28515625" style="59" bestFit="1" customWidth="1"/>
    <col min="7687" max="7687" width="11.85546875" style="59" bestFit="1" customWidth="1"/>
    <col min="7688" max="7688" width="11.28515625" style="59" bestFit="1" customWidth="1"/>
    <col min="7689" max="7692" width="8.7109375" style="59"/>
    <col min="7693" max="7693" width="9.85546875" style="59" bestFit="1" customWidth="1"/>
    <col min="7694" max="7695" width="9.28515625" style="59" bestFit="1" customWidth="1"/>
    <col min="7696" max="7924" width="8.7109375" style="59"/>
    <col min="7925" max="7925" width="22.42578125" style="59" customWidth="1"/>
    <col min="7926" max="7926" width="8.7109375" style="59"/>
    <col min="7927" max="7927" width="12.42578125" style="59" customWidth="1"/>
    <col min="7928" max="7928" width="9.5703125" style="59" bestFit="1" customWidth="1"/>
    <col min="7929" max="7929" width="10.28515625" style="59" bestFit="1" customWidth="1"/>
    <col min="7930" max="7930" width="15.140625" style="59" customWidth="1"/>
    <col min="7931" max="7931" width="17.140625" style="59" customWidth="1"/>
    <col min="7932" max="7932" width="16.5703125" style="59" customWidth="1"/>
    <col min="7933" max="7933" width="10.7109375" style="59" customWidth="1"/>
    <col min="7934" max="7934" width="14.28515625" style="59" customWidth="1"/>
    <col min="7935" max="7935" width="17.85546875" style="59" customWidth="1"/>
    <col min="7936" max="7936" width="16.42578125" style="59" customWidth="1"/>
    <col min="7937" max="7937" width="12" style="59" customWidth="1"/>
    <col min="7938" max="7938" width="11.28515625" style="59" bestFit="1" customWidth="1"/>
    <col min="7939" max="7941" width="8.7109375" style="59"/>
    <col min="7942" max="7942" width="11.28515625" style="59" bestFit="1" customWidth="1"/>
    <col min="7943" max="7943" width="11.85546875" style="59" bestFit="1" customWidth="1"/>
    <col min="7944" max="7944" width="11.28515625" style="59" bestFit="1" customWidth="1"/>
    <col min="7945" max="7948" width="8.7109375" style="59"/>
    <col min="7949" max="7949" width="9.85546875" style="59" bestFit="1" customWidth="1"/>
    <col min="7950" max="7951" width="9.28515625" style="59" bestFit="1" customWidth="1"/>
    <col min="7952" max="8180" width="8.7109375" style="59"/>
    <col min="8181" max="8181" width="22.42578125" style="59" customWidth="1"/>
    <col min="8182" max="8182" width="8.7109375" style="59"/>
    <col min="8183" max="8183" width="12.42578125" style="59" customWidth="1"/>
    <col min="8184" max="8184" width="9.5703125" style="59" bestFit="1" customWidth="1"/>
    <col min="8185" max="8185" width="10.28515625" style="59" bestFit="1" customWidth="1"/>
    <col min="8186" max="8186" width="15.140625" style="59" customWidth="1"/>
    <col min="8187" max="8187" width="17.140625" style="59" customWidth="1"/>
    <col min="8188" max="8188" width="16.5703125" style="59" customWidth="1"/>
    <col min="8189" max="8189" width="10.7109375" style="59" customWidth="1"/>
    <col min="8190" max="8190" width="14.28515625" style="59" customWidth="1"/>
    <col min="8191" max="8191" width="17.85546875" style="59" customWidth="1"/>
    <col min="8192" max="8192" width="16.42578125" style="59" customWidth="1"/>
    <col min="8193" max="8193" width="12" style="59" customWidth="1"/>
    <col min="8194" max="8194" width="11.28515625" style="59" bestFit="1" customWidth="1"/>
    <col min="8195" max="8197" width="8.7109375" style="59"/>
    <col min="8198" max="8198" width="11.28515625" style="59" bestFit="1" customWidth="1"/>
    <col min="8199" max="8199" width="11.85546875" style="59" bestFit="1" customWidth="1"/>
    <col min="8200" max="8200" width="11.28515625" style="59" bestFit="1" customWidth="1"/>
    <col min="8201" max="8204" width="8.7109375" style="59"/>
    <col min="8205" max="8205" width="9.85546875" style="59" bestFit="1" customWidth="1"/>
    <col min="8206" max="8207" width="9.28515625" style="59" bestFit="1" customWidth="1"/>
    <col min="8208" max="8436" width="8.7109375" style="59"/>
    <col min="8437" max="8437" width="22.42578125" style="59" customWidth="1"/>
    <col min="8438" max="8438" width="8.7109375" style="59"/>
    <col min="8439" max="8439" width="12.42578125" style="59" customWidth="1"/>
    <col min="8440" max="8440" width="9.5703125" style="59" bestFit="1" customWidth="1"/>
    <col min="8441" max="8441" width="10.28515625" style="59" bestFit="1" customWidth="1"/>
    <col min="8442" max="8442" width="15.140625" style="59" customWidth="1"/>
    <col min="8443" max="8443" width="17.140625" style="59" customWidth="1"/>
    <col min="8444" max="8444" width="16.5703125" style="59" customWidth="1"/>
    <col min="8445" max="8445" width="10.7109375" style="59" customWidth="1"/>
    <col min="8446" max="8446" width="14.28515625" style="59" customWidth="1"/>
    <col min="8447" max="8447" width="17.85546875" style="59" customWidth="1"/>
    <col min="8448" max="8448" width="16.42578125" style="59" customWidth="1"/>
    <col min="8449" max="8449" width="12" style="59" customWidth="1"/>
    <col min="8450" max="8450" width="11.28515625" style="59" bestFit="1" customWidth="1"/>
    <col min="8451" max="8453" width="8.7109375" style="59"/>
    <col min="8454" max="8454" width="11.28515625" style="59" bestFit="1" customWidth="1"/>
    <col min="8455" max="8455" width="11.85546875" style="59" bestFit="1" customWidth="1"/>
    <col min="8456" max="8456" width="11.28515625" style="59" bestFit="1" customWidth="1"/>
    <col min="8457" max="8460" width="8.7109375" style="59"/>
    <col min="8461" max="8461" width="9.85546875" style="59" bestFit="1" customWidth="1"/>
    <col min="8462" max="8463" width="9.28515625" style="59" bestFit="1" customWidth="1"/>
    <col min="8464" max="8692" width="8.7109375" style="59"/>
    <col min="8693" max="8693" width="22.42578125" style="59" customWidth="1"/>
    <col min="8694" max="8694" width="8.7109375" style="59"/>
    <col min="8695" max="8695" width="12.42578125" style="59" customWidth="1"/>
    <col min="8696" max="8696" width="9.5703125" style="59" bestFit="1" customWidth="1"/>
    <col min="8697" max="8697" width="10.28515625" style="59" bestFit="1" customWidth="1"/>
    <col min="8698" max="8698" width="15.140625" style="59" customWidth="1"/>
    <col min="8699" max="8699" width="17.140625" style="59" customWidth="1"/>
    <col min="8700" max="8700" width="16.5703125" style="59" customWidth="1"/>
    <col min="8701" max="8701" width="10.7109375" style="59" customWidth="1"/>
    <col min="8702" max="8702" width="14.28515625" style="59" customWidth="1"/>
    <col min="8703" max="8703" width="17.85546875" style="59" customWidth="1"/>
    <col min="8704" max="8704" width="16.42578125" style="59" customWidth="1"/>
    <col min="8705" max="8705" width="12" style="59" customWidth="1"/>
    <col min="8706" max="8706" width="11.28515625" style="59" bestFit="1" customWidth="1"/>
    <col min="8707" max="8709" width="8.7109375" style="59"/>
    <col min="8710" max="8710" width="11.28515625" style="59" bestFit="1" customWidth="1"/>
    <col min="8711" max="8711" width="11.85546875" style="59" bestFit="1" customWidth="1"/>
    <col min="8712" max="8712" width="11.28515625" style="59" bestFit="1" customWidth="1"/>
    <col min="8713" max="8716" width="8.7109375" style="59"/>
    <col min="8717" max="8717" width="9.85546875" style="59" bestFit="1" customWidth="1"/>
    <col min="8718" max="8719" width="9.28515625" style="59" bestFit="1" customWidth="1"/>
    <col min="8720" max="8948" width="8.7109375" style="59"/>
    <col min="8949" max="8949" width="22.42578125" style="59" customWidth="1"/>
    <col min="8950" max="8950" width="8.7109375" style="59"/>
    <col min="8951" max="8951" width="12.42578125" style="59" customWidth="1"/>
    <col min="8952" max="8952" width="9.5703125" style="59" bestFit="1" customWidth="1"/>
    <col min="8953" max="8953" width="10.28515625" style="59" bestFit="1" customWidth="1"/>
    <col min="8954" max="8954" width="15.140625" style="59" customWidth="1"/>
    <col min="8955" max="8955" width="17.140625" style="59" customWidth="1"/>
    <col min="8956" max="8956" width="16.5703125" style="59" customWidth="1"/>
    <col min="8957" max="8957" width="10.7109375" style="59" customWidth="1"/>
    <col min="8958" max="8958" width="14.28515625" style="59" customWidth="1"/>
    <col min="8959" max="8959" width="17.85546875" style="59" customWidth="1"/>
    <col min="8960" max="8960" width="16.42578125" style="59" customWidth="1"/>
    <col min="8961" max="8961" width="12" style="59" customWidth="1"/>
    <col min="8962" max="8962" width="11.28515625" style="59" bestFit="1" customWidth="1"/>
    <col min="8963" max="8965" width="8.7109375" style="59"/>
    <col min="8966" max="8966" width="11.28515625" style="59" bestFit="1" customWidth="1"/>
    <col min="8967" max="8967" width="11.85546875" style="59" bestFit="1" customWidth="1"/>
    <col min="8968" max="8968" width="11.28515625" style="59" bestFit="1" customWidth="1"/>
    <col min="8969" max="8972" width="8.7109375" style="59"/>
    <col min="8973" max="8973" width="9.85546875" style="59" bestFit="1" customWidth="1"/>
    <col min="8974" max="8975" width="9.28515625" style="59" bestFit="1" customWidth="1"/>
    <col min="8976" max="9204" width="8.7109375" style="59"/>
    <col min="9205" max="9205" width="22.42578125" style="59" customWidth="1"/>
    <col min="9206" max="9206" width="8.7109375" style="59"/>
    <col min="9207" max="9207" width="12.42578125" style="59" customWidth="1"/>
    <col min="9208" max="9208" width="9.5703125" style="59" bestFit="1" customWidth="1"/>
    <col min="9209" max="9209" width="10.28515625" style="59" bestFit="1" customWidth="1"/>
    <col min="9210" max="9210" width="15.140625" style="59" customWidth="1"/>
    <col min="9211" max="9211" width="17.140625" style="59" customWidth="1"/>
    <col min="9212" max="9212" width="16.5703125" style="59" customWidth="1"/>
    <col min="9213" max="9213" width="10.7109375" style="59" customWidth="1"/>
    <col min="9214" max="9214" width="14.28515625" style="59" customWidth="1"/>
    <col min="9215" max="9215" width="17.85546875" style="59" customWidth="1"/>
    <col min="9216" max="9216" width="16.42578125" style="59" customWidth="1"/>
    <col min="9217" max="9217" width="12" style="59" customWidth="1"/>
    <col min="9218" max="9218" width="11.28515625" style="59" bestFit="1" customWidth="1"/>
    <col min="9219" max="9221" width="8.7109375" style="59"/>
    <col min="9222" max="9222" width="11.28515625" style="59" bestFit="1" customWidth="1"/>
    <col min="9223" max="9223" width="11.85546875" style="59" bestFit="1" customWidth="1"/>
    <col min="9224" max="9224" width="11.28515625" style="59" bestFit="1" customWidth="1"/>
    <col min="9225" max="9228" width="8.7109375" style="59"/>
    <col min="9229" max="9229" width="9.85546875" style="59" bestFit="1" customWidth="1"/>
    <col min="9230" max="9231" width="9.28515625" style="59" bestFit="1" customWidth="1"/>
    <col min="9232" max="9460" width="8.7109375" style="59"/>
    <col min="9461" max="9461" width="22.42578125" style="59" customWidth="1"/>
    <col min="9462" max="9462" width="8.7109375" style="59"/>
    <col min="9463" max="9463" width="12.42578125" style="59" customWidth="1"/>
    <col min="9464" max="9464" width="9.5703125" style="59" bestFit="1" customWidth="1"/>
    <col min="9465" max="9465" width="10.28515625" style="59" bestFit="1" customWidth="1"/>
    <col min="9466" max="9466" width="15.140625" style="59" customWidth="1"/>
    <col min="9467" max="9467" width="17.140625" style="59" customWidth="1"/>
    <col min="9468" max="9468" width="16.5703125" style="59" customWidth="1"/>
    <col min="9469" max="9469" width="10.7109375" style="59" customWidth="1"/>
    <col min="9470" max="9470" width="14.28515625" style="59" customWidth="1"/>
    <col min="9471" max="9471" width="17.85546875" style="59" customWidth="1"/>
    <col min="9472" max="9472" width="16.42578125" style="59" customWidth="1"/>
    <col min="9473" max="9473" width="12" style="59" customWidth="1"/>
    <col min="9474" max="9474" width="11.28515625" style="59" bestFit="1" customWidth="1"/>
    <col min="9475" max="9477" width="8.7109375" style="59"/>
    <col min="9478" max="9478" width="11.28515625" style="59" bestFit="1" customWidth="1"/>
    <col min="9479" max="9479" width="11.85546875" style="59" bestFit="1" customWidth="1"/>
    <col min="9480" max="9480" width="11.28515625" style="59" bestFit="1" customWidth="1"/>
    <col min="9481" max="9484" width="8.7109375" style="59"/>
    <col min="9485" max="9485" width="9.85546875" style="59" bestFit="1" customWidth="1"/>
    <col min="9486" max="9487" width="9.28515625" style="59" bestFit="1" customWidth="1"/>
    <col min="9488" max="9716" width="8.7109375" style="59"/>
    <col min="9717" max="9717" width="22.42578125" style="59" customWidth="1"/>
    <col min="9718" max="9718" width="8.7109375" style="59"/>
    <col min="9719" max="9719" width="12.42578125" style="59" customWidth="1"/>
    <col min="9720" max="9720" width="9.5703125" style="59" bestFit="1" customWidth="1"/>
    <col min="9721" max="9721" width="10.28515625" style="59" bestFit="1" customWidth="1"/>
    <col min="9722" max="9722" width="15.140625" style="59" customWidth="1"/>
    <col min="9723" max="9723" width="17.140625" style="59" customWidth="1"/>
    <col min="9724" max="9724" width="16.5703125" style="59" customWidth="1"/>
    <col min="9725" max="9725" width="10.7109375" style="59" customWidth="1"/>
    <col min="9726" max="9726" width="14.28515625" style="59" customWidth="1"/>
    <col min="9727" max="9727" width="17.85546875" style="59" customWidth="1"/>
    <col min="9728" max="9728" width="16.42578125" style="59" customWidth="1"/>
    <col min="9729" max="9729" width="12" style="59" customWidth="1"/>
    <col min="9730" max="9730" width="11.28515625" style="59" bestFit="1" customWidth="1"/>
    <col min="9731" max="9733" width="8.7109375" style="59"/>
    <col min="9734" max="9734" width="11.28515625" style="59" bestFit="1" customWidth="1"/>
    <col min="9735" max="9735" width="11.85546875" style="59" bestFit="1" customWidth="1"/>
    <col min="9736" max="9736" width="11.28515625" style="59" bestFit="1" customWidth="1"/>
    <col min="9737" max="9740" width="8.7109375" style="59"/>
    <col min="9741" max="9741" width="9.85546875" style="59" bestFit="1" customWidth="1"/>
    <col min="9742" max="9743" width="9.28515625" style="59" bestFit="1" customWidth="1"/>
    <col min="9744" max="9972" width="8.7109375" style="59"/>
    <col min="9973" max="9973" width="22.42578125" style="59" customWidth="1"/>
    <col min="9974" max="9974" width="8.7109375" style="59"/>
    <col min="9975" max="9975" width="12.42578125" style="59" customWidth="1"/>
    <col min="9976" max="9976" width="9.5703125" style="59" bestFit="1" customWidth="1"/>
    <col min="9977" max="9977" width="10.28515625" style="59" bestFit="1" customWidth="1"/>
    <col min="9978" max="9978" width="15.140625" style="59" customWidth="1"/>
    <col min="9979" max="9979" width="17.140625" style="59" customWidth="1"/>
    <col min="9980" max="9980" width="16.5703125" style="59" customWidth="1"/>
    <col min="9981" max="9981" width="10.7109375" style="59" customWidth="1"/>
    <col min="9982" max="9982" width="14.28515625" style="59" customWidth="1"/>
    <col min="9983" max="9983" width="17.85546875" style="59" customWidth="1"/>
    <col min="9984" max="9984" width="16.42578125" style="59" customWidth="1"/>
    <col min="9985" max="9985" width="12" style="59" customWidth="1"/>
    <col min="9986" max="9986" width="11.28515625" style="59" bestFit="1" customWidth="1"/>
    <col min="9987" max="9989" width="8.7109375" style="59"/>
    <col min="9990" max="9990" width="11.28515625" style="59" bestFit="1" customWidth="1"/>
    <col min="9991" max="9991" width="11.85546875" style="59" bestFit="1" customWidth="1"/>
    <col min="9992" max="9992" width="11.28515625" style="59" bestFit="1" customWidth="1"/>
    <col min="9993" max="9996" width="8.7109375" style="59"/>
    <col min="9997" max="9997" width="9.85546875" style="59" bestFit="1" customWidth="1"/>
    <col min="9998" max="9999" width="9.28515625" style="59" bestFit="1" customWidth="1"/>
    <col min="10000" max="10228" width="8.7109375" style="59"/>
    <col min="10229" max="10229" width="22.42578125" style="59" customWidth="1"/>
    <col min="10230" max="10230" width="8.7109375" style="59"/>
    <col min="10231" max="10231" width="12.42578125" style="59" customWidth="1"/>
    <col min="10232" max="10232" width="9.5703125" style="59" bestFit="1" customWidth="1"/>
    <col min="10233" max="10233" width="10.28515625" style="59" bestFit="1" customWidth="1"/>
    <col min="10234" max="10234" width="15.140625" style="59" customWidth="1"/>
    <col min="10235" max="10235" width="17.140625" style="59" customWidth="1"/>
    <col min="10236" max="10236" width="16.5703125" style="59" customWidth="1"/>
    <col min="10237" max="10237" width="10.7109375" style="59" customWidth="1"/>
    <col min="10238" max="10238" width="14.28515625" style="59" customWidth="1"/>
    <col min="10239" max="10239" width="17.85546875" style="59" customWidth="1"/>
    <col min="10240" max="10240" width="16.42578125" style="59" customWidth="1"/>
    <col min="10241" max="10241" width="12" style="59" customWidth="1"/>
    <col min="10242" max="10242" width="11.28515625" style="59" bestFit="1" customWidth="1"/>
    <col min="10243" max="10245" width="8.7109375" style="59"/>
    <col min="10246" max="10246" width="11.28515625" style="59" bestFit="1" customWidth="1"/>
    <col min="10247" max="10247" width="11.85546875" style="59" bestFit="1" customWidth="1"/>
    <col min="10248" max="10248" width="11.28515625" style="59" bestFit="1" customWidth="1"/>
    <col min="10249" max="10252" width="8.7109375" style="59"/>
    <col min="10253" max="10253" width="9.85546875" style="59" bestFit="1" customWidth="1"/>
    <col min="10254" max="10255" width="9.28515625" style="59" bestFit="1" customWidth="1"/>
    <col min="10256" max="10484" width="8.7109375" style="59"/>
    <col min="10485" max="10485" width="22.42578125" style="59" customWidth="1"/>
    <col min="10486" max="10486" width="8.7109375" style="59"/>
    <col min="10487" max="10487" width="12.42578125" style="59" customWidth="1"/>
    <col min="10488" max="10488" width="9.5703125" style="59" bestFit="1" customWidth="1"/>
    <col min="10489" max="10489" width="10.28515625" style="59" bestFit="1" customWidth="1"/>
    <col min="10490" max="10490" width="15.140625" style="59" customWidth="1"/>
    <col min="10491" max="10491" width="17.140625" style="59" customWidth="1"/>
    <col min="10492" max="10492" width="16.5703125" style="59" customWidth="1"/>
    <col min="10493" max="10493" width="10.7109375" style="59" customWidth="1"/>
    <col min="10494" max="10494" width="14.28515625" style="59" customWidth="1"/>
    <col min="10495" max="10495" width="17.85546875" style="59" customWidth="1"/>
    <col min="10496" max="10496" width="16.42578125" style="59" customWidth="1"/>
    <col min="10497" max="10497" width="12" style="59" customWidth="1"/>
    <col min="10498" max="10498" width="11.28515625" style="59" bestFit="1" customWidth="1"/>
    <col min="10499" max="10501" width="8.7109375" style="59"/>
    <col min="10502" max="10502" width="11.28515625" style="59" bestFit="1" customWidth="1"/>
    <col min="10503" max="10503" width="11.85546875" style="59" bestFit="1" customWidth="1"/>
    <col min="10504" max="10504" width="11.28515625" style="59" bestFit="1" customWidth="1"/>
    <col min="10505" max="10508" width="8.7109375" style="59"/>
    <col min="10509" max="10509" width="9.85546875" style="59" bestFit="1" customWidth="1"/>
    <col min="10510" max="10511" width="9.28515625" style="59" bestFit="1" customWidth="1"/>
    <col min="10512" max="10740" width="8.7109375" style="59"/>
    <col min="10741" max="10741" width="22.42578125" style="59" customWidth="1"/>
    <col min="10742" max="10742" width="8.7109375" style="59"/>
    <col min="10743" max="10743" width="12.42578125" style="59" customWidth="1"/>
    <col min="10744" max="10744" width="9.5703125" style="59" bestFit="1" customWidth="1"/>
    <col min="10745" max="10745" width="10.28515625" style="59" bestFit="1" customWidth="1"/>
    <col min="10746" max="10746" width="15.140625" style="59" customWidth="1"/>
    <col min="10747" max="10747" width="17.140625" style="59" customWidth="1"/>
    <col min="10748" max="10748" width="16.5703125" style="59" customWidth="1"/>
    <col min="10749" max="10749" width="10.7109375" style="59" customWidth="1"/>
    <col min="10750" max="10750" width="14.28515625" style="59" customWidth="1"/>
    <col min="10751" max="10751" width="17.85546875" style="59" customWidth="1"/>
    <col min="10752" max="10752" width="16.42578125" style="59" customWidth="1"/>
    <col min="10753" max="10753" width="12" style="59" customWidth="1"/>
    <col min="10754" max="10754" width="11.28515625" style="59" bestFit="1" customWidth="1"/>
    <col min="10755" max="10757" width="8.7109375" style="59"/>
    <col min="10758" max="10758" width="11.28515625" style="59" bestFit="1" customWidth="1"/>
    <col min="10759" max="10759" width="11.85546875" style="59" bestFit="1" customWidth="1"/>
    <col min="10760" max="10760" width="11.28515625" style="59" bestFit="1" customWidth="1"/>
    <col min="10761" max="10764" width="8.7109375" style="59"/>
    <col min="10765" max="10765" width="9.85546875" style="59" bestFit="1" customWidth="1"/>
    <col min="10766" max="10767" width="9.28515625" style="59" bestFit="1" customWidth="1"/>
    <col min="10768" max="10996" width="8.7109375" style="59"/>
    <col min="10997" max="10997" width="22.42578125" style="59" customWidth="1"/>
    <col min="10998" max="10998" width="8.7109375" style="59"/>
    <col min="10999" max="10999" width="12.42578125" style="59" customWidth="1"/>
    <col min="11000" max="11000" width="9.5703125" style="59" bestFit="1" customWidth="1"/>
    <col min="11001" max="11001" width="10.28515625" style="59" bestFit="1" customWidth="1"/>
    <col min="11002" max="11002" width="15.140625" style="59" customWidth="1"/>
    <col min="11003" max="11003" width="17.140625" style="59" customWidth="1"/>
    <col min="11004" max="11004" width="16.5703125" style="59" customWidth="1"/>
    <col min="11005" max="11005" width="10.7109375" style="59" customWidth="1"/>
    <col min="11006" max="11006" width="14.28515625" style="59" customWidth="1"/>
    <col min="11007" max="11007" width="17.85546875" style="59" customWidth="1"/>
    <col min="11008" max="11008" width="16.42578125" style="59" customWidth="1"/>
    <col min="11009" max="11009" width="12" style="59" customWidth="1"/>
    <col min="11010" max="11010" width="11.28515625" style="59" bestFit="1" customWidth="1"/>
    <col min="11011" max="11013" width="8.7109375" style="59"/>
    <col min="11014" max="11014" width="11.28515625" style="59" bestFit="1" customWidth="1"/>
    <col min="11015" max="11015" width="11.85546875" style="59" bestFit="1" customWidth="1"/>
    <col min="11016" max="11016" width="11.28515625" style="59" bestFit="1" customWidth="1"/>
    <col min="11017" max="11020" width="8.7109375" style="59"/>
    <col min="11021" max="11021" width="9.85546875" style="59" bestFit="1" customWidth="1"/>
    <col min="11022" max="11023" width="9.28515625" style="59" bestFit="1" customWidth="1"/>
    <col min="11024" max="11252" width="8.7109375" style="59"/>
    <col min="11253" max="11253" width="22.42578125" style="59" customWidth="1"/>
    <col min="11254" max="11254" width="8.7109375" style="59"/>
    <col min="11255" max="11255" width="12.42578125" style="59" customWidth="1"/>
    <col min="11256" max="11256" width="9.5703125" style="59" bestFit="1" customWidth="1"/>
    <col min="11257" max="11257" width="10.28515625" style="59" bestFit="1" customWidth="1"/>
    <col min="11258" max="11258" width="15.140625" style="59" customWidth="1"/>
    <col min="11259" max="11259" width="17.140625" style="59" customWidth="1"/>
    <col min="11260" max="11260" width="16.5703125" style="59" customWidth="1"/>
    <col min="11261" max="11261" width="10.7109375" style="59" customWidth="1"/>
    <col min="11262" max="11262" width="14.28515625" style="59" customWidth="1"/>
    <col min="11263" max="11263" width="17.85546875" style="59" customWidth="1"/>
    <col min="11264" max="11264" width="16.42578125" style="59" customWidth="1"/>
    <col min="11265" max="11265" width="12" style="59" customWidth="1"/>
    <col min="11266" max="11266" width="11.28515625" style="59" bestFit="1" customWidth="1"/>
    <col min="11267" max="11269" width="8.7109375" style="59"/>
    <col min="11270" max="11270" width="11.28515625" style="59" bestFit="1" customWidth="1"/>
    <col min="11271" max="11271" width="11.85546875" style="59" bestFit="1" customWidth="1"/>
    <col min="11272" max="11272" width="11.28515625" style="59" bestFit="1" customWidth="1"/>
    <col min="11273" max="11276" width="8.7109375" style="59"/>
    <col min="11277" max="11277" width="9.85546875" style="59" bestFit="1" customWidth="1"/>
    <col min="11278" max="11279" width="9.28515625" style="59" bestFit="1" customWidth="1"/>
    <col min="11280" max="11508" width="8.7109375" style="59"/>
    <col min="11509" max="11509" width="22.42578125" style="59" customWidth="1"/>
    <col min="11510" max="11510" width="8.7109375" style="59"/>
    <col min="11511" max="11511" width="12.42578125" style="59" customWidth="1"/>
    <col min="11512" max="11512" width="9.5703125" style="59" bestFit="1" customWidth="1"/>
    <col min="11513" max="11513" width="10.28515625" style="59" bestFit="1" customWidth="1"/>
    <col min="11514" max="11514" width="15.140625" style="59" customWidth="1"/>
    <col min="11515" max="11515" width="17.140625" style="59" customWidth="1"/>
    <col min="11516" max="11516" width="16.5703125" style="59" customWidth="1"/>
    <col min="11517" max="11517" width="10.7109375" style="59" customWidth="1"/>
    <col min="11518" max="11518" width="14.28515625" style="59" customWidth="1"/>
    <col min="11519" max="11519" width="17.85546875" style="59" customWidth="1"/>
    <col min="11520" max="11520" width="16.42578125" style="59" customWidth="1"/>
    <col min="11521" max="11521" width="12" style="59" customWidth="1"/>
    <col min="11522" max="11522" width="11.28515625" style="59" bestFit="1" customWidth="1"/>
    <col min="11523" max="11525" width="8.7109375" style="59"/>
    <col min="11526" max="11526" width="11.28515625" style="59" bestFit="1" customWidth="1"/>
    <col min="11527" max="11527" width="11.85546875" style="59" bestFit="1" customWidth="1"/>
    <col min="11528" max="11528" width="11.28515625" style="59" bestFit="1" customWidth="1"/>
    <col min="11529" max="11532" width="8.7109375" style="59"/>
    <col min="11533" max="11533" width="9.85546875" style="59" bestFit="1" customWidth="1"/>
    <col min="11534" max="11535" width="9.28515625" style="59" bestFit="1" customWidth="1"/>
    <col min="11536" max="11764" width="8.7109375" style="59"/>
    <col min="11765" max="11765" width="22.42578125" style="59" customWidth="1"/>
    <col min="11766" max="11766" width="8.7109375" style="59"/>
    <col min="11767" max="11767" width="12.42578125" style="59" customWidth="1"/>
    <col min="11768" max="11768" width="9.5703125" style="59" bestFit="1" customWidth="1"/>
    <col min="11769" max="11769" width="10.28515625" style="59" bestFit="1" customWidth="1"/>
    <col min="11770" max="11770" width="15.140625" style="59" customWidth="1"/>
    <col min="11771" max="11771" width="17.140625" style="59" customWidth="1"/>
    <col min="11772" max="11772" width="16.5703125" style="59" customWidth="1"/>
    <col min="11773" max="11773" width="10.7109375" style="59" customWidth="1"/>
    <col min="11774" max="11774" width="14.28515625" style="59" customWidth="1"/>
    <col min="11775" max="11775" width="17.85546875" style="59" customWidth="1"/>
    <col min="11776" max="11776" width="16.42578125" style="59" customWidth="1"/>
    <col min="11777" max="11777" width="12" style="59" customWidth="1"/>
    <col min="11778" max="11778" width="11.28515625" style="59" bestFit="1" customWidth="1"/>
    <col min="11779" max="11781" width="8.7109375" style="59"/>
    <col min="11782" max="11782" width="11.28515625" style="59" bestFit="1" customWidth="1"/>
    <col min="11783" max="11783" width="11.85546875" style="59" bestFit="1" customWidth="1"/>
    <col min="11784" max="11784" width="11.28515625" style="59" bestFit="1" customWidth="1"/>
    <col min="11785" max="11788" width="8.7109375" style="59"/>
    <col min="11789" max="11789" width="9.85546875" style="59" bestFit="1" customWidth="1"/>
    <col min="11790" max="11791" width="9.28515625" style="59" bestFit="1" customWidth="1"/>
    <col min="11792" max="12020" width="8.7109375" style="59"/>
    <col min="12021" max="12021" width="22.42578125" style="59" customWidth="1"/>
    <col min="12022" max="12022" width="8.7109375" style="59"/>
    <col min="12023" max="12023" width="12.42578125" style="59" customWidth="1"/>
    <col min="12024" max="12024" width="9.5703125" style="59" bestFit="1" customWidth="1"/>
    <col min="12025" max="12025" width="10.28515625" style="59" bestFit="1" customWidth="1"/>
    <col min="12026" max="12026" width="15.140625" style="59" customWidth="1"/>
    <col min="12027" max="12027" width="17.140625" style="59" customWidth="1"/>
    <col min="12028" max="12028" width="16.5703125" style="59" customWidth="1"/>
    <col min="12029" max="12029" width="10.7109375" style="59" customWidth="1"/>
    <col min="12030" max="12030" width="14.28515625" style="59" customWidth="1"/>
    <col min="12031" max="12031" width="17.85546875" style="59" customWidth="1"/>
    <col min="12032" max="12032" width="16.42578125" style="59" customWidth="1"/>
    <col min="12033" max="12033" width="12" style="59" customWidth="1"/>
    <col min="12034" max="12034" width="11.28515625" style="59" bestFit="1" customWidth="1"/>
    <col min="12035" max="12037" width="8.7109375" style="59"/>
    <col min="12038" max="12038" width="11.28515625" style="59" bestFit="1" customWidth="1"/>
    <col min="12039" max="12039" width="11.85546875" style="59" bestFit="1" customWidth="1"/>
    <col min="12040" max="12040" width="11.28515625" style="59" bestFit="1" customWidth="1"/>
    <col min="12041" max="12044" width="8.7109375" style="59"/>
    <col min="12045" max="12045" width="9.85546875" style="59" bestFit="1" customWidth="1"/>
    <col min="12046" max="12047" width="9.28515625" style="59" bestFit="1" customWidth="1"/>
    <col min="12048" max="12276" width="8.7109375" style="59"/>
    <col min="12277" max="12277" width="22.42578125" style="59" customWidth="1"/>
    <col min="12278" max="12278" width="8.7109375" style="59"/>
    <col min="12279" max="12279" width="12.42578125" style="59" customWidth="1"/>
    <col min="12280" max="12280" width="9.5703125" style="59" bestFit="1" customWidth="1"/>
    <col min="12281" max="12281" width="10.28515625" style="59" bestFit="1" customWidth="1"/>
    <col min="12282" max="12282" width="15.140625" style="59" customWidth="1"/>
    <col min="12283" max="12283" width="17.140625" style="59" customWidth="1"/>
    <col min="12284" max="12284" width="16.5703125" style="59" customWidth="1"/>
    <col min="12285" max="12285" width="10.7109375" style="59" customWidth="1"/>
    <col min="12286" max="12286" width="14.28515625" style="59" customWidth="1"/>
    <col min="12287" max="12287" width="17.85546875" style="59" customWidth="1"/>
    <col min="12288" max="12288" width="16.42578125" style="59" customWidth="1"/>
    <col min="12289" max="12289" width="12" style="59" customWidth="1"/>
    <col min="12290" max="12290" width="11.28515625" style="59" bestFit="1" customWidth="1"/>
    <col min="12291" max="12293" width="8.7109375" style="59"/>
    <col min="12294" max="12294" width="11.28515625" style="59" bestFit="1" customWidth="1"/>
    <col min="12295" max="12295" width="11.85546875" style="59" bestFit="1" customWidth="1"/>
    <col min="12296" max="12296" width="11.28515625" style="59" bestFit="1" customWidth="1"/>
    <col min="12297" max="12300" width="8.7109375" style="59"/>
    <col min="12301" max="12301" width="9.85546875" style="59" bestFit="1" customWidth="1"/>
    <col min="12302" max="12303" width="9.28515625" style="59" bestFit="1" customWidth="1"/>
    <col min="12304" max="12532" width="8.7109375" style="59"/>
    <col min="12533" max="12533" width="22.42578125" style="59" customWidth="1"/>
    <col min="12534" max="12534" width="8.7109375" style="59"/>
    <col min="12535" max="12535" width="12.42578125" style="59" customWidth="1"/>
    <col min="12536" max="12536" width="9.5703125" style="59" bestFit="1" customWidth="1"/>
    <col min="12537" max="12537" width="10.28515625" style="59" bestFit="1" customWidth="1"/>
    <col min="12538" max="12538" width="15.140625" style="59" customWidth="1"/>
    <col min="12539" max="12539" width="17.140625" style="59" customWidth="1"/>
    <col min="12540" max="12540" width="16.5703125" style="59" customWidth="1"/>
    <col min="12541" max="12541" width="10.7109375" style="59" customWidth="1"/>
    <col min="12542" max="12542" width="14.28515625" style="59" customWidth="1"/>
    <col min="12543" max="12543" width="17.85546875" style="59" customWidth="1"/>
    <col min="12544" max="12544" width="16.42578125" style="59" customWidth="1"/>
    <col min="12545" max="12545" width="12" style="59" customWidth="1"/>
    <col min="12546" max="12546" width="11.28515625" style="59" bestFit="1" customWidth="1"/>
    <col min="12547" max="12549" width="8.7109375" style="59"/>
    <col min="12550" max="12550" width="11.28515625" style="59" bestFit="1" customWidth="1"/>
    <col min="12551" max="12551" width="11.85546875" style="59" bestFit="1" customWidth="1"/>
    <col min="12552" max="12552" width="11.28515625" style="59" bestFit="1" customWidth="1"/>
    <col min="12553" max="12556" width="8.7109375" style="59"/>
    <col min="12557" max="12557" width="9.85546875" style="59" bestFit="1" customWidth="1"/>
    <col min="12558" max="12559" width="9.28515625" style="59" bestFit="1" customWidth="1"/>
    <col min="12560" max="12788" width="8.7109375" style="59"/>
    <col min="12789" max="12789" width="22.42578125" style="59" customWidth="1"/>
    <col min="12790" max="12790" width="8.7109375" style="59"/>
    <col min="12791" max="12791" width="12.42578125" style="59" customWidth="1"/>
    <col min="12792" max="12792" width="9.5703125" style="59" bestFit="1" customWidth="1"/>
    <col min="12793" max="12793" width="10.28515625" style="59" bestFit="1" customWidth="1"/>
    <col min="12794" max="12794" width="15.140625" style="59" customWidth="1"/>
    <col min="12795" max="12795" width="17.140625" style="59" customWidth="1"/>
    <col min="12796" max="12796" width="16.5703125" style="59" customWidth="1"/>
    <col min="12797" max="12797" width="10.7109375" style="59" customWidth="1"/>
    <col min="12798" max="12798" width="14.28515625" style="59" customWidth="1"/>
    <col min="12799" max="12799" width="17.85546875" style="59" customWidth="1"/>
    <col min="12800" max="12800" width="16.42578125" style="59" customWidth="1"/>
    <col min="12801" max="12801" width="12" style="59" customWidth="1"/>
    <col min="12802" max="12802" width="11.28515625" style="59" bestFit="1" customWidth="1"/>
    <col min="12803" max="12805" width="8.7109375" style="59"/>
    <col min="12806" max="12806" width="11.28515625" style="59" bestFit="1" customWidth="1"/>
    <col min="12807" max="12807" width="11.85546875" style="59" bestFit="1" customWidth="1"/>
    <col min="12808" max="12808" width="11.28515625" style="59" bestFit="1" customWidth="1"/>
    <col min="12809" max="12812" width="8.7109375" style="59"/>
    <col min="12813" max="12813" width="9.85546875" style="59" bestFit="1" customWidth="1"/>
    <col min="12814" max="12815" width="9.28515625" style="59" bestFit="1" customWidth="1"/>
    <col min="12816" max="13044" width="8.7109375" style="59"/>
    <col min="13045" max="13045" width="22.42578125" style="59" customWidth="1"/>
    <col min="13046" max="13046" width="8.7109375" style="59"/>
    <col min="13047" max="13047" width="12.42578125" style="59" customWidth="1"/>
    <col min="13048" max="13048" width="9.5703125" style="59" bestFit="1" customWidth="1"/>
    <col min="13049" max="13049" width="10.28515625" style="59" bestFit="1" customWidth="1"/>
    <col min="13050" max="13050" width="15.140625" style="59" customWidth="1"/>
    <col min="13051" max="13051" width="17.140625" style="59" customWidth="1"/>
    <col min="13052" max="13052" width="16.5703125" style="59" customWidth="1"/>
    <col min="13053" max="13053" width="10.7109375" style="59" customWidth="1"/>
    <col min="13054" max="13054" width="14.28515625" style="59" customWidth="1"/>
    <col min="13055" max="13055" width="17.85546875" style="59" customWidth="1"/>
    <col min="13056" max="13056" width="16.42578125" style="59" customWidth="1"/>
    <col min="13057" max="13057" width="12" style="59" customWidth="1"/>
    <col min="13058" max="13058" width="11.28515625" style="59" bestFit="1" customWidth="1"/>
    <col min="13059" max="13061" width="8.7109375" style="59"/>
    <col min="13062" max="13062" width="11.28515625" style="59" bestFit="1" customWidth="1"/>
    <col min="13063" max="13063" width="11.85546875" style="59" bestFit="1" customWidth="1"/>
    <col min="13064" max="13064" width="11.28515625" style="59" bestFit="1" customWidth="1"/>
    <col min="13065" max="13068" width="8.7109375" style="59"/>
    <col min="13069" max="13069" width="9.85546875" style="59" bestFit="1" customWidth="1"/>
    <col min="13070" max="13071" width="9.28515625" style="59" bestFit="1" customWidth="1"/>
    <col min="13072" max="13300" width="8.7109375" style="59"/>
    <col min="13301" max="13301" width="22.42578125" style="59" customWidth="1"/>
    <col min="13302" max="13302" width="8.7109375" style="59"/>
    <col min="13303" max="13303" width="12.42578125" style="59" customWidth="1"/>
    <col min="13304" max="13304" width="9.5703125" style="59" bestFit="1" customWidth="1"/>
    <col min="13305" max="13305" width="10.28515625" style="59" bestFit="1" customWidth="1"/>
    <col min="13306" max="13306" width="15.140625" style="59" customWidth="1"/>
    <col min="13307" max="13307" width="17.140625" style="59" customWidth="1"/>
    <col min="13308" max="13308" width="16.5703125" style="59" customWidth="1"/>
    <col min="13309" max="13309" width="10.7109375" style="59" customWidth="1"/>
    <col min="13310" max="13310" width="14.28515625" style="59" customWidth="1"/>
    <col min="13311" max="13311" width="17.85546875" style="59" customWidth="1"/>
    <col min="13312" max="13312" width="16.42578125" style="59" customWidth="1"/>
    <col min="13313" max="13313" width="12" style="59" customWidth="1"/>
    <col min="13314" max="13314" width="11.28515625" style="59" bestFit="1" customWidth="1"/>
    <col min="13315" max="13317" width="8.7109375" style="59"/>
    <col min="13318" max="13318" width="11.28515625" style="59" bestFit="1" customWidth="1"/>
    <col min="13319" max="13319" width="11.85546875" style="59" bestFit="1" customWidth="1"/>
    <col min="13320" max="13320" width="11.28515625" style="59" bestFit="1" customWidth="1"/>
    <col min="13321" max="13324" width="8.7109375" style="59"/>
    <col min="13325" max="13325" width="9.85546875" style="59" bestFit="1" customWidth="1"/>
    <col min="13326" max="13327" width="9.28515625" style="59" bestFit="1" customWidth="1"/>
    <col min="13328" max="13556" width="8.7109375" style="59"/>
    <col min="13557" max="13557" width="22.42578125" style="59" customWidth="1"/>
    <col min="13558" max="13558" width="8.7109375" style="59"/>
    <col min="13559" max="13559" width="12.42578125" style="59" customWidth="1"/>
    <col min="13560" max="13560" width="9.5703125" style="59" bestFit="1" customWidth="1"/>
    <col min="13561" max="13561" width="10.28515625" style="59" bestFit="1" customWidth="1"/>
    <col min="13562" max="13562" width="15.140625" style="59" customWidth="1"/>
    <col min="13563" max="13563" width="17.140625" style="59" customWidth="1"/>
    <col min="13564" max="13564" width="16.5703125" style="59" customWidth="1"/>
    <col min="13565" max="13565" width="10.7109375" style="59" customWidth="1"/>
    <col min="13566" max="13566" width="14.28515625" style="59" customWidth="1"/>
    <col min="13567" max="13567" width="17.85546875" style="59" customWidth="1"/>
    <col min="13568" max="13568" width="16.42578125" style="59" customWidth="1"/>
    <col min="13569" max="13569" width="12" style="59" customWidth="1"/>
    <col min="13570" max="13570" width="11.28515625" style="59" bestFit="1" customWidth="1"/>
    <col min="13571" max="13573" width="8.7109375" style="59"/>
    <col min="13574" max="13574" width="11.28515625" style="59" bestFit="1" customWidth="1"/>
    <col min="13575" max="13575" width="11.85546875" style="59" bestFit="1" customWidth="1"/>
    <col min="13576" max="13576" width="11.28515625" style="59" bestFit="1" customWidth="1"/>
    <col min="13577" max="13580" width="8.7109375" style="59"/>
    <col min="13581" max="13581" width="9.85546875" style="59" bestFit="1" customWidth="1"/>
    <col min="13582" max="13583" width="9.28515625" style="59" bestFit="1" customWidth="1"/>
    <col min="13584" max="13812" width="8.7109375" style="59"/>
    <col min="13813" max="13813" width="22.42578125" style="59" customWidth="1"/>
    <col min="13814" max="13814" width="8.7109375" style="59"/>
    <col min="13815" max="13815" width="12.42578125" style="59" customWidth="1"/>
    <col min="13816" max="13816" width="9.5703125" style="59" bestFit="1" customWidth="1"/>
    <col min="13817" max="13817" width="10.28515625" style="59" bestFit="1" customWidth="1"/>
    <col min="13818" max="13818" width="15.140625" style="59" customWidth="1"/>
    <col min="13819" max="13819" width="17.140625" style="59" customWidth="1"/>
    <col min="13820" max="13820" width="16.5703125" style="59" customWidth="1"/>
    <col min="13821" max="13821" width="10.7109375" style="59" customWidth="1"/>
    <col min="13822" max="13822" width="14.28515625" style="59" customWidth="1"/>
    <col min="13823" max="13823" width="17.85546875" style="59" customWidth="1"/>
    <col min="13824" max="13824" width="16.42578125" style="59" customWidth="1"/>
    <col min="13825" max="13825" width="12" style="59" customWidth="1"/>
    <col min="13826" max="13826" width="11.28515625" style="59" bestFit="1" customWidth="1"/>
    <col min="13827" max="13829" width="8.7109375" style="59"/>
    <col min="13830" max="13830" width="11.28515625" style="59" bestFit="1" customWidth="1"/>
    <col min="13831" max="13831" width="11.85546875" style="59" bestFit="1" customWidth="1"/>
    <col min="13832" max="13832" width="11.28515625" style="59" bestFit="1" customWidth="1"/>
    <col min="13833" max="13836" width="8.7109375" style="59"/>
    <col min="13837" max="13837" width="9.85546875" style="59" bestFit="1" customWidth="1"/>
    <col min="13838" max="13839" width="9.28515625" style="59" bestFit="1" customWidth="1"/>
    <col min="13840" max="14068" width="8.7109375" style="59"/>
    <col min="14069" max="14069" width="22.42578125" style="59" customWidth="1"/>
    <col min="14070" max="14070" width="8.7109375" style="59"/>
    <col min="14071" max="14071" width="12.42578125" style="59" customWidth="1"/>
    <col min="14072" max="14072" width="9.5703125" style="59" bestFit="1" customWidth="1"/>
    <col min="14073" max="14073" width="10.28515625" style="59" bestFit="1" customWidth="1"/>
    <col min="14074" max="14074" width="15.140625" style="59" customWidth="1"/>
    <col min="14075" max="14075" width="17.140625" style="59" customWidth="1"/>
    <col min="14076" max="14076" width="16.5703125" style="59" customWidth="1"/>
    <col min="14077" max="14077" width="10.7109375" style="59" customWidth="1"/>
    <col min="14078" max="14078" width="14.28515625" style="59" customWidth="1"/>
    <col min="14079" max="14079" width="17.85546875" style="59" customWidth="1"/>
    <col min="14080" max="14080" width="16.42578125" style="59" customWidth="1"/>
    <col min="14081" max="14081" width="12" style="59" customWidth="1"/>
    <col min="14082" max="14082" width="11.28515625" style="59" bestFit="1" customWidth="1"/>
    <col min="14083" max="14085" width="8.7109375" style="59"/>
    <col min="14086" max="14086" width="11.28515625" style="59" bestFit="1" customWidth="1"/>
    <col min="14087" max="14087" width="11.85546875" style="59" bestFit="1" customWidth="1"/>
    <col min="14088" max="14088" width="11.28515625" style="59" bestFit="1" customWidth="1"/>
    <col min="14089" max="14092" width="8.7109375" style="59"/>
    <col min="14093" max="14093" width="9.85546875" style="59" bestFit="1" customWidth="1"/>
    <col min="14094" max="14095" width="9.28515625" style="59" bestFit="1" customWidth="1"/>
    <col min="14096" max="14324" width="8.7109375" style="59"/>
    <col min="14325" max="14325" width="22.42578125" style="59" customWidth="1"/>
    <col min="14326" max="14326" width="8.7109375" style="59"/>
    <col min="14327" max="14327" width="12.42578125" style="59" customWidth="1"/>
    <col min="14328" max="14328" width="9.5703125" style="59" bestFit="1" customWidth="1"/>
    <col min="14329" max="14329" width="10.28515625" style="59" bestFit="1" customWidth="1"/>
    <col min="14330" max="14330" width="15.140625" style="59" customWidth="1"/>
    <col min="14331" max="14331" width="17.140625" style="59" customWidth="1"/>
    <col min="14332" max="14332" width="16.5703125" style="59" customWidth="1"/>
    <col min="14333" max="14333" width="10.7109375" style="59" customWidth="1"/>
    <col min="14334" max="14334" width="14.28515625" style="59" customWidth="1"/>
    <col min="14335" max="14335" width="17.85546875" style="59" customWidth="1"/>
    <col min="14336" max="14336" width="16.42578125" style="59" customWidth="1"/>
    <col min="14337" max="14337" width="12" style="59" customWidth="1"/>
    <col min="14338" max="14338" width="11.28515625" style="59" bestFit="1" customWidth="1"/>
    <col min="14339" max="14341" width="8.7109375" style="59"/>
    <col min="14342" max="14342" width="11.28515625" style="59" bestFit="1" customWidth="1"/>
    <col min="14343" max="14343" width="11.85546875" style="59" bestFit="1" customWidth="1"/>
    <col min="14344" max="14344" width="11.28515625" style="59" bestFit="1" customWidth="1"/>
    <col min="14345" max="14348" width="8.7109375" style="59"/>
    <col min="14349" max="14349" width="9.85546875" style="59" bestFit="1" customWidth="1"/>
    <col min="14350" max="14351" width="9.28515625" style="59" bestFit="1" customWidth="1"/>
    <col min="14352" max="14580" width="8.7109375" style="59"/>
    <col min="14581" max="14581" width="22.42578125" style="59" customWidth="1"/>
    <col min="14582" max="14582" width="8.7109375" style="59"/>
    <col min="14583" max="14583" width="12.42578125" style="59" customWidth="1"/>
    <col min="14584" max="14584" width="9.5703125" style="59" bestFit="1" customWidth="1"/>
    <col min="14585" max="14585" width="10.28515625" style="59" bestFit="1" customWidth="1"/>
    <col min="14586" max="14586" width="15.140625" style="59" customWidth="1"/>
    <col min="14587" max="14587" width="17.140625" style="59" customWidth="1"/>
    <col min="14588" max="14588" width="16.5703125" style="59" customWidth="1"/>
    <col min="14589" max="14589" width="10.7109375" style="59" customWidth="1"/>
    <col min="14590" max="14590" width="14.28515625" style="59" customWidth="1"/>
    <col min="14591" max="14591" width="17.85546875" style="59" customWidth="1"/>
    <col min="14592" max="14592" width="16.42578125" style="59" customWidth="1"/>
    <col min="14593" max="14593" width="12" style="59" customWidth="1"/>
    <col min="14594" max="14594" width="11.28515625" style="59" bestFit="1" customWidth="1"/>
    <col min="14595" max="14597" width="8.7109375" style="59"/>
    <col min="14598" max="14598" width="11.28515625" style="59" bestFit="1" customWidth="1"/>
    <col min="14599" max="14599" width="11.85546875" style="59" bestFit="1" customWidth="1"/>
    <col min="14600" max="14600" width="11.28515625" style="59" bestFit="1" customWidth="1"/>
    <col min="14601" max="14604" width="8.7109375" style="59"/>
    <col min="14605" max="14605" width="9.85546875" style="59" bestFit="1" customWidth="1"/>
    <col min="14606" max="14607" width="9.28515625" style="59" bestFit="1" customWidth="1"/>
    <col min="14608" max="14836" width="8.7109375" style="59"/>
    <col min="14837" max="14837" width="22.42578125" style="59" customWidth="1"/>
    <col min="14838" max="14838" width="8.7109375" style="59"/>
    <col min="14839" max="14839" width="12.42578125" style="59" customWidth="1"/>
    <col min="14840" max="14840" width="9.5703125" style="59" bestFit="1" customWidth="1"/>
    <col min="14841" max="14841" width="10.28515625" style="59" bestFit="1" customWidth="1"/>
    <col min="14842" max="14842" width="15.140625" style="59" customWidth="1"/>
    <col min="14843" max="14843" width="17.140625" style="59" customWidth="1"/>
    <col min="14844" max="14844" width="16.5703125" style="59" customWidth="1"/>
    <col min="14845" max="14845" width="10.7109375" style="59" customWidth="1"/>
    <col min="14846" max="14846" width="14.28515625" style="59" customWidth="1"/>
    <col min="14847" max="14847" width="17.85546875" style="59" customWidth="1"/>
    <col min="14848" max="14848" width="16.42578125" style="59" customWidth="1"/>
    <col min="14849" max="14849" width="12" style="59" customWidth="1"/>
    <col min="14850" max="14850" width="11.28515625" style="59" bestFit="1" customWidth="1"/>
    <col min="14851" max="14853" width="8.7109375" style="59"/>
    <col min="14854" max="14854" width="11.28515625" style="59" bestFit="1" customWidth="1"/>
    <col min="14855" max="14855" width="11.85546875" style="59" bestFit="1" customWidth="1"/>
    <col min="14856" max="14856" width="11.28515625" style="59" bestFit="1" customWidth="1"/>
    <col min="14857" max="14860" width="8.7109375" style="59"/>
    <col min="14861" max="14861" width="9.85546875" style="59" bestFit="1" customWidth="1"/>
    <col min="14862" max="14863" width="9.28515625" style="59" bestFit="1" customWidth="1"/>
    <col min="14864" max="15092" width="8.7109375" style="59"/>
    <col min="15093" max="15093" width="22.42578125" style="59" customWidth="1"/>
    <col min="15094" max="15094" width="8.7109375" style="59"/>
    <col min="15095" max="15095" width="12.42578125" style="59" customWidth="1"/>
    <col min="15096" max="15096" width="9.5703125" style="59" bestFit="1" customWidth="1"/>
    <col min="15097" max="15097" width="10.28515625" style="59" bestFit="1" customWidth="1"/>
    <col min="15098" max="15098" width="15.140625" style="59" customWidth="1"/>
    <col min="15099" max="15099" width="17.140625" style="59" customWidth="1"/>
    <col min="15100" max="15100" width="16.5703125" style="59" customWidth="1"/>
    <col min="15101" max="15101" width="10.7109375" style="59" customWidth="1"/>
    <col min="15102" max="15102" width="14.28515625" style="59" customWidth="1"/>
    <col min="15103" max="15103" width="17.85546875" style="59" customWidth="1"/>
    <col min="15104" max="15104" width="16.42578125" style="59" customWidth="1"/>
    <col min="15105" max="15105" width="12" style="59" customWidth="1"/>
    <col min="15106" max="15106" width="11.28515625" style="59" bestFit="1" customWidth="1"/>
    <col min="15107" max="15109" width="8.7109375" style="59"/>
    <col min="15110" max="15110" width="11.28515625" style="59" bestFit="1" customWidth="1"/>
    <col min="15111" max="15111" width="11.85546875" style="59" bestFit="1" customWidth="1"/>
    <col min="15112" max="15112" width="11.28515625" style="59" bestFit="1" customWidth="1"/>
    <col min="15113" max="15116" width="8.7109375" style="59"/>
    <col min="15117" max="15117" width="9.85546875" style="59" bestFit="1" customWidth="1"/>
    <col min="15118" max="15119" width="9.28515625" style="59" bestFit="1" customWidth="1"/>
    <col min="15120" max="15348" width="8.7109375" style="59"/>
    <col min="15349" max="15349" width="22.42578125" style="59" customWidth="1"/>
    <col min="15350" max="15350" width="8.7109375" style="59"/>
    <col min="15351" max="15351" width="12.42578125" style="59" customWidth="1"/>
    <col min="15352" max="15352" width="9.5703125" style="59" bestFit="1" customWidth="1"/>
    <col min="15353" max="15353" width="10.28515625" style="59" bestFit="1" customWidth="1"/>
    <col min="15354" max="15354" width="15.140625" style="59" customWidth="1"/>
    <col min="15355" max="15355" width="17.140625" style="59" customWidth="1"/>
    <col min="15356" max="15356" width="16.5703125" style="59" customWidth="1"/>
    <col min="15357" max="15357" width="10.7109375" style="59" customWidth="1"/>
    <col min="15358" max="15358" width="14.28515625" style="59" customWidth="1"/>
    <col min="15359" max="15359" width="17.85546875" style="59" customWidth="1"/>
    <col min="15360" max="15360" width="16.42578125" style="59" customWidth="1"/>
    <col min="15361" max="15361" width="12" style="59" customWidth="1"/>
    <col min="15362" max="15362" width="11.28515625" style="59" bestFit="1" customWidth="1"/>
    <col min="15363" max="15365" width="8.7109375" style="59"/>
    <col min="15366" max="15366" width="11.28515625" style="59" bestFit="1" customWidth="1"/>
    <col min="15367" max="15367" width="11.85546875" style="59" bestFit="1" customWidth="1"/>
    <col min="15368" max="15368" width="11.28515625" style="59" bestFit="1" customWidth="1"/>
    <col min="15369" max="15372" width="8.7109375" style="59"/>
    <col min="15373" max="15373" width="9.85546875" style="59" bestFit="1" customWidth="1"/>
    <col min="15374" max="15375" width="9.28515625" style="59" bestFit="1" customWidth="1"/>
    <col min="15376" max="15604" width="8.7109375" style="59"/>
    <col min="15605" max="15605" width="22.42578125" style="59" customWidth="1"/>
    <col min="15606" max="15606" width="8.7109375" style="59"/>
    <col min="15607" max="15607" width="12.42578125" style="59" customWidth="1"/>
    <col min="15608" max="15608" width="9.5703125" style="59" bestFit="1" customWidth="1"/>
    <col min="15609" max="15609" width="10.28515625" style="59" bestFit="1" customWidth="1"/>
    <col min="15610" max="15610" width="15.140625" style="59" customWidth="1"/>
    <col min="15611" max="15611" width="17.140625" style="59" customWidth="1"/>
    <col min="15612" max="15612" width="16.5703125" style="59" customWidth="1"/>
    <col min="15613" max="15613" width="10.7109375" style="59" customWidth="1"/>
    <col min="15614" max="15614" width="14.28515625" style="59" customWidth="1"/>
    <col min="15615" max="15615" width="17.85546875" style="59" customWidth="1"/>
    <col min="15616" max="15616" width="16.42578125" style="59" customWidth="1"/>
    <col min="15617" max="15617" width="12" style="59" customWidth="1"/>
    <col min="15618" max="15618" width="11.28515625" style="59" bestFit="1" customWidth="1"/>
    <col min="15619" max="15621" width="8.7109375" style="59"/>
    <col min="15622" max="15622" width="11.28515625" style="59" bestFit="1" customWidth="1"/>
    <col min="15623" max="15623" width="11.85546875" style="59" bestFit="1" customWidth="1"/>
    <col min="15624" max="15624" width="11.28515625" style="59" bestFit="1" customWidth="1"/>
    <col min="15625" max="15628" width="8.7109375" style="59"/>
    <col min="15629" max="15629" width="9.85546875" style="59" bestFit="1" customWidth="1"/>
    <col min="15630" max="15631" width="9.28515625" style="59" bestFit="1" customWidth="1"/>
    <col min="15632" max="15860" width="8.7109375" style="59"/>
    <col min="15861" max="15861" width="22.42578125" style="59" customWidth="1"/>
    <col min="15862" max="15862" width="8.7109375" style="59"/>
    <col min="15863" max="15863" width="12.42578125" style="59" customWidth="1"/>
    <col min="15864" max="15864" width="9.5703125" style="59" bestFit="1" customWidth="1"/>
    <col min="15865" max="15865" width="10.28515625" style="59" bestFit="1" customWidth="1"/>
    <col min="15866" max="15866" width="15.140625" style="59" customWidth="1"/>
    <col min="15867" max="15867" width="17.140625" style="59" customWidth="1"/>
    <col min="15868" max="15868" width="16.5703125" style="59" customWidth="1"/>
    <col min="15869" max="15869" width="10.7109375" style="59" customWidth="1"/>
    <col min="15870" max="15870" width="14.28515625" style="59" customWidth="1"/>
    <col min="15871" max="15871" width="17.85546875" style="59" customWidth="1"/>
    <col min="15872" max="15872" width="16.42578125" style="59" customWidth="1"/>
    <col min="15873" max="15873" width="12" style="59" customWidth="1"/>
    <col min="15874" max="15874" width="11.28515625" style="59" bestFit="1" customWidth="1"/>
    <col min="15875" max="15877" width="8.7109375" style="59"/>
    <col min="15878" max="15878" width="11.28515625" style="59" bestFit="1" customWidth="1"/>
    <col min="15879" max="15879" width="11.85546875" style="59" bestFit="1" customWidth="1"/>
    <col min="15880" max="15880" width="11.28515625" style="59" bestFit="1" customWidth="1"/>
    <col min="15881" max="15884" width="8.7109375" style="59"/>
    <col min="15885" max="15885" width="9.85546875" style="59" bestFit="1" customWidth="1"/>
    <col min="15886" max="15887" width="9.28515625" style="59" bestFit="1" customWidth="1"/>
    <col min="15888" max="16116" width="8.7109375" style="59"/>
    <col min="16117" max="16117" width="22.42578125" style="59" customWidth="1"/>
    <col min="16118" max="16118" width="8.7109375" style="59"/>
    <col min="16119" max="16119" width="12.42578125" style="59" customWidth="1"/>
    <col min="16120" max="16120" width="9.5703125" style="59" bestFit="1" customWidth="1"/>
    <col min="16121" max="16121" width="10.28515625" style="59" bestFit="1" customWidth="1"/>
    <col min="16122" max="16122" width="15.140625" style="59" customWidth="1"/>
    <col min="16123" max="16123" width="17.140625" style="59" customWidth="1"/>
    <col min="16124" max="16124" width="16.5703125" style="59" customWidth="1"/>
    <col min="16125" max="16125" width="10.7109375" style="59" customWidth="1"/>
    <col min="16126" max="16126" width="14.28515625" style="59" customWidth="1"/>
    <col min="16127" max="16127" width="17.85546875" style="59" customWidth="1"/>
    <col min="16128" max="16128" width="16.42578125" style="59" customWidth="1"/>
    <col min="16129" max="16129" width="12" style="59" customWidth="1"/>
    <col min="16130" max="16130" width="11.28515625" style="59" bestFit="1" customWidth="1"/>
    <col min="16131" max="16133" width="8.7109375" style="59"/>
    <col min="16134" max="16134" width="11.28515625" style="59" bestFit="1" customWidth="1"/>
    <col min="16135" max="16135" width="11.85546875" style="59" bestFit="1" customWidth="1"/>
    <col min="16136" max="16136" width="11.28515625" style="59" bestFit="1" customWidth="1"/>
    <col min="16137" max="16140" width="8.7109375" style="59"/>
    <col min="16141" max="16141" width="9.85546875" style="59" bestFit="1" customWidth="1"/>
    <col min="16142" max="16143" width="9.28515625" style="59" bestFit="1" customWidth="1"/>
    <col min="16144" max="16384" width="8.7109375" style="59"/>
  </cols>
  <sheetData>
    <row r="1" spans="1:25" ht="12.6" customHeight="1" x14ac:dyDescent="0.2">
      <c r="K1" s="62"/>
    </row>
    <row r="2" spans="1:25" ht="10.5" x14ac:dyDescent="0.25">
      <c r="A2" s="6" t="str">
        <f ca="1">CELL("FILENAME")</f>
        <v>F:\Account\PUBLIC\Randy M\rate case\[question 91 rate case.xlsx]Prepaid @ 3.31.21</v>
      </c>
      <c r="B2" s="7"/>
      <c r="C2" s="7"/>
      <c r="D2" s="7"/>
      <c r="E2" s="8" t="s">
        <v>0</v>
      </c>
      <c r="F2" s="9"/>
      <c r="G2" s="10"/>
      <c r="H2" s="11"/>
      <c r="I2" s="12"/>
      <c r="J2" s="13"/>
      <c r="K2" s="14"/>
      <c r="L2" s="15" t="s">
        <v>1</v>
      </c>
      <c r="M2" s="16"/>
      <c r="N2" s="17"/>
      <c r="O2" s="18"/>
      <c r="P2" s="19" t="s">
        <v>1</v>
      </c>
      <c r="Q2" s="16"/>
      <c r="R2" s="17"/>
      <c r="S2" s="18"/>
      <c r="T2" s="19" t="s">
        <v>1</v>
      </c>
      <c r="U2" s="16"/>
      <c r="V2" s="17"/>
      <c r="W2" s="18"/>
      <c r="X2" s="19" t="s">
        <v>1</v>
      </c>
    </row>
    <row r="3" spans="1:25" ht="10.5" x14ac:dyDescent="0.25">
      <c r="A3" s="20" t="s">
        <v>2</v>
      </c>
      <c r="B3" s="21" t="s">
        <v>3</v>
      </c>
      <c r="C3" s="21" t="s">
        <v>4</v>
      </c>
      <c r="D3" s="21" t="s">
        <v>5</v>
      </c>
      <c r="E3" s="19" t="s">
        <v>6</v>
      </c>
      <c r="F3" s="19" t="s">
        <v>7</v>
      </c>
      <c r="G3" s="22" t="s">
        <v>8</v>
      </c>
      <c r="H3" s="23" t="s">
        <v>9</v>
      </c>
      <c r="I3" s="24">
        <v>44227</v>
      </c>
      <c r="J3" s="25">
        <f>I3+28</f>
        <v>44255</v>
      </c>
      <c r="K3" s="25">
        <f>J3+31</f>
        <v>44286</v>
      </c>
      <c r="L3" s="26">
        <f>K3</f>
        <v>44286</v>
      </c>
      <c r="M3" s="27">
        <f>K3+30</f>
        <v>44316</v>
      </c>
      <c r="N3" s="28">
        <f>M3+31</f>
        <v>44347</v>
      </c>
      <c r="O3" s="28">
        <f>N3+30</f>
        <v>44377</v>
      </c>
      <c r="P3" s="26">
        <v>44012</v>
      </c>
      <c r="Q3" s="27">
        <f>O3+30</f>
        <v>44407</v>
      </c>
      <c r="R3" s="28">
        <f>Q3+31</f>
        <v>44438</v>
      </c>
      <c r="S3" s="28">
        <f>R3+30</f>
        <v>44468</v>
      </c>
      <c r="T3" s="26">
        <v>44104</v>
      </c>
      <c r="U3" s="27">
        <f>S3+30</f>
        <v>44498</v>
      </c>
      <c r="V3" s="28">
        <f>U3+31</f>
        <v>44529</v>
      </c>
      <c r="W3" s="28">
        <f>V3+30</f>
        <v>44559</v>
      </c>
      <c r="X3" s="26">
        <v>44196</v>
      </c>
    </row>
    <row r="4" spans="1:25" ht="10.5" x14ac:dyDescent="0.25">
      <c r="A4" s="42" t="s">
        <v>16</v>
      </c>
      <c r="B4" s="34"/>
      <c r="C4" s="34"/>
      <c r="D4" s="63" t="s">
        <v>17</v>
      </c>
      <c r="E4" s="35"/>
      <c r="F4" s="35"/>
      <c r="G4" s="64"/>
      <c r="H4" s="37">
        <v>-113.17</v>
      </c>
      <c r="I4" s="39"/>
      <c r="J4" s="39"/>
      <c r="K4" s="39"/>
      <c r="L4" s="38">
        <f>H4</f>
        <v>-113.17</v>
      </c>
      <c r="M4" s="39"/>
      <c r="N4" s="39"/>
      <c r="O4" s="39"/>
      <c r="P4" s="36">
        <f>L4</f>
        <v>-113.17</v>
      </c>
      <c r="Q4" s="39"/>
      <c r="R4" s="39"/>
      <c r="S4" s="39"/>
      <c r="T4" s="36">
        <f>P4</f>
        <v>-113.17</v>
      </c>
      <c r="U4" s="39"/>
      <c r="V4" s="39"/>
      <c r="W4" s="39"/>
      <c r="X4" s="36">
        <f>T4</f>
        <v>-113.17</v>
      </c>
    </row>
    <row r="5" spans="1:25" s="65" customFormat="1" ht="10.5" x14ac:dyDescent="0.25">
      <c r="A5" s="42"/>
      <c r="B5" s="34"/>
      <c r="C5" s="35"/>
      <c r="D5" s="42"/>
      <c r="E5" s="35"/>
      <c r="F5" s="35"/>
      <c r="G5" s="64"/>
      <c r="H5" s="37">
        <v>0</v>
      </c>
      <c r="I5" s="39">
        <v>0</v>
      </c>
      <c r="J5" s="39"/>
      <c r="K5" s="39"/>
      <c r="L5" s="38">
        <f t="shared" ref="L5" si="0">SUM(H5-I5-J5-K5)</f>
        <v>0</v>
      </c>
      <c r="M5" s="39"/>
      <c r="N5" s="39"/>
      <c r="O5" s="39"/>
      <c r="P5" s="36">
        <f>SUM(L5-M5-N5-O5)</f>
        <v>0</v>
      </c>
      <c r="Q5" s="39"/>
      <c r="R5" s="39"/>
      <c r="S5" s="39"/>
      <c r="T5" s="36">
        <f>SUM(P5-Q5-R5-S5)</f>
        <v>0</v>
      </c>
      <c r="U5" s="39"/>
      <c r="V5" s="39"/>
      <c r="W5" s="39"/>
      <c r="X5" s="36">
        <f>SUM(T5-U5-V5-W5)</f>
        <v>0</v>
      </c>
    </row>
    <row r="6" spans="1:25" s="65" customFormat="1" ht="10.5" x14ac:dyDescent="0.25">
      <c r="A6" s="66">
        <v>1191900</v>
      </c>
      <c r="B6" s="45"/>
      <c r="C6" s="46"/>
      <c r="D6" s="42" t="s">
        <v>18</v>
      </c>
      <c r="E6" s="35"/>
      <c r="F6" s="35"/>
      <c r="G6" s="36"/>
      <c r="H6" s="67">
        <v>1.8189894035458565E-12</v>
      </c>
      <c r="I6" s="39">
        <v>0</v>
      </c>
      <c r="J6" s="39"/>
      <c r="K6" s="39"/>
      <c r="L6" s="38">
        <f>SUM(H6-K6-J6-I6)</f>
        <v>1.8189894035458565E-12</v>
      </c>
      <c r="M6" s="39"/>
      <c r="N6" s="39"/>
      <c r="O6" s="39"/>
      <c r="P6" s="43">
        <f t="shared" ref="P6:P26" si="1">SUM(L6-M6-N6-O6)</f>
        <v>1.8189894035458565E-12</v>
      </c>
      <c r="Q6" s="39"/>
      <c r="R6" s="39"/>
      <c r="S6" s="39"/>
      <c r="T6" s="43">
        <f t="shared" ref="T6:T26" si="2">SUM(P6-Q6-R6-S6)</f>
        <v>1.8189894035458565E-12</v>
      </c>
      <c r="U6" s="39"/>
      <c r="V6" s="39"/>
      <c r="W6" s="40"/>
      <c r="X6" s="43">
        <f t="shared" ref="X6:X8" si="3">SUM(T6-U6-V6-W6)</f>
        <v>1.8189894035458565E-12</v>
      </c>
    </row>
    <row r="7" spans="1:25" s="65" customFormat="1" ht="10.5" x14ac:dyDescent="0.25">
      <c r="A7" s="66">
        <v>1191900</v>
      </c>
      <c r="B7" s="45"/>
      <c r="C7" s="46"/>
      <c r="D7" s="42" t="s">
        <v>18</v>
      </c>
      <c r="E7" s="35">
        <v>44013</v>
      </c>
      <c r="F7" s="35">
        <v>44377</v>
      </c>
      <c r="G7" s="36">
        <v>95242.47</v>
      </c>
      <c r="H7" s="67">
        <v>47621.250000000007</v>
      </c>
      <c r="I7" s="39">
        <v>7936.87</v>
      </c>
      <c r="J7" s="39">
        <v>7936.87</v>
      </c>
      <c r="K7" s="39">
        <v>7936.87</v>
      </c>
      <c r="L7" s="38">
        <f t="shared" ref="L7:L10" si="4">SUM(H7-K7-J7-I7)</f>
        <v>23810.640000000007</v>
      </c>
      <c r="M7" s="39"/>
      <c r="N7" s="39"/>
      <c r="O7" s="39"/>
      <c r="P7" s="43">
        <f t="shared" si="1"/>
        <v>23810.640000000007</v>
      </c>
      <c r="Q7" s="39"/>
      <c r="R7" s="39"/>
      <c r="S7" s="39"/>
      <c r="T7" s="43">
        <f t="shared" si="2"/>
        <v>23810.640000000007</v>
      </c>
      <c r="U7" s="39"/>
      <c r="V7" s="39"/>
      <c r="W7" s="40"/>
      <c r="X7" s="43">
        <f t="shared" si="3"/>
        <v>23810.640000000007</v>
      </c>
    </row>
    <row r="8" spans="1:25" s="65" customFormat="1" ht="10.5" x14ac:dyDescent="0.25">
      <c r="A8" s="66">
        <v>1191900</v>
      </c>
      <c r="B8" s="45"/>
      <c r="C8" s="46"/>
      <c r="D8" s="42" t="s">
        <v>19</v>
      </c>
      <c r="E8" s="35">
        <v>43894</v>
      </c>
      <c r="F8" s="35">
        <v>44259</v>
      </c>
      <c r="G8" s="36">
        <v>4299.75</v>
      </c>
      <c r="H8" s="67">
        <v>689.29999999999973</v>
      </c>
      <c r="I8" s="39">
        <v>344.66</v>
      </c>
      <c r="J8" s="39">
        <v>344.66</v>
      </c>
      <c r="K8" s="39"/>
      <c r="L8" s="38">
        <f t="shared" si="4"/>
        <v>-2.0000000000322871E-2</v>
      </c>
      <c r="M8" s="39"/>
      <c r="N8" s="39"/>
      <c r="O8" s="39"/>
      <c r="P8" s="43">
        <f t="shared" si="1"/>
        <v>-2.0000000000322871E-2</v>
      </c>
      <c r="Q8" s="39"/>
      <c r="R8" s="39"/>
      <c r="S8" s="39"/>
      <c r="T8" s="43">
        <f t="shared" si="2"/>
        <v>-2.0000000000322871E-2</v>
      </c>
      <c r="U8" s="39"/>
      <c r="V8" s="39"/>
      <c r="W8" s="40"/>
      <c r="X8" s="43">
        <f t="shared" si="3"/>
        <v>-2.0000000000322871E-2</v>
      </c>
    </row>
    <row r="9" spans="1:25" s="65" customFormat="1" ht="10.5" x14ac:dyDescent="0.25">
      <c r="A9" s="66"/>
      <c r="B9" s="45"/>
      <c r="C9" s="46"/>
      <c r="D9" s="42"/>
      <c r="E9" s="35"/>
      <c r="F9" s="35"/>
      <c r="G9" s="36"/>
      <c r="H9" s="67">
        <v>-5.6843418860808015E-14</v>
      </c>
      <c r="I9" s="39"/>
      <c r="J9" s="39"/>
      <c r="K9" s="39"/>
      <c r="L9" s="38">
        <f t="shared" si="4"/>
        <v>-5.6843418860808015E-14</v>
      </c>
      <c r="M9" s="39"/>
      <c r="N9" s="39"/>
      <c r="O9" s="39"/>
      <c r="P9" s="43">
        <f t="shared" si="1"/>
        <v>-5.6843418860808015E-14</v>
      </c>
      <c r="Q9" s="39"/>
      <c r="R9" s="39"/>
      <c r="S9" s="39"/>
      <c r="T9" s="43">
        <f t="shared" si="2"/>
        <v>-5.6843418860808015E-14</v>
      </c>
      <c r="U9" s="39"/>
      <c r="V9" s="39"/>
      <c r="W9" s="40"/>
      <c r="X9" s="43">
        <f>SUM(T9-U9-V9-W9)</f>
        <v>-5.6843418860808015E-14</v>
      </c>
    </row>
    <row r="10" spans="1:25" s="65" customFormat="1" ht="10.5" x14ac:dyDescent="0.25">
      <c r="A10" s="66">
        <v>1191900</v>
      </c>
      <c r="B10" s="45"/>
      <c r="C10" s="46"/>
      <c r="D10" s="42" t="s">
        <v>20</v>
      </c>
      <c r="E10" s="35">
        <v>44122</v>
      </c>
      <c r="F10" s="35">
        <v>44486</v>
      </c>
      <c r="G10" s="36">
        <f>8376.6+7472.02</f>
        <v>15848.62</v>
      </c>
      <c r="H10" s="67">
        <f>21159.46-7472.02</f>
        <v>13687.439999999999</v>
      </c>
      <c r="I10" s="39">
        <v>1440.78</v>
      </c>
      <c r="J10" s="39">
        <v>1440.78</v>
      </c>
      <c r="K10" s="39">
        <v>1440.78</v>
      </c>
      <c r="L10" s="38">
        <f t="shared" si="4"/>
        <v>9365.0999999999967</v>
      </c>
      <c r="M10" s="39"/>
      <c r="N10" s="39"/>
      <c r="O10" s="39"/>
      <c r="P10" s="43">
        <f t="shared" si="1"/>
        <v>9365.0999999999967</v>
      </c>
      <c r="Q10" s="39"/>
      <c r="R10" s="39"/>
      <c r="S10" s="39"/>
      <c r="T10" s="43">
        <f t="shared" si="2"/>
        <v>9365.0999999999967</v>
      </c>
      <c r="U10" s="39"/>
      <c r="V10" s="39"/>
      <c r="W10" s="40"/>
      <c r="X10" s="43">
        <f>SUM(T10-U10-V10-W10)+V11</f>
        <v>9365.0999999999967</v>
      </c>
    </row>
    <row r="11" spans="1:25" s="65" customFormat="1" ht="10.5" x14ac:dyDescent="0.25">
      <c r="A11" s="66"/>
      <c r="B11" s="45"/>
      <c r="C11" s="46"/>
      <c r="D11" s="42"/>
      <c r="E11" s="35"/>
      <c r="F11" s="35"/>
      <c r="G11" s="36">
        <v>0</v>
      </c>
      <c r="H11" s="67"/>
      <c r="I11" s="39"/>
      <c r="J11" s="39"/>
      <c r="K11" s="39"/>
      <c r="L11" s="38"/>
      <c r="M11" s="39"/>
      <c r="N11" s="39"/>
      <c r="O11" s="39"/>
      <c r="P11" s="43">
        <f t="shared" si="1"/>
        <v>0</v>
      </c>
      <c r="Q11" s="39"/>
      <c r="R11" s="39"/>
      <c r="S11" s="39"/>
      <c r="T11" s="43">
        <f t="shared" si="2"/>
        <v>0</v>
      </c>
      <c r="U11" s="39"/>
      <c r="V11" s="39"/>
      <c r="W11" s="40"/>
      <c r="X11" s="43"/>
    </row>
    <row r="12" spans="1:25" ht="10.5" x14ac:dyDescent="0.25">
      <c r="A12" s="54"/>
      <c r="B12" s="55"/>
      <c r="C12" s="55"/>
      <c r="D12" s="55"/>
      <c r="E12" s="55"/>
      <c r="F12" s="55"/>
      <c r="G12" s="56"/>
      <c r="H12" s="56">
        <f>SUM(H4:H11)</f>
        <v>61884.820000000007</v>
      </c>
      <c r="I12" s="56">
        <f t="shared" ref="I12" si="5">SUM(I4:I11)</f>
        <v>9722.3100000000013</v>
      </c>
      <c r="J12" s="56">
        <f t="shared" ref="J12:R12" si="6">SUM(J4:J9)</f>
        <v>8281.5300000000007</v>
      </c>
      <c r="K12" s="56">
        <f t="shared" si="6"/>
        <v>7936.87</v>
      </c>
      <c r="L12" s="56">
        <f>SUM(L4:L11)</f>
        <v>33062.550000000003</v>
      </c>
      <c r="M12" s="56">
        <f t="shared" si="6"/>
        <v>0</v>
      </c>
      <c r="N12" s="56">
        <f t="shared" si="6"/>
        <v>0</v>
      </c>
      <c r="O12" s="56">
        <f t="shared" si="6"/>
        <v>0</v>
      </c>
      <c r="P12" s="56">
        <f t="shared" si="6"/>
        <v>23697.450000000008</v>
      </c>
      <c r="Q12" s="56">
        <f t="shared" si="6"/>
        <v>0</v>
      </c>
      <c r="R12" s="56">
        <f t="shared" si="6"/>
        <v>0</v>
      </c>
      <c r="S12" s="56">
        <f>SUM(S4:S10)</f>
        <v>0</v>
      </c>
      <c r="T12" s="56">
        <f>SUM(T4:T11)</f>
        <v>33062.550000000003</v>
      </c>
      <c r="U12" s="56">
        <f t="shared" ref="U12:W12" si="7">SUM(U4:U11)</f>
        <v>0</v>
      </c>
      <c r="V12" s="56">
        <f t="shared" si="7"/>
        <v>0</v>
      </c>
      <c r="W12" s="56">
        <f t="shared" si="7"/>
        <v>0</v>
      </c>
      <c r="X12" s="56">
        <f>SUM(X4:X11)</f>
        <v>33062.550000000003</v>
      </c>
    </row>
    <row r="13" spans="1:25" s="65" customFormat="1" ht="10.5" x14ac:dyDescent="0.25">
      <c r="A13" s="66"/>
      <c r="B13" s="68"/>
      <c r="C13" s="69"/>
      <c r="D13" s="70"/>
      <c r="E13" s="71"/>
      <c r="F13" s="71"/>
      <c r="G13" s="72"/>
      <c r="H13" s="73"/>
      <c r="I13" s="74"/>
      <c r="J13" s="74"/>
      <c r="K13" s="74"/>
      <c r="L13" s="75"/>
      <c r="M13" s="74"/>
      <c r="N13" s="74"/>
      <c r="O13" s="74"/>
      <c r="P13" s="72"/>
      <c r="Q13" s="76"/>
      <c r="R13" s="74"/>
      <c r="S13" s="74"/>
      <c r="T13" s="72"/>
      <c r="U13" s="76"/>
      <c r="V13" s="74"/>
      <c r="W13" s="74"/>
      <c r="X13" s="72"/>
    </row>
    <row r="14" spans="1:25" s="65" customFormat="1" ht="10.5" x14ac:dyDescent="0.25">
      <c r="A14" s="66"/>
      <c r="B14" s="68"/>
      <c r="C14" s="69"/>
      <c r="D14" s="70"/>
      <c r="E14" s="71"/>
      <c r="F14" s="71"/>
      <c r="G14" s="72"/>
      <c r="H14" s="77">
        <f>SUM(H4:H11)</f>
        <v>61884.820000000007</v>
      </c>
      <c r="I14" s="77">
        <f>H14-SUM(I7:I11)</f>
        <v>52162.510000000009</v>
      </c>
      <c r="J14" s="77">
        <f>I14-SUM(J7:J10)</f>
        <v>42440.200000000012</v>
      </c>
      <c r="K14" s="77">
        <f>J14-SUM(K7:K10)</f>
        <v>33062.55000000001</v>
      </c>
      <c r="L14" s="77">
        <f>SUM(L4:L9)</f>
        <v>23697.450000000008</v>
      </c>
      <c r="M14" s="61"/>
      <c r="N14" s="60"/>
      <c r="O14" s="60"/>
      <c r="P14" s="77">
        <f>SUM($P$4:$P$9)</f>
        <v>23697.450000000008</v>
      </c>
      <c r="Q14" s="77">
        <f>SUM($P$7:$P$9)-SUM(Q7:Q9)+P4</f>
        <v>23697.450000000008</v>
      </c>
      <c r="R14" s="77">
        <f>Q14-SUM(R7:R9)</f>
        <v>23697.450000000008</v>
      </c>
      <c r="S14" s="77">
        <f>R14-SUM(S7:S10)</f>
        <v>23697.450000000008</v>
      </c>
      <c r="T14" s="77"/>
      <c r="U14" s="77">
        <f>S14-SUM(U7:U10)</f>
        <v>23697.450000000008</v>
      </c>
      <c r="V14" s="77">
        <f>U14-SUM(V7:V11)</f>
        <v>23697.450000000008</v>
      </c>
      <c r="W14" s="77">
        <f>V14-SUM(W7:W11)</f>
        <v>23697.450000000008</v>
      </c>
      <c r="X14" s="77"/>
    </row>
    <row r="15" spans="1:25" s="65" customFormat="1" ht="10.5" x14ac:dyDescent="0.25">
      <c r="A15" s="66"/>
      <c r="B15" s="68"/>
      <c r="C15" s="69"/>
      <c r="D15" s="70"/>
      <c r="E15" s="71"/>
      <c r="F15" s="71"/>
      <c r="G15" s="72"/>
      <c r="H15" s="78">
        <f>61884.82-H14</f>
        <v>0</v>
      </c>
      <c r="I15" s="79">
        <v>52162.51</v>
      </c>
      <c r="J15" s="79">
        <v>42440.2</v>
      </c>
      <c r="K15" s="79">
        <v>33062.550000000003</v>
      </c>
      <c r="L15" s="78">
        <f>61884.82-L14</f>
        <v>38187.369999999995</v>
      </c>
      <c r="M15" s="61"/>
      <c r="N15" s="60"/>
      <c r="O15" s="60"/>
      <c r="P15" s="80">
        <v>101147.33</v>
      </c>
      <c r="Q15" s="81">
        <v>91929.84</v>
      </c>
      <c r="R15" s="81">
        <v>82712.350000000006</v>
      </c>
      <c r="S15" s="81">
        <v>81901.649999999994</v>
      </c>
      <c r="T15" s="59"/>
      <c r="U15" s="81">
        <v>72788.02</v>
      </c>
      <c r="V15" s="81">
        <v>71607.13</v>
      </c>
      <c r="W15" s="60"/>
      <c r="X15" s="59"/>
    </row>
    <row r="16" spans="1:25" s="65" customFormat="1" ht="10.5" x14ac:dyDescent="0.25">
      <c r="A16" s="66"/>
      <c r="B16" s="68"/>
      <c r="C16" s="69"/>
      <c r="D16" s="70"/>
      <c r="E16" s="71"/>
      <c r="F16" s="71"/>
      <c r="G16" s="72"/>
      <c r="H16" s="59"/>
      <c r="I16" s="78">
        <f t="shared" ref="I16:K16" si="8">I14-I15</f>
        <v>0</v>
      </c>
      <c r="J16" s="78">
        <f t="shared" si="8"/>
        <v>0</v>
      </c>
      <c r="K16" s="78">
        <f t="shared" si="8"/>
        <v>0</v>
      </c>
      <c r="L16" s="59"/>
      <c r="M16" s="61"/>
      <c r="N16" s="60"/>
      <c r="O16" s="60"/>
      <c r="P16" s="78">
        <f t="shared" ref="P16:X16" si="9">P14-P15</f>
        <v>-77449.87999999999</v>
      </c>
      <c r="Q16" s="78">
        <f t="shared" si="9"/>
        <v>-68232.389999999985</v>
      </c>
      <c r="R16" s="78">
        <f t="shared" si="9"/>
        <v>-59014.899999999994</v>
      </c>
      <c r="S16" s="78">
        <f t="shared" si="9"/>
        <v>-58204.199999999983</v>
      </c>
      <c r="T16" s="78">
        <f t="shared" si="9"/>
        <v>0</v>
      </c>
      <c r="U16" s="78">
        <f t="shared" si="9"/>
        <v>-49090.569999999992</v>
      </c>
      <c r="V16" s="78">
        <f t="shared" si="9"/>
        <v>-47909.679999999993</v>
      </c>
      <c r="W16" s="78">
        <f t="shared" si="9"/>
        <v>23697.450000000008</v>
      </c>
      <c r="X16" s="78">
        <f t="shared" si="9"/>
        <v>0</v>
      </c>
      <c r="Y16" s="82"/>
    </row>
    <row r="17" spans="1:26" s="65" customFormat="1" ht="10.5" x14ac:dyDescent="0.25">
      <c r="A17" s="66"/>
      <c r="B17" s="68"/>
      <c r="C17" s="69"/>
      <c r="D17" s="70"/>
      <c r="E17" s="71"/>
      <c r="F17" s="71"/>
      <c r="G17" s="72"/>
      <c r="H17" s="59"/>
      <c r="I17" s="60"/>
      <c r="J17" s="61"/>
      <c r="K17" s="61"/>
      <c r="L17" s="59"/>
      <c r="M17" s="61"/>
      <c r="N17" s="60"/>
      <c r="O17" s="60"/>
      <c r="P17" s="78"/>
      <c r="Q17" s="78"/>
      <c r="R17" s="78"/>
      <c r="S17" s="78"/>
      <c r="T17" s="59"/>
      <c r="U17" s="78"/>
      <c r="V17" s="78"/>
      <c r="W17" s="78"/>
      <c r="X17" s="59"/>
    </row>
    <row r="18" spans="1:26" ht="10.5" x14ac:dyDescent="0.25">
      <c r="A18" s="6"/>
      <c r="B18" s="7"/>
      <c r="C18" s="7"/>
      <c r="D18" s="7"/>
      <c r="E18" s="8" t="s">
        <v>0</v>
      </c>
      <c r="F18" s="9"/>
      <c r="G18" s="10"/>
      <c r="H18" s="11"/>
      <c r="I18" s="12"/>
      <c r="J18" s="13"/>
      <c r="K18" s="14"/>
      <c r="L18" s="15" t="s">
        <v>1</v>
      </c>
      <c r="M18" s="16"/>
      <c r="N18" s="17"/>
      <c r="O18" s="18"/>
      <c r="P18" s="19" t="s">
        <v>1</v>
      </c>
      <c r="Q18" s="16"/>
      <c r="R18" s="17"/>
      <c r="S18" s="18"/>
      <c r="T18" s="19" t="s">
        <v>1</v>
      </c>
      <c r="U18" s="16"/>
      <c r="V18" s="17"/>
      <c r="W18" s="18"/>
      <c r="X18" s="19" t="s">
        <v>1</v>
      </c>
    </row>
    <row r="19" spans="1:26" ht="10.5" x14ac:dyDescent="0.25">
      <c r="A19" s="20" t="s">
        <v>2</v>
      </c>
      <c r="B19" s="21" t="s">
        <v>3</v>
      </c>
      <c r="C19" s="21" t="s">
        <v>4</v>
      </c>
      <c r="D19" s="21" t="s">
        <v>5</v>
      </c>
      <c r="E19" s="19" t="s">
        <v>6</v>
      </c>
      <c r="F19" s="19" t="s">
        <v>7</v>
      </c>
      <c r="G19" s="22" t="s">
        <v>8</v>
      </c>
      <c r="H19" s="23" t="s">
        <v>9</v>
      </c>
      <c r="I19" s="24">
        <v>44227</v>
      </c>
      <c r="J19" s="25">
        <f>I19+28</f>
        <v>44255</v>
      </c>
      <c r="K19" s="25">
        <f>J19+31</f>
        <v>44286</v>
      </c>
      <c r="L19" s="26">
        <f>K19</f>
        <v>44286</v>
      </c>
      <c r="M19" s="27">
        <f>K19+30</f>
        <v>44316</v>
      </c>
      <c r="N19" s="28">
        <f>M19+31</f>
        <v>44347</v>
      </c>
      <c r="O19" s="28">
        <f>N19+30</f>
        <v>44377</v>
      </c>
      <c r="P19" s="26">
        <v>44012</v>
      </c>
      <c r="Q19" s="27">
        <f>O19+30</f>
        <v>44407</v>
      </c>
      <c r="R19" s="28">
        <f>Q19+31</f>
        <v>44438</v>
      </c>
      <c r="S19" s="28">
        <f>R19+30</f>
        <v>44468</v>
      </c>
      <c r="T19" s="26">
        <v>44104</v>
      </c>
      <c r="U19" s="27">
        <f>S19+30</f>
        <v>44498</v>
      </c>
      <c r="V19" s="28">
        <f>U19+31</f>
        <v>44529</v>
      </c>
      <c r="W19" s="28">
        <f>V19+30</f>
        <v>44559</v>
      </c>
      <c r="X19" s="26">
        <v>44196</v>
      </c>
    </row>
    <row r="20" spans="1:26" s="65" customFormat="1" ht="10.5" x14ac:dyDescent="0.25">
      <c r="A20" s="42">
        <v>1191910</v>
      </c>
      <c r="B20" s="34"/>
      <c r="C20" s="35"/>
      <c r="D20" s="42"/>
      <c r="E20" s="35"/>
      <c r="F20" s="35"/>
      <c r="G20" s="64"/>
      <c r="H20" s="37">
        <v>1.2732925824820995E-11</v>
      </c>
      <c r="I20" s="39">
        <v>0</v>
      </c>
      <c r="J20" s="39"/>
      <c r="K20" s="39"/>
      <c r="L20" s="38">
        <f>SUM(H20-I20-J20-K20)</f>
        <v>1.2732925824820995E-11</v>
      </c>
      <c r="M20" s="39"/>
      <c r="N20" s="39"/>
      <c r="O20" s="39"/>
      <c r="P20" s="36">
        <f>SUM(L20-M20-N20-O20)</f>
        <v>1.2732925824820995E-11</v>
      </c>
      <c r="Q20" s="39"/>
      <c r="R20" s="39">
        <v>0</v>
      </c>
      <c r="S20" s="39">
        <v>0</v>
      </c>
      <c r="T20" s="36">
        <f t="shared" ref="T20:T23" si="10">SUM(P20-Q20-R20-S20)</f>
        <v>1.2732925824820995E-11</v>
      </c>
      <c r="U20" s="39"/>
      <c r="V20" s="39">
        <v>0</v>
      </c>
      <c r="W20" s="40">
        <v>0</v>
      </c>
      <c r="X20" s="36">
        <f t="shared" ref="X20:X23" si="11">SUM(T20-U20-V20-W20)</f>
        <v>1.2732925824820995E-11</v>
      </c>
    </row>
    <row r="21" spans="1:26" s="65" customFormat="1" ht="10.5" x14ac:dyDescent="0.25">
      <c r="A21" s="42">
        <v>1191910</v>
      </c>
      <c r="B21" s="34"/>
      <c r="C21" s="35"/>
      <c r="D21" s="42" t="s">
        <v>21</v>
      </c>
      <c r="E21" s="35">
        <v>43983</v>
      </c>
      <c r="F21" s="35">
        <v>44347</v>
      </c>
      <c r="G21" s="64">
        <v>40001</v>
      </c>
      <c r="H21" s="37">
        <v>16667.060000000012</v>
      </c>
      <c r="I21" s="39">
        <v>3333.42</v>
      </c>
      <c r="J21" s="39">
        <v>3333.42</v>
      </c>
      <c r="K21" s="39">
        <v>3333.42</v>
      </c>
      <c r="L21" s="38">
        <f t="shared" ref="L21:L28" si="12">SUM(H21-I21-J21-K21)</f>
        <v>6666.800000000012</v>
      </c>
      <c r="M21" s="39"/>
      <c r="N21" s="39"/>
      <c r="O21" s="39"/>
      <c r="P21" s="36">
        <f>G21-O21</f>
        <v>40001</v>
      </c>
      <c r="Q21" s="39"/>
      <c r="R21" s="39"/>
      <c r="S21" s="39"/>
      <c r="T21" s="36">
        <f t="shared" si="10"/>
        <v>40001</v>
      </c>
      <c r="U21" s="39"/>
      <c r="V21" s="39"/>
      <c r="W21" s="40"/>
      <c r="X21" s="36">
        <f t="shared" si="11"/>
        <v>40001</v>
      </c>
    </row>
    <row r="22" spans="1:26" s="65" customFormat="1" ht="10.5" x14ac:dyDescent="0.25">
      <c r="A22" s="42">
        <v>1191910</v>
      </c>
      <c r="B22" s="34"/>
      <c r="C22" s="35"/>
      <c r="D22" s="42" t="s">
        <v>22</v>
      </c>
      <c r="E22" s="35"/>
      <c r="F22" s="35"/>
      <c r="G22" s="64">
        <v>17475.93</v>
      </c>
      <c r="H22" s="37">
        <v>8737.9500000000007</v>
      </c>
      <c r="I22" s="39">
        <v>1456.33</v>
      </c>
      <c r="J22" s="39">
        <v>1456.33</v>
      </c>
      <c r="K22" s="39">
        <v>1456.33</v>
      </c>
      <c r="L22" s="38">
        <f t="shared" si="12"/>
        <v>4368.9600000000009</v>
      </c>
      <c r="M22" s="39"/>
      <c r="N22" s="39"/>
      <c r="O22" s="39"/>
      <c r="P22" s="36">
        <f>G22</f>
        <v>17475.93</v>
      </c>
      <c r="Q22" s="39"/>
      <c r="R22" s="39"/>
      <c r="S22" s="39"/>
      <c r="T22" s="36">
        <f t="shared" si="10"/>
        <v>17475.93</v>
      </c>
      <c r="U22" s="39"/>
      <c r="V22" s="39"/>
      <c r="W22" s="40"/>
      <c r="X22" s="36">
        <f t="shared" si="11"/>
        <v>17475.93</v>
      </c>
    </row>
    <row r="23" spans="1:26" s="65" customFormat="1" ht="10.5" x14ac:dyDescent="0.25">
      <c r="A23" s="42">
        <v>1191910</v>
      </c>
      <c r="B23" s="34"/>
      <c r="C23" s="35"/>
      <c r="D23" s="42" t="s">
        <v>23</v>
      </c>
      <c r="E23" s="35"/>
      <c r="F23" s="35"/>
      <c r="G23" s="64">
        <v>5000</v>
      </c>
      <c r="H23" s="37">
        <v>2499.9799999999996</v>
      </c>
      <c r="I23" s="39">
        <v>416.67</v>
      </c>
      <c r="J23" s="39">
        <v>416.67</v>
      </c>
      <c r="K23" s="39">
        <v>416.67</v>
      </c>
      <c r="L23" s="38">
        <f t="shared" si="12"/>
        <v>1249.9699999999993</v>
      </c>
      <c r="M23" s="39"/>
      <c r="N23" s="39"/>
      <c r="O23" s="39"/>
      <c r="P23" s="36">
        <f t="shared" ref="P23" si="13">G23</f>
        <v>5000</v>
      </c>
      <c r="Q23" s="39"/>
      <c r="R23" s="39"/>
      <c r="S23" s="39"/>
      <c r="T23" s="36">
        <f t="shared" si="10"/>
        <v>5000</v>
      </c>
      <c r="U23" s="39"/>
      <c r="V23" s="39"/>
      <c r="W23" s="40"/>
      <c r="X23" s="36">
        <f t="shared" si="11"/>
        <v>5000</v>
      </c>
    </row>
    <row r="24" spans="1:26" s="65" customFormat="1" ht="10.5" x14ac:dyDescent="0.25">
      <c r="A24" s="42">
        <v>1191910</v>
      </c>
      <c r="B24" s="45"/>
      <c r="C24" s="46"/>
      <c r="D24" s="42" t="s">
        <v>24</v>
      </c>
      <c r="E24" s="35"/>
      <c r="F24" s="35"/>
      <c r="G24" s="36"/>
      <c r="H24" s="83">
        <v>0</v>
      </c>
      <c r="I24" s="39">
        <v>0</v>
      </c>
      <c r="J24" s="39"/>
      <c r="K24" s="39"/>
      <c r="L24" s="38">
        <f t="shared" si="12"/>
        <v>0</v>
      </c>
      <c r="M24" s="39"/>
      <c r="N24" s="39"/>
      <c r="O24" s="39"/>
      <c r="P24" s="36">
        <f>SUM(L24-M24-N24-O24)</f>
        <v>0</v>
      </c>
      <c r="Q24" s="39"/>
      <c r="R24" s="39"/>
      <c r="S24" s="39"/>
      <c r="T24" s="36">
        <f>SUM(P24-Q24-R24-S24)</f>
        <v>0</v>
      </c>
      <c r="U24" s="39"/>
      <c r="V24" s="39"/>
      <c r="W24" s="40"/>
      <c r="X24" s="36">
        <f>SUM(T24-U24-V24-W24)</f>
        <v>0</v>
      </c>
    </row>
    <row r="25" spans="1:26" s="65" customFormat="1" ht="10.5" x14ac:dyDescent="0.25">
      <c r="A25" s="42">
        <v>1191910</v>
      </c>
      <c r="B25" s="45"/>
      <c r="C25" s="46"/>
      <c r="D25" s="42" t="s">
        <v>25</v>
      </c>
      <c r="E25" s="35"/>
      <c r="F25" s="35"/>
      <c r="G25" s="36"/>
      <c r="H25" s="83">
        <v>0</v>
      </c>
      <c r="I25" s="39">
        <v>0</v>
      </c>
      <c r="J25" s="39"/>
      <c r="K25" s="39"/>
      <c r="L25" s="38">
        <f t="shared" si="12"/>
        <v>0</v>
      </c>
      <c r="M25" s="39"/>
      <c r="N25" s="39"/>
      <c r="O25" s="39"/>
      <c r="P25" s="36">
        <f t="shared" si="1"/>
        <v>0</v>
      </c>
      <c r="Q25" s="39"/>
      <c r="R25" s="39"/>
      <c r="S25" s="39"/>
      <c r="T25" s="36">
        <f t="shared" si="2"/>
        <v>0</v>
      </c>
      <c r="U25" s="39"/>
      <c r="V25" s="39"/>
      <c r="W25" s="40"/>
      <c r="X25" s="36">
        <f t="shared" ref="X25:X28" si="14">SUM(T25-U25-V25-W25)</f>
        <v>0</v>
      </c>
    </row>
    <row r="26" spans="1:26" s="65" customFormat="1" ht="10.5" x14ac:dyDescent="0.25">
      <c r="A26" s="42">
        <v>1191910</v>
      </c>
      <c r="B26" s="45"/>
      <c r="C26" s="46"/>
      <c r="D26" s="42" t="s">
        <v>26</v>
      </c>
      <c r="E26" s="35"/>
      <c r="F26" s="35"/>
      <c r="G26" s="36"/>
      <c r="H26" s="83">
        <v>-2.7284841053187847E-12</v>
      </c>
      <c r="I26" s="39"/>
      <c r="J26" s="39"/>
      <c r="K26" s="39"/>
      <c r="L26" s="38">
        <f t="shared" si="12"/>
        <v>-2.7284841053187847E-12</v>
      </c>
      <c r="M26" s="39"/>
      <c r="N26" s="39"/>
      <c r="O26" s="39"/>
      <c r="P26" s="36">
        <f t="shared" si="1"/>
        <v>-2.7284841053187847E-12</v>
      </c>
      <c r="Q26" s="39"/>
      <c r="R26" s="39"/>
      <c r="S26" s="39"/>
      <c r="T26" s="36">
        <f t="shared" si="2"/>
        <v>-2.7284841053187847E-12</v>
      </c>
      <c r="U26" s="39"/>
      <c r="V26" s="39"/>
      <c r="W26" s="40"/>
      <c r="X26" s="36">
        <f t="shared" si="14"/>
        <v>-2.7284841053187847E-12</v>
      </c>
      <c r="Z26" s="82"/>
    </row>
    <row r="27" spans="1:26" s="65" customFormat="1" ht="10.5" x14ac:dyDescent="0.25">
      <c r="A27" s="42">
        <v>1191910</v>
      </c>
      <c r="B27" s="45"/>
      <c r="C27" s="46"/>
      <c r="D27" s="42" t="s">
        <v>27</v>
      </c>
      <c r="E27" s="35"/>
      <c r="F27" s="35"/>
      <c r="G27" s="36"/>
      <c r="H27" s="83">
        <v>0</v>
      </c>
      <c r="I27" s="39"/>
      <c r="J27" s="39"/>
      <c r="K27" s="39"/>
      <c r="L27" s="38">
        <f t="shared" si="12"/>
        <v>0</v>
      </c>
      <c r="M27" s="39"/>
      <c r="N27" s="39"/>
      <c r="O27" s="39"/>
      <c r="P27" s="36">
        <f t="shared" ref="P27" si="15">SUM(L27-M27-N27-O27)</f>
        <v>0</v>
      </c>
      <c r="Q27" s="39"/>
      <c r="R27" s="39"/>
      <c r="S27" s="39"/>
      <c r="T27" s="36"/>
      <c r="U27" s="39"/>
      <c r="V27" s="39"/>
      <c r="W27" s="40"/>
      <c r="X27" s="36">
        <f t="shared" si="14"/>
        <v>0</v>
      </c>
    </row>
    <row r="28" spans="1:26" s="65" customFormat="1" ht="10.5" x14ac:dyDescent="0.25">
      <c r="A28" s="42">
        <v>1191910</v>
      </c>
      <c r="B28" s="45"/>
      <c r="C28" s="46"/>
      <c r="D28" s="42" t="s">
        <v>28</v>
      </c>
      <c r="E28" s="35"/>
      <c r="F28" s="35"/>
      <c r="G28" s="36"/>
      <c r="H28" s="83">
        <v>10258.799999999999</v>
      </c>
      <c r="I28" s="39"/>
      <c r="J28" s="39"/>
      <c r="K28" s="39"/>
      <c r="L28" s="38">
        <f t="shared" si="12"/>
        <v>10258.799999999999</v>
      </c>
      <c r="M28" s="39"/>
      <c r="N28" s="39"/>
      <c r="O28" s="39">
        <v>0</v>
      </c>
      <c r="P28" s="36"/>
      <c r="Q28" s="39"/>
      <c r="R28" s="39"/>
      <c r="S28" s="39"/>
      <c r="T28" s="36"/>
      <c r="U28" s="39"/>
      <c r="V28" s="39"/>
      <c r="W28" s="40"/>
      <c r="X28" s="36">
        <f t="shared" si="14"/>
        <v>0</v>
      </c>
      <c r="Z28" s="82"/>
    </row>
    <row r="29" spans="1:26" ht="10.5" x14ac:dyDescent="0.25">
      <c r="A29" s="54"/>
      <c r="B29" s="55"/>
      <c r="C29" s="55"/>
      <c r="D29" s="55"/>
      <c r="E29" s="55"/>
      <c r="F29" s="55"/>
      <c r="G29" s="56"/>
      <c r="H29" s="56">
        <f t="shared" ref="H29:X29" si="16">SUM(H20:H28)</f>
        <v>38163.790000000023</v>
      </c>
      <c r="I29" s="56">
        <f t="shared" si="16"/>
        <v>5206.42</v>
      </c>
      <c r="J29" s="56">
        <f t="shared" si="16"/>
        <v>5206.42</v>
      </c>
      <c r="K29" s="56">
        <f t="shared" si="16"/>
        <v>5206.42</v>
      </c>
      <c r="L29" s="56">
        <f t="shared" si="16"/>
        <v>22544.530000000021</v>
      </c>
      <c r="M29" s="56">
        <f t="shared" si="16"/>
        <v>0</v>
      </c>
      <c r="N29" s="56">
        <f t="shared" si="16"/>
        <v>0</v>
      </c>
      <c r="O29" s="56">
        <f t="shared" si="16"/>
        <v>0</v>
      </c>
      <c r="P29" s="56">
        <f t="shared" si="16"/>
        <v>62476.930000000015</v>
      </c>
      <c r="Q29" s="56">
        <f t="shared" si="16"/>
        <v>0</v>
      </c>
      <c r="R29" s="56">
        <f t="shared" si="16"/>
        <v>0</v>
      </c>
      <c r="S29" s="56">
        <f t="shared" si="16"/>
        <v>0</v>
      </c>
      <c r="T29" s="56">
        <f t="shared" si="16"/>
        <v>62476.930000000015</v>
      </c>
      <c r="U29" s="56">
        <f t="shared" si="16"/>
        <v>0</v>
      </c>
      <c r="V29" s="56">
        <f t="shared" si="16"/>
        <v>0</v>
      </c>
      <c r="W29" s="56">
        <f>SUM(W20:W28)</f>
        <v>0</v>
      </c>
      <c r="X29" s="56">
        <f t="shared" si="16"/>
        <v>62476.930000000015</v>
      </c>
      <c r="Z29" s="78"/>
    </row>
    <row r="30" spans="1:26" ht="9.9499999999999993" x14ac:dyDescent="0.2">
      <c r="M30" s="60"/>
      <c r="Q30" s="60"/>
      <c r="U30" s="60"/>
    </row>
    <row r="31" spans="1:26" ht="9.9499999999999993" x14ac:dyDescent="0.2">
      <c r="I31" s="62">
        <f>I29+I12-I9-I28</f>
        <v>14928.730000000001</v>
      </c>
      <c r="J31" s="62">
        <f t="shared" ref="J31:T31" si="17">J29+J12-J9</f>
        <v>13487.95</v>
      </c>
      <c r="K31" s="62">
        <f t="shared" si="17"/>
        <v>13143.29</v>
      </c>
      <c r="L31" s="62">
        <f t="shared" si="17"/>
        <v>55607.080000000024</v>
      </c>
      <c r="M31" s="62">
        <f t="shared" si="17"/>
        <v>0</v>
      </c>
      <c r="N31" s="62">
        <f t="shared" si="17"/>
        <v>0</v>
      </c>
      <c r="O31" s="62">
        <f t="shared" si="17"/>
        <v>0</v>
      </c>
      <c r="P31" s="62">
        <f t="shared" si="17"/>
        <v>86174.380000000019</v>
      </c>
      <c r="Q31" s="62">
        <f>Q29+Q12-Q9-Q28</f>
        <v>0</v>
      </c>
      <c r="R31" s="62">
        <f t="shared" si="17"/>
        <v>0</v>
      </c>
      <c r="S31" s="62">
        <f>S29+S12-S9-S10</f>
        <v>0</v>
      </c>
      <c r="T31" s="62">
        <f t="shared" si="17"/>
        <v>95539.48000000001</v>
      </c>
      <c r="U31" s="62">
        <f>U29+U12-U9-U28</f>
        <v>0</v>
      </c>
      <c r="V31" s="62">
        <f>V29+V12-V9-V28-V11-V10</f>
        <v>0</v>
      </c>
      <c r="W31" s="62">
        <f t="shared" ref="W31:X31" si="18">W29+W12-W9</f>
        <v>0</v>
      </c>
      <c r="X31" s="62">
        <f t="shared" si="18"/>
        <v>95539.48000000001</v>
      </c>
    </row>
    <row r="32" spans="1:26" ht="9.9499999999999993" x14ac:dyDescent="0.2">
      <c r="I32" s="62">
        <f>I31*2</f>
        <v>29857.460000000003</v>
      </c>
      <c r="J32" s="62">
        <f>J31*2</f>
        <v>26975.9</v>
      </c>
      <c r="K32" s="62">
        <f>K31*2</f>
        <v>26286.58</v>
      </c>
      <c r="M32" s="62"/>
      <c r="N32" s="62"/>
      <c r="O32" s="62"/>
      <c r="Q32" s="62">
        <f>Q31*2</f>
        <v>0</v>
      </c>
      <c r="R32" s="62">
        <f>R31*2</f>
        <v>0</v>
      </c>
      <c r="S32" s="62">
        <f>S31*2</f>
        <v>0</v>
      </c>
      <c r="U32" s="62">
        <f>U31*2</f>
        <v>0</v>
      </c>
      <c r="V32" s="62">
        <f>V31*2</f>
        <v>0</v>
      </c>
      <c r="W32" s="62">
        <f>W31*2</f>
        <v>0</v>
      </c>
    </row>
    <row r="33" spans="7:24" ht="9.9499999999999993" x14ac:dyDescent="0.2">
      <c r="I33" s="61"/>
    </row>
    <row r="34" spans="7:24" ht="9.9499999999999993" x14ac:dyDescent="0.2">
      <c r="G34" s="84"/>
      <c r="I34" s="77">
        <f>SUM($H$20:$H$28)-SUM(I20:I28)</f>
        <v>32957.370000000024</v>
      </c>
      <c r="J34" s="77">
        <f>I34-SUM(J20:J26)</f>
        <v>27750.950000000026</v>
      </c>
      <c r="K34" s="77">
        <f>J34-SUM(K20:K26)</f>
        <v>22544.530000000028</v>
      </c>
      <c r="M34" s="59"/>
      <c r="N34" s="59"/>
      <c r="O34" s="59"/>
      <c r="P34" s="77">
        <f>SUM($P$20:$P$28)</f>
        <v>62476.930000000015</v>
      </c>
      <c r="Q34" s="77">
        <f>SUM($P$20:$P$25)-SUM(Q20:Q26)</f>
        <v>62476.930000000015</v>
      </c>
      <c r="R34" s="77">
        <f>Q34-SUM(R20:R26)</f>
        <v>62476.930000000015</v>
      </c>
      <c r="S34" s="77">
        <f>R34-SUM(S20:S26)</f>
        <v>62476.930000000015</v>
      </c>
      <c r="U34" s="77">
        <f>S34-SUM(U20:U26)</f>
        <v>62476.930000000015</v>
      </c>
      <c r="V34" s="77">
        <f>U34-SUM(V20:V26)</f>
        <v>62476.930000000015</v>
      </c>
      <c r="W34" s="77">
        <f>V34-SUM(W20:W28)</f>
        <v>62476.930000000015</v>
      </c>
    </row>
    <row r="35" spans="7:24" ht="14.45" x14ac:dyDescent="0.35">
      <c r="I35" s="79">
        <v>32957.370000000003</v>
      </c>
      <c r="J35" s="79">
        <v>27750.95</v>
      </c>
      <c r="K35" s="79">
        <v>22544.53</v>
      </c>
      <c r="M35" s="59"/>
      <c r="N35" s="59"/>
      <c r="O35" s="59"/>
      <c r="P35" s="80">
        <f>67204.87-2700.06</f>
        <v>64504.81</v>
      </c>
      <c r="Q35" s="79">
        <v>58333.09</v>
      </c>
      <c r="R35" s="79">
        <v>52050.67</v>
      </c>
      <c r="S35" s="79">
        <v>46014.25</v>
      </c>
      <c r="U35" s="79">
        <v>39977.83</v>
      </c>
      <c r="V35" s="79">
        <v>33941.410000000003</v>
      </c>
      <c r="W35" s="60">
        <v>38163.79</v>
      </c>
    </row>
    <row r="36" spans="7:24" ht="14.45" x14ac:dyDescent="0.35">
      <c r="I36" s="78">
        <f t="shared" ref="I36:K36" si="19">I35-I34</f>
        <v>0</v>
      </c>
      <c r="J36" s="78">
        <f t="shared" si="19"/>
        <v>0</v>
      </c>
      <c r="K36" s="78">
        <f t="shared" si="19"/>
        <v>-2.9103830456733704E-11</v>
      </c>
      <c r="M36" s="59"/>
      <c r="N36" s="59"/>
      <c r="O36" s="59"/>
      <c r="P36" s="78">
        <f>P35-P34</f>
        <v>2027.8799999999828</v>
      </c>
      <c r="Q36" s="78">
        <f t="shared" ref="Q36:X36" si="20">Q35-Q34</f>
        <v>-4143.8400000000183</v>
      </c>
      <c r="R36" s="78">
        <f t="shared" si="20"/>
        <v>-10426.260000000017</v>
      </c>
      <c r="S36" s="78">
        <f t="shared" si="20"/>
        <v>-16462.680000000015</v>
      </c>
      <c r="T36" s="78">
        <f t="shared" si="20"/>
        <v>0</v>
      </c>
      <c r="U36" s="78">
        <f t="shared" si="20"/>
        <v>-22499.100000000013</v>
      </c>
      <c r="V36" s="78">
        <f t="shared" si="20"/>
        <v>-28535.520000000011</v>
      </c>
      <c r="W36" s="78">
        <f t="shared" si="20"/>
        <v>-24313.140000000014</v>
      </c>
      <c r="X36" s="78">
        <f t="shared" si="20"/>
        <v>0</v>
      </c>
    </row>
    <row r="37" spans="7:24" ht="14.45" x14ac:dyDescent="0.35">
      <c r="Q37" s="59"/>
      <c r="R37" s="59"/>
      <c r="S37" s="59"/>
      <c r="U37" s="59"/>
      <c r="V37" s="59"/>
      <c r="W37" s="59"/>
    </row>
    <row r="38" spans="7:24" ht="14.45" x14ac:dyDescent="0.35">
      <c r="Q38" s="59"/>
      <c r="R38" s="59"/>
      <c r="S38" s="59"/>
      <c r="U38" s="59"/>
      <c r="V38" s="59"/>
      <c r="W38" s="59"/>
    </row>
    <row r="39" spans="7:24" ht="14.45" x14ac:dyDescent="0.35">
      <c r="Q39" s="59"/>
      <c r="R39" s="59"/>
      <c r="S39" s="59"/>
      <c r="U39" s="59"/>
      <c r="V39" s="59"/>
      <c r="W39" s="59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200912</vt:lpstr>
      <vt:lpstr>Prepaid @ 3.31.21</vt:lpstr>
      <vt:lpstr>Prepaid @ 12.31.16</vt:lpstr>
      <vt:lpstr>13 mths @ 3.31.21</vt:lpstr>
      <vt:lpstr>Prepaid Misc Support  2020</vt:lpstr>
      <vt:lpstr>'200912'!Print_Area</vt:lpstr>
      <vt:lpstr>'Prepaid @ 12.31.16'!Print_Area</vt:lpstr>
    </vt:vector>
  </TitlesOfParts>
  <Company>Delta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McClintock</dc:creator>
  <cp:lastModifiedBy>Randy McClintock</cp:lastModifiedBy>
  <cp:lastPrinted>2021-07-21T13:59:58Z</cp:lastPrinted>
  <dcterms:created xsi:type="dcterms:W3CDTF">2021-07-15T12:06:49Z</dcterms:created>
  <dcterms:modified xsi:type="dcterms:W3CDTF">2021-07-21T14:59:00Z</dcterms:modified>
</cp:coreProperties>
</file>