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A TEMP\Kentucky\DR Set 1\"/>
    </mc:Choice>
  </mc:AlternateContent>
  <xr:revisionPtr revIDLastSave="0" documentId="13_ncr:1_{B47930E9-8511-451B-8532-926A5DD9FC02}" xr6:coauthVersionLast="45" xr6:coauthVersionMax="45" xr10:uidLastSave="{00000000-0000-0000-0000-000000000000}"/>
  <bookViews>
    <workbookView xWindow="-108" yWindow="-108" windowWidth="15576" windowHeight="12048" xr2:uid="{3F786A91-2054-455D-8C62-9CB9BEA8E4C2}"/>
  </bookViews>
  <sheets>
    <sheet name="dea 2 - 6 8 21" sheetId="22" r:id="rId1"/>
    <sheet name="Differences" sheetId="20" r:id="rId2"/>
    <sheet name="3 31 21 model Bal Sheet" sheetId="19" r:id="rId3"/>
    <sheet name="Rate base" sheetId="21" r:id="rId4"/>
    <sheet name="RB &amp; Cap Recon" sheetId="1" r:id="rId5"/>
    <sheet name="Support-&gt;" sheetId="2" r:id="rId6"/>
    <sheet name="Balance Sheets &amp; Capitalization" sheetId="3" r:id="rId7"/>
    <sheet name="Rate Base-&gt;" sheetId="4" r:id="rId8"/>
    <sheet name="Tab 55 p1" sheetId="5" r:id="rId9"/>
    <sheet name="Tab 55 p2" sheetId="6" r:id="rId10"/>
    <sheet name="Tab 55 p3" sheetId="7" r:id="rId11"/>
    <sheet name="Tab 55 p4" sheetId="8" r:id="rId12"/>
    <sheet name="Tab 55 p5" sheetId="9" r:id="rId13"/>
    <sheet name="Tab 55 p6" sheetId="10" r:id="rId14"/>
    <sheet name="Tab 55 p7" sheetId="11" r:id="rId15"/>
    <sheet name="Tab 55 p8" sheetId="12" r:id="rId16"/>
    <sheet name="Tab 55 p9" sheetId="13" r:id="rId17"/>
    <sheet name="Tab 55 p10" sheetId="14" r:id="rId18"/>
    <sheet name="Tab 55 p11" sheetId="15" r:id="rId19"/>
    <sheet name="Tab 55 p12 (DT)" sheetId="16" r:id="rId20"/>
    <sheet name="Tab 55 p13(DT)" sheetId="17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'[4]Rev Def Sum'!#REF!</definedName>
    <definedName name="__sch17">#REF!</definedName>
    <definedName name="__SCH33">'[5]SCHEDULE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__123Graph_ACHART_1">[3]DSAR!$BY$6:$BY$32</definedName>
    <definedName name="_10__123Graph_XMKT_STOR">[3]DSAR!$A$6:$A$32</definedName>
    <definedName name="_10TAXPROP">#REF!</definedName>
    <definedName name="_11__123Graph_XX_ACTUAL">[3]DSAR!$A$6:$A$32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_123Graph_AMKT_STOR">[3]DSAR!$AR$6:$AR$23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_123Graph_AX_ACTUAL">[3]DSAR!$P$6:$P$32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__123Graph_BCHART_1">[3]DSAR!$CB$6:$CB$9</definedName>
    <definedName name="_4GASPURCHASES">#REF!</definedName>
    <definedName name="_4QTR">#REF!</definedName>
    <definedName name="_4QTR_PROPANE">#REF!</definedName>
    <definedName name="_5__123Graph_BMKT_STOR">[3]DSAR!$AS$6:$AS$32</definedName>
    <definedName name="_5A_NON_APP_GAS">#REF!</definedName>
    <definedName name="_5GP_TCO">#REF!</definedName>
    <definedName name="_5GP_TCOINPUT">#REF!</definedName>
    <definedName name="_6__123Graph_CCHART_1">[3]DSAR!$CD$6:$CD$32</definedName>
    <definedName name="_6_PAYROLL_COST">#REF!</definedName>
    <definedName name="_7__123Graph_CMKT_STOR">[3]DSAR!$AT$6:$AT$23</definedName>
    <definedName name="_7BENEFITS">#REF!</definedName>
    <definedName name="_8__123Graph_CX_ACTUAL">[3]DSAR!$S$6:$S$23</definedName>
    <definedName name="_8TAXPSC">#REF!</definedName>
    <definedName name="_9__123Graph_XCHART_1">[3]DSAR!$A$6:$A$32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'[6]Rev Def Sum'!#REF!</definedName>
    <definedName name="_sch17">#REF!</definedName>
    <definedName name="_SCH33">'[7]SCHEDULE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[8]Inputs!$B$4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[9]Sch1!$G$1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[8]Inputs!$B$50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>[16]Input!#REF!</definedName>
    <definedName name="base">'[17]Index A'!$C$16</definedName>
    <definedName name="Baseline">#REF!</definedName>
    <definedName name="bdate">'[18]Oper Rev&amp;Exp by Accts C2.1A'!$A$4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[20]Assumptions!$J$8:$J$21</definedName>
    <definedName name="BOB">#REF!</definedName>
    <definedName name="BTU">[21]Input!$B$11</definedName>
    <definedName name="ByTower">#REF!</definedName>
    <definedName name="CALDEN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'[10]L Graph (Data)'!$A$41:$IV$56</definedName>
    <definedName name="Cinputvol">'[19]L Graph (Data)'!$A$38:$DS$51</definedName>
    <definedName name="Clarification">#REF!</definedName>
    <definedName name="co">'[17]Index A'!$A$10</definedName>
    <definedName name="COLUMN1">#REF!</definedName>
    <definedName name="COLUMN2">#REF!</definedName>
    <definedName name="Commodity">[16]Input!$C$10</definedName>
    <definedName name="Companies">#REF!</definedName>
    <definedName name="company">'[18]Operating Income Summary C-1'!$A$1</definedName>
    <definedName name="CONAME">[16]B!$A$1</definedName>
    <definedName name="CONTENTS">#REF!</definedName>
    <definedName name="Criticality">#REF!</definedName>
    <definedName name="curr_cust_pmts">'[8]Payment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'[6]Rev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>'[2]E-2'!#REF!</definedName>
    <definedName name="DC">[9]Sch2!#REF!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'[18]Operating Income Summary C-1'!$A$4</definedName>
    <definedName name="FDATE">'[18]Oper Rev&amp;Exp by Accts C2.1B'!$A$4</definedName>
    <definedName name="FEDTAX">'[6]Rev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[9]Sch2!#REF!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[20]Assumptions!$J$8:$J$21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'[6]Rev Def Sum'!#REF!</definedName>
    <definedName name="INCTAX2">'[6]Rev Def Sum'!#REF!</definedName>
    <definedName name="INDADD">#REF!</definedName>
    <definedName name="INPUT">#REF!</definedName>
    <definedName name="Inputbase">'[10]A (Input) Inv MO Service Charge'!#REF!</definedName>
    <definedName name="INTCO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OFFSET('[12]% Invoice'!$A$1,0,0,COUNTA('[12]% Invoice'!$A$1:$A$65536),COUNTA('[12]%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18">'Tab 55 p11'!$A$1:$N$22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'[8]Payment Calculation'!$C$25</definedName>
    <definedName name="PROPTAX">#REF!</definedName>
    <definedName name="qryFTECategbyCountry">#REF!</definedName>
    <definedName name="Quest">#REF!</definedName>
    <definedName name="RATEBASE">'[6]Rev Def Sum'!#REF!</definedName>
    <definedName name="rates">#REF!</definedName>
    <definedName name="RECLASS">#REF!</definedName>
    <definedName name="RECON2">#REF!</definedName>
    <definedName name="RECONCILATION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[16]Input!#REF!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'[17]B-1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axRate">'[32]Tax Rates'!$A$1:$F$24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'[33]Complete Listing incl LCN'!#REF!</definedName>
    <definedName name="TY">[16]B!#REF!</definedName>
    <definedName name="TYDESC">[16]B!$A$3</definedName>
    <definedName name="UNEMPLOY_TAX">#REF!</definedName>
    <definedName name="Usage_per_Cust">[8]Inputs!$B$12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22" l="1"/>
  <c r="L37" i="22"/>
  <c r="J33" i="22"/>
  <c r="P65" i="20"/>
  <c r="P62" i="20"/>
  <c r="P50" i="20"/>
  <c r="C50" i="20"/>
  <c r="C48" i="20"/>
  <c r="J31" i="22"/>
  <c r="C43" i="20"/>
  <c r="C45" i="20" s="1"/>
  <c r="P45" i="20" s="1"/>
  <c r="C61" i="20"/>
  <c r="C30" i="20"/>
  <c r="C32" i="20" s="1"/>
  <c r="P32" i="20" s="1"/>
  <c r="J17" i="22" s="1"/>
  <c r="C39" i="20"/>
  <c r="C41" i="20" s="1"/>
  <c r="P41" i="20" s="1"/>
  <c r="J27" i="22" s="1"/>
  <c r="C34" i="20"/>
  <c r="C36" i="20" s="1"/>
  <c r="P36" i="20" s="1"/>
  <c r="J25" i="22" s="1"/>
  <c r="C26" i="20"/>
  <c r="C25" i="20"/>
  <c r="C27" i="20" s="1"/>
  <c r="P27" i="20" s="1"/>
  <c r="J23" i="22" s="1"/>
  <c r="C18" i="20"/>
  <c r="G54" i="20"/>
  <c r="G53" i="20"/>
  <c r="G57" i="20" s="1"/>
  <c r="C58" i="20" s="1"/>
  <c r="C55" i="20"/>
  <c r="C56" i="20"/>
  <c r="C54" i="20"/>
  <c r="C53" i="20"/>
  <c r="C20" i="20"/>
  <c r="C19" i="20"/>
  <c r="C14" i="20"/>
  <c r="C13" i="20"/>
  <c r="J10" i="22"/>
  <c r="L10" i="22"/>
  <c r="F62" i="21"/>
  <c r="O60" i="21"/>
  <c r="N60" i="21"/>
  <c r="I60" i="21"/>
  <c r="H60" i="21"/>
  <c r="G60" i="21"/>
  <c r="F60" i="21"/>
  <c r="N55" i="21"/>
  <c r="N62" i="21" s="1"/>
  <c r="F55" i="21"/>
  <c r="O54" i="21"/>
  <c r="O55" i="21" s="1"/>
  <c r="O62" i="21" s="1"/>
  <c r="N54" i="21"/>
  <c r="I54" i="21"/>
  <c r="H54" i="21"/>
  <c r="F54" i="21"/>
  <c r="H53" i="21"/>
  <c r="G53" i="21"/>
  <c r="G54" i="21" s="1"/>
  <c r="O51" i="21"/>
  <c r="N51" i="21"/>
  <c r="F51" i="21"/>
  <c r="H49" i="21"/>
  <c r="H50" i="21" s="1"/>
  <c r="G49" i="21"/>
  <c r="V46" i="21"/>
  <c r="V45" i="21"/>
  <c r="N43" i="21"/>
  <c r="I42" i="21"/>
  <c r="V41" i="21"/>
  <c r="F41" i="21"/>
  <c r="O40" i="21"/>
  <c r="O43" i="21" s="1"/>
  <c r="O45" i="21" s="1"/>
  <c r="N40" i="21"/>
  <c r="H40" i="21"/>
  <c r="H43" i="21" s="1"/>
  <c r="F40" i="21"/>
  <c r="F43" i="21" s="1"/>
  <c r="I39" i="21"/>
  <c r="I38" i="21"/>
  <c r="I40" i="21" s="1"/>
  <c r="I43" i="21" s="1"/>
  <c r="H38" i="21"/>
  <c r="G38" i="21"/>
  <c r="G40" i="21" s="1"/>
  <c r="G43" i="21" s="1"/>
  <c r="O35" i="21"/>
  <c r="N35" i="21"/>
  <c r="N45" i="21" s="1"/>
  <c r="F35" i="21"/>
  <c r="I34" i="21"/>
  <c r="I35" i="21" s="1"/>
  <c r="I5" i="21" s="1"/>
  <c r="G34" i="21"/>
  <c r="G35" i="21" s="1"/>
  <c r="G5" i="21" s="1"/>
  <c r="I33" i="21"/>
  <c r="H33" i="21"/>
  <c r="H35" i="21" s="1"/>
  <c r="H5" i="21" s="1"/>
  <c r="G33" i="21"/>
  <c r="V30" i="21"/>
  <c r="V28" i="21"/>
  <c r="I26" i="21"/>
  <c r="H26" i="21" s="1"/>
  <c r="V20" i="21"/>
  <c r="O18" i="21"/>
  <c r="O20" i="21" s="1"/>
  <c r="O24" i="21" s="1"/>
  <c r="N18" i="21"/>
  <c r="N20" i="21" s="1"/>
  <c r="N24" i="21" s="1"/>
  <c r="F17" i="21"/>
  <c r="I16" i="21"/>
  <c r="H16" i="21"/>
  <c r="G16" i="21"/>
  <c r="W14" i="21"/>
  <c r="O13" i="21"/>
  <c r="N13" i="21"/>
  <c r="G13" i="21"/>
  <c r="I12" i="21"/>
  <c r="H12" i="21"/>
  <c r="G12" i="21"/>
  <c r="F12" i="21"/>
  <c r="F13" i="21" s="1"/>
  <c r="H11" i="21"/>
  <c r="I11" i="21" s="1"/>
  <c r="I10" i="21"/>
  <c r="H10" i="21"/>
  <c r="I9" i="21"/>
  <c r="I8" i="21"/>
  <c r="H8" i="21"/>
  <c r="G8" i="21"/>
  <c r="H7" i="21"/>
  <c r="H13" i="21" s="1"/>
  <c r="F5" i="21"/>
  <c r="N10" i="20"/>
  <c r="O7" i="20"/>
  <c r="O6" i="20"/>
  <c r="O5" i="20"/>
  <c r="O10" i="20" s="1"/>
  <c r="P10" i="20" s="1"/>
  <c r="J15" i="22" s="1"/>
  <c r="C22" i="20" l="1"/>
  <c r="P22" i="20" s="1"/>
  <c r="J21" i="22" s="1"/>
  <c r="C15" i="20"/>
  <c r="P15" i="20" s="1"/>
  <c r="J19" i="22" s="1"/>
  <c r="C57" i="20"/>
  <c r="C60" i="20" s="1"/>
  <c r="C62" i="20" s="1"/>
  <c r="J29" i="22" s="1"/>
  <c r="F45" i="21"/>
  <c r="F15" i="21"/>
  <c r="F18" i="21" s="1"/>
  <c r="F20" i="21" s="1"/>
  <c r="H55" i="21"/>
  <c r="H62" i="21" s="1"/>
  <c r="H45" i="21"/>
  <c r="H15" i="21"/>
  <c r="H18" i="21" s="1"/>
  <c r="H20" i="21" s="1"/>
  <c r="H24" i="21" s="1"/>
  <c r="G45" i="21"/>
  <c r="G46" i="21" s="1"/>
  <c r="G15" i="21"/>
  <c r="I15" i="21"/>
  <c r="I45" i="21"/>
  <c r="I46" i="21" s="1"/>
  <c r="H51" i="21"/>
  <c r="H17" i="21" s="1"/>
  <c r="I49" i="21"/>
  <c r="I7" i="21"/>
  <c r="I13" i="21" s="1"/>
  <c r="G50" i="21"/>
  <c r="G64" i="21" s="1"/>
  <c r="J37" i="22" l="1"/>
  <c r="F28" i="21"/>
  <c r="F24" i="21"/>
  <c r="I50" i="21"/>
  <c r="I51" i="21"/>
  <c r="H46" i="21"/>
  <c r="G51" i="21"/>
  <c r="H28" i="21"/>
  <c r="G66" i="21"/>
  <c r="H64" i="21"/>
  <c r="H66" i="21" s="1"/>
  <c r="G17" i="21" l="1"/>
  <c r="G18" i="21" s="1"/>
  <c r="G20" i="21" s="1"/>
  <c r="G55" i="21"/>
  <c r="G62" i="21" s="1"/>
  <c r="I17" i="21"/>
  <c r="I18" i="21" s="1"/>
  <c r="I20" i="21" s="1"/>
  <c r="I55" i="21"/>
  <c r="I24" i="21" l="1"/>
  <c r="I28" i="21"/>
  <c r="G28" i="21"/>
  <c r="G24" i="21"/>
  <c r="D117" i="19" l="1"/>
  <c r="D118" i="19"/>
  <c r="D119" i="19" s="1"/>
  <c r="M56" i="19"/>
  <c r="N105" i="19"/>
  <c r="M105" i="19"/>
  <c r="N15" i="19"/>
  <c r="M15" i="19"/>
  <c r="N12" i="19"/>
  <c r="M12" i="19"/>
  <c r="N11" i="19"/>
  <c r="N13" i="19" s="1"/>
  <c r="M11" i="19"/>
  <c r="M13" i="19" s="1"/>
  <c r="L89" i="17" l="1"/>
  <c r="I88" i="17"/>
  <c r="E88" i="17"/>
  <c r="L88" i="17" s="1"/>
  <c r="I77" i="17"/>
  <c r="I79" i="17" s="1"/>
  <c r="E77" i="17"/>
  <c r="E79" i="17" s="1"/>
  <c r="I73" i="17"/>
  <c r="E73" i="17"/>
  <c r="B73" i="17"/>
  <c r="B72" i="17"/>
  <c r="M71" i="17"/>
  <c r="B71" i="17"/>
  <c r="M70" i="17"/>
  <c r="M69" i="17"/>
  <c r="M68" i="17"/>
  <c r="G62" i="17"/>
  <c r="I62" i="17" s="1"/>
  <c r="C62" i="17"/>
  <c r="M60" i="17"/>
  <c r="L57" i="17"/>
  <c r="I57" i="17"/>
  <c r="C57" i="17"/>
  <c r="L56" i="17"/>
  <c r="K56" i="17"/>
  <c r="I56" i="17"/>
  <c r="C56" i="17"/>
  <c r="E56" i="17" s="1"/>
  <c r="H54" i="17"/>
  <c r="G54" i="17"/>
  <c r="D54" i="17"/>
  <c r="C54" i="17"/>
  <c r="L53" i="17"/>
  <c r="K53" i="17"/>
  <c r="M53" i="17" s="1"/>
  <c r="I53" i="17"/>
  <c r="E53" i="17"/>
  <c r="L52" i="17"/>
  <c r="K52" i="17"/>
  <c r="M52" i="17" s="1"/>
  <c r="I52" i="17"/>
  <c r="E52" i="17"/>
  <c r="L51" i="17"/>
  <c r="K51" i="17"/>
  <c r="M51" i="17" s="1"/>
  <c r="I51" i="17"/>
  <c r="E51" i="17"/>
  <c r="L50" i="17"/>
  <c r="M50" i="17" s="1"/>
  <c r="K50" i="17"/>
  <c r="I50" i="17"/>
  <c r="E50" i="17"/>
  <c r="L49" i="17"/>
  <c r="K49" i="17"/>
  <c r="I49" i="17"/>
  <c r="I54" i="17" s="1"/>
  <c r="E49" i="17"/>
  <c r="G47" i="17"/>
  <c r="D47" i="17"/>
  <c r="C47" i="17"/>
  <c r="L46" i="17"/>
  <c r="K46" i="17"/>
  <c r="M46" i="17" s="1"/>
  <c r="I46" i="17"/>
  <c r="E46" i="17"/>
  <c r="L45" i="17"/>
  <c r="M45" i="17" s="1"/>
  <c r="K45" i="17"/>
  <c r="I45" i="17"/>
  <c r="E45" i="17"/>
  <c r="K44" i="17"/>
  <c r="H44" i="17"/>
  <c r="E44" i="17"/>
  <c r="L43" i="17"/>
  <c r="K43" i="17"/>
  <c r="M43" i="17" s="1"/>
  <c r="I43" i="17"/>
  <c r="E43" i="17"/>
  <c r="L42" i="17"/>
  <c r="K42" i="17"/>
  <c r="I42" i="17"/>
  <c r="E42" i="17"/>
  <c r="L41" i="17"/>
  <c r="K41" i="17"/>
  <c r="I41" i="17"/>
  <c r="E41" i="17"/>
  <c r="L40" i="17"/>
  <c r="K40" i="17"/>
  <c r="I40" i="17"/>
  <c r="E40" i="17"/>
  <c r="L39" i="17"/>
  <c r="K39" i="17"/>
  <c r="I39" i="17"/>
  <c r="E39" i="17"/>
  <c r="L38" i="17"/>
  <c r="K38" i="17"/>
  <c r="M38" i="17" s="1"/>
  <c r="I38" i="17"/>
  <c r="E38" i="17"/>
  <c r="L37" i="17"/>
  <c r="K37" i="17"/>
  <c r="I37" i="17"/>
  <c r="E37" i="17"/>
  <c r="L36" i="17"/>
  <c r="K36" i="17"/>
  <c r="M36" i="17" s="1"/>
  <c r="I36" i="17"/>
  <c r="E36" i="17"/>
  <c r="M35" i="17"/>
  <c r="L35" i="17"/>
  <c r="K35" i="17"/>
  <c r="I35" i="17"/>
  <c r="E35" i="17"/>
  <c r="L34" i="17"/>
  <c r="K34" i="17"/>
  <c r="I34" i="17"/>
  <c r="E34" i="17"/>
  <c r="L33" i="17"/>
  <c r="K33" i="17"/>
  <c r="I33" i="17"/>
  <c r="E33" i="17"/>
  <c r="L32" i="17"/>
  <c r="K32" i="17"/>
  <c r="I32" i="17"/>
  <c r="E32" i="17"/>
  <c r="L31" i="17"/>
  <c r="K31" i="17"/>
  <c r="I31" i="17"/>
  <c r="E31" i="17"/>
  <c r="L30" i="17"/>
  <c r="K30" i="17"/>
  <c r="M30" i="17" s="1"/>
  <c r="I30" i="17"/>
  <c r="E30" i="17"/>
  <c r="L29" i="17"/>
  <c r="K29" i="17"/>
  <c r="I29" i="17"/>
  <c r="E29" i="17"/>
  <c r="L28" i="17"/>
  <c r="K28" i="17"/>
  <c r="M28" i="17" s="1"/>
  <c r="I28" i="17"/>
  <c r="E28" i="17"/>
  <c r="M27" i="17"/>
  <c r="L27" i="17"/>
  <c r="K27" i="17"/>
  <c r="I27" i="17"/>
  <c r="E27" i="17"/>
  <c r="L26" i="17"/>
  <c r="M26" i="17" s="1"/>
  <c r="K26" i="17"/>
  <c r="I26" i="17"/>
  <c r="E26" i="17"/>
  <c r="G24" i="17"/>
  <c r="G59" i="17" s="1"/>
  <c r="G64" i="17" s="1"/>
  <c r="C24" i="17"/>
  <c r="L23" i="17"/>
  <c r="K23" i="17"/>
  <c r="M23" i="17" s="1"/>
  <c r="I23" i="17"/>
  <c r="E23" i="17"/>
  <c r="K22" i="17"/>
  <c r="I22" i="17"/>
  <c r="D22" i="17"/>
  <c r="E22" i="17" s="1"/>
  <c r="K21" i="17"/>
  <c r="H21" i="17"/>
  <c r="L21" i="17" s="1"/>
  <c r="E21" i="17"/>
  <c r="L20" i="17"/>
  <c r="K20" i="17"/>
  <c r="M20" i="17" s="1"/>
  <c r="I20" i="17"/>
  <c r="E20" i="17"/>
  <c r="L19" i="17"/>
  <c r="K19" i="17"/>
  <c r="M19" i="17" s="1"/>
  <c r="I19" i="17"/>
  <c r="E19" i="17"/>
  <c r="L18" i="17"/>
  <c r="K18" i="17"/>
  <c r="M18" i="17" s="1"/>
  <c r="I18" i="17"/>
  <c r="E18" i="17"/>
  <c r="L17" i="17"/>
  <c r="K17" i="17"/>
  <c r="M17" i="17" s="1"/>
  <c r="I17" i="17"/>
  <c r="E17" i="17"/>
  <c r="M16" i="17"/>
  <c r="L16" i="17"/>
  <c r="K16" i="17"/>
  <c r="I16" i="17"/>
  <c r="E16" i="17"/>
  <c r="L15" i="17"/>
  <c r="K15" i="17"/>
  <c r="I15" i="17"/>
  <c r="E15" i="17"/>
  <c r="M14" i="17"/>
  <c r="L14" i="17"/>
  <c r="K14" i="17"/>
  <c r="I14" i="17"/>
  <c r="E14" i="17"/>
  <c r="L13" i="17"/>
  <c r="K13" i="17"/>
  <c r="I13" i="17"/>
  <c r="E13" i="17"/>
  <c r="L12" i="17"/>
  <c r="K12" i="17"/>
  <c r="I12" i="17"/>
  <c r="E12" i="17"/>
  <c r="L11" i="17"/>
  <c r="K11" i="17"/>
  <c r="I11" i="17"/>
  <c r="E11" i="17"/>
  <c r="L10" i="17"/>
  <c r="K10" i="17"/>
  <c r="I10" i="17"/>
  <c r="E10" i="17"/>
  <c r="L9" i="17"/>
  <c r="K9" i="17"/>
  <c r="I9" i="17"/>
  <c r="E9" i="17"/>
  <c r="L8" i="17"/>
  <c r="K8" i="17"/>
  <c r="M8" i="17" s="1"/>
  <c r="I8" i="17"/>
  <c r="E8" i="17"/>
  <c r="L7" i="17"/>
  <c r="K7" i="17"/>
  <c r="I7" i="17"/>
  <c r="E7" i="17"/>
  <c r="L6" i="17"/>
  <c r="K6" i="17"/>
  <c r="I6" i="17"/>
  <c r="E6" i="17"/>
  <c r="L87" i="16"/>
  <c r="L86" i="16"/>
  <c r="I86" i="16"/>
  <c r="E86" i="16"/>
  <c r="E77" i="16"/>
  <c r="I75" i="16"/>
  <c r="I77" i="16" s="1"/>
  <c r="E75" i="16"/>
  <c r="I71" i="16"/>
  <c r="E71" i="16"/>
  <c r="B71" i="16"/>
  <c r="B70" i="16"/>
  <c r="M69" i="16"/>
  <c r="B69" i="16"/>
  <c r="B72" i="16" s="1"/>
  <c r="M68" i="16"/>
  <c r="M67" i="16"/>
  <c r="M66" i="16"/>
  <c r="L57" i="16"/>
  <c r="I57" i="16"/>
  <c r="C57" i="16"/>
  <c r="E57" i="16" s="1"/>
  <c r="L56" i="16"/>
  <c r="G56" i="16"/>
  <c r="I56" i="16" s="1"/>
  <c r="H54" i="16"/>
  <c r="G54" i="16"/>
  <c r="D54" i="16"/>
  <c r="C54" i="16"/>
  <c r="L53" i="16"/>
  <c r="K53" i="16"/>
  <c r="I53" i="16"/>
  <c r="E53" i="16"/>
  <c r="L52" i="16"/>
  <c r="K52" i="16"/>
  <c r="I52" i="16"/>
  <c r="E52" i="16"/>
  <c r="M51" i="16"/>
  <c r="L51" i="16"/>
  <c r="K51" i="16"/>
  <c r="I51" i="16"/>
  <c r="E51" i="16"/>
  <c r="L50" i="16"/>
  <c r="K50" i="16"/>
  <c r="I50" i="16"/>
  <c r="I54" i="16" s="1"/>
  <c r="E50" i="16"/>
  <c r="L49" i="16"/>
  <c r="L54" i="16" s="1"/>
  <c r="K49" i="16"/>
  <c r="M49" i="16" s="1"/>
  <c r="I49" i="16"/>
  <c r="E49" i="16"/>
  <c r="D47" i="16"/>
  <c r="C47" i="16"/>
  <c r="M46" i="16"/>
  <c r="L46" i="16"/>
  <c r="K46" i="16"/>
  <c r="I46" i="16"/>
  <c r="E46" i="16"/>
  <c r="L45" i="16"/>
  <c r="K45" i="16"/>
  <c r="I45" i="16"/>
  <c r="E45" i="16"/>
  <c r="K44" i="16"/>
  <c r="H44" i="16"/>
  <c r="E44" i="16"/>
  <c r="L43" i="16"/>
  <c r="K43" i="16"/>
  <c r="M43" i="16" s="1"/>
  <c r="I43" i="16"/>
  <c r="E43" i="16"/>
  <c r="L42" i="16"/>
  <c r="K42" i="16"/>
  <c r="I42" i="16"/>
  <c r="E42" i="16"/>
  <c r="L41" i="16"/>
  <c r="K41" i="16"/>
  <c r="M41" i="16" s="1"/>
  <c r="I41" i="16"/>
  <c r="E41" i="16"/>
  <c r="L40" i="16"/>
  <c r="M40" i="16" s="1"/>
  <c r="K40" i="16"/>
  <c r="I40" i="16"/>
  <c r="E40" i="16"/>
  <c r="L39" i="16"/>
  <c r="K39" i="16"/>
  <c r="M39" i="16" s="1"/>
  <c r="I39" i="16"/>
  <c r="E39" i="16"/>
  <c r="L38" i="16"/>
  <c r="K38" i="16"/>
  <c r="I38" i="16"/>
  <c r="E38" i="16"/>
  <c r="L37" i="16"/>
  <c r="K37" i="16"/>
  <c r="M37" i="16" s="1"/>
  <c r="I37" i="16"/>
  <c r="E37" i="16"/>
  <c r="L36" i="16"/>
  <c r="K36" i="16"/>
  <c r="I36" i="16"/>
  <c r="E36" i="16"/>
  <c r="L35" i="16"/>
  <c r="K35" i="16"/>
  <c r="M35" i="16" s="1"/>
  <c r="I35" i="16"/>
  <c r="E35" i="16"/>
  <c r="L34" i="16"/>
  <c r="M34" i="16" s="1"/>
  <c r="K34" i="16"/>
  <c r="I34" i="16"/>
  <c r="E34" i="16"/>
  <c r="L33" i="16"/>
  <c r="M33" i="16" s="1"/>
  <c r="K33" i="16"/>
  <c r="I33" i="16"/>
  <c r="E33" i="16"/>
  <c r="L32" i="16"/>
  <c r="M32" i="16" s="1"/>
  <c r="K32" i="16"/>
  <c r="I32" i="16"/>
  <c r="E32" i="16"/>
  <c r="L31" i="16"/>
  <c r="K31" i="16"/>
  <c r="I31" i="16"/>
  <c r="E31" i="16"/>
  <c r="L30" i="16"/>
  <c r="K30" i="16"/>
  <c r="I30" i="16"/>
  <c r="E30" i="16"/>
  <c r="M29" i="16"/>
  <c r="L29" i="16"/>
  <c r="K29" i="16"/>
  <c r="G29" i="16"/>
  <c r="I29" i="16" s="1"/>
  <c r="E29" i="16"/>
  <c r="L28" i="16"/>
  <c r="G28" i="16"/>
  <c r="K28" i="16" s="1"/>
  <c r="M28" i="16" s="1"/>
  <c r="E28" i="16"/>
  <c r="L27" i="16"/>
  <c r="K27" i="16"/>
  <c r="M27" i="16" s="1"/>
  <c r="I27" i="16"/>
  <c r="E27" i="16"/>
  <c r="L26" i="16"/>
  <c r="K26" i="16"/>
  <c r="I26" i="16"/>
  <c r="E26" i="16"/>
  <c r="G24" i="16"/>
  <c r="C24" i="16"/>
  <c r="L23" i="16"/>
  <c r="K23" i="16"/>
  <c r="I23" i="16"/>
  <c r="E23" i="16"/>
  <c r="K22" i="16"/>
  <c r="I22" i="16"/>
  <c r="D22" i="16"/>
  <c r="L22" i="16" s="1"/>
  <c r="M22" i="16" s="1"/>
  <c r="K21" i="16"/>
  <c r="H21" i="16"/>
  <c r="L21" i="16" s="1"/>
  <c r="E21" i="16"/>
  <c r="L20" i="16"/>
  <c r="K20" i="16"/>
  <c r="I20" i="16"/>
  <c r="E20" i="16"/>
  <c r="L19" i="16"/>
  <c r="K19" i="16"/>
  <c r="I19" i="16"/>
  <c r="E19" i="16"/>
  <c r="L18" i="16"/>
  <c r="K18" i="16"/>
  <c r="M18" i="16" s="1"/>
  <c r="I18" i="16"/>
  <c r="E18" i="16"/>
  <c r="L17" i="16"/>
  <c r="K17" i="16"/>
  <c r="I17" i="16"/>
  <c r="E17" i="16"/>
  <c r="L16" i="16"/>
  <c r="K16" i="16"/>
  <c r="M16" i="16" s="1"/>
  <c r="I16" i="16"/>
  <c r="E16" i="16"/>
  <c r="L15" i="16"/>
  <c r="K15" i="16"/>
  <c r="I15" i="16"/>
  <c r="E15" i="16"/>
  <c r="L14" i="16"/>
  <c r="K14" i="16"/>
  <c r="M14" i="16" s="1"/>
  <c r="I14" i="16"/>
  <c r="E14" i="16"/>
  <c r="L13" i="16"/>
  <c r="K13" i="16"/>
  <c r="I13" i="16"/>
  <c r="E13" i="16"/>
  <c r="L12" i="16"/>
  <c r="K12" i="16"/>
  <c r="M12" i="16" s="1"/>
  <c r="I12" i="16"/>
  <c r="E12" i="16"/>
  <c r="L11" i="16"/>
  <c r="K11" i="16"/>
  <c r="I11" i="16"/>
  <c r="E11" i="16"/>
  <c r="L10" i="16"/>
  <c r="K10" i="16"/>
  <c r="M10" i="16" s="1"/>
  <c r="I10" i="16"/>
  <c r="E10" i="16"/>
  <c r="L9" i="16"/>
  <c r="M9" i="16" s="1"/>
  <c r="K9" i="16"/>
  <c r="I9" i="16"/>
  <c r="E9" i="16"/>
  <c r="L8" i="16"/>
  <c r="M8" i="16" s="1"/>
  <c r="K8" i="16"/>
  <c r="I8" i="16"/>
  <c r="E8" i="16"/>
  <c r="L7" i="16"/>
  <c r="M7" i="16" s="1"/>
  <c r="K7" i="16"/>
  <c r="I7" i="16"/>
  <c r="E7" i="16"/>
  <c r="L6" i="16"/>
  <c r="K6" i="16"/>
  <c r="I6" i="16"/>
  <c r="E6" i="16"/>
  <c r="L18" i="15"/>
  <c r="J18" i="15"/>
  <c r="M16" i="15"/>
  <c r="M15" i="15"/>
  <c r="M14" i="15"/>
  <c r="M13" i="15"/>
  <c r="M12" i="15"/>
  <c r="M11" i="15"/>
  <c r="M10" i="15"/>
  <c r="M9" i="15"/>
  <c r="M8" i="15"/>
  <c r="M7" i="15"/>
  <c r="K7" i="15"/>
  <c r="K18" i="15" s="1"/>
  <c r="M6" i="15"/>
  <c r="D105" i="14"/>
  <c r="D105" i="13"/>
  <c r="L127" i="12"/>
  <c r="L122" i="12"/>
  <c r="L119" i="12"/>
  <c r="L117" i="12"/>
  <c r="L116" i="12"/>
  <c r="L121" i="12" s="1"/>
  <c r="L123" i="12" s="1"/>
  <c r="D105" i="12"/>
  <c r="G118" i="11"/>
  <c r="J118" i="11" s="1"/>
  <c r="E118" i="11"/>
  <c r="G117" i="11"/>
  <c r="J117" i="11" s="1"/>
  <c r="E117" i="11"/>
  <c r="G116" i="11"/>
  <c r="J116" i="11" s="1"/>
  <c r="G115" i="11"/>
  <c r="J115" i="11" s="1"/>
  <c r="J114" i="11"/>
  <c r="G114" i="11"/>
  <c r="D105" i="11"/>
  <c r="K29" i="10"/>
  <c r="K30" i="10" s="1"/>
  <c r="K34" i="10" s="1"/>
  <c r="J29" i="10"/>
  <c r="J30" i="10" s="1"/>
  <c r="J34" i="10" s="1"/>
  <c r="D38" i="1" s="1"/>
  <c r="K28" i="10"/>
  <c r="K27" i="10"/>
  <c r="K26" i="10"/>
  <c r="G13" i="9"/>
  <c r="G12" i="9"/>
  <c r="O7" i="8"/>
  <c r="O6" i="8"/>
  <c r="G18" i="5" s="1"/>
  <c r="H18" i="5" s="1"/>
  <c r="O5" i="8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R66" i="7"/>
  <c r="R65" i="7"/>
  <c r="S65" i="7" s="1"/>
  <c r="T65" i="7" s="1"/>
  <c r="U65" i="7" s="1"/>
  <c r="V65" i="7" s="1"/>
  <c r="W65" i="7" s="1"/>
  <c r="X65" i="7" s="1"/>
  <c r="Y65" i="7" s="1"/>
  <c r="Z65" i="7" s="1"/>
  <c r="AA65" i="7" s="1"/>
  <c r="AB65" i="7" s="1"/>
  <c r="AC65" i="7" s="1"/>
  <c r="AD65" i="7" s="1"/>
  <c r="T64" i="7"/>
  <c r="U64" i="7" s="1"/>
  <c r="V64" i="7" s="1"/>
  <c r="W64" i="7" s="1"/>
  <c r="X64" i="7" s="1"/>
  <c r="Y64" i="7" s="1"/>
  <c r="Z64" i="7" s="1"/>
  <c r="AA64" i="7" s="1"/>
  <c r="AB64" i="7" s="1"/>
  <c r="AC64" i="7" s="1"/>
  <c r="AD64" i="7" s="1"/>
  <c r="S64" i="7"/>
  <c r="R64" i="7"/>
  <c r="R63" i="7"/>
  <c r="R62" i="7"/>
  <c r="R61" i="7"/>
  <c r="S61" i="7" s="1"/>
  <c r="T61" i="7" s="1"/>
  <c r="U61" i="7" s="1"/>
  <c r="V61" i="7" s="1"/>
  <c r="W61" i="7" s="1"/>
  <c r="X61" i="7" s="1"/>
  <c r="Y61" i="7" s="1"/>
  <c r="Z61" i="7" s="1"/>
  <c r="AA61" i="7" s="1"/>
  <c r="AB61" i="7" s="1"/>
  <c r="AC61" i="7" s="1"/>
  <c r="AD61" i="7" s="1"/>
  <c r="T60" i="7"/>
  <c r="U60" i="7" s="1"/>
  <c r="V60" i="7" s="1"/>
  <c r="W60" i="7" s="1"/>
  <c r="X60" i="7" s="1"/>
  <c r="Y60" i="7" s="1"/>
  <c r="Z60" i="7" s="1"/>
  <c r="AA60" i="7" s="1"/>
  <c r="AB60" i="7" s="1"/>
  <c r="AC60" i="7" s="1"/>
  <c r="AD60" i="7" s="1"/>
  <c r="S60" i="7"/>
  <c r="R60" i="7"/>
  <c r="R59" i="7"/>
  <c r="Z56" i="7"/>
  <c r="X56" i="7"/>
  <c r="T56" i="7"/>
  <c r="R54" i="7"/>
  <c r="R50" i="7"/>
  <c r="AD47" i="7"/>
  <c r="AD56" i="7" s="1"/>
  <c r="AC47" i="7"/>
  <c r="AC56" i="7" s="1"/>
  <c r="AB47" i="7"/>
  <c r="AB56" i="7" s="1"/>
  <c r="AA47" i="7"/>
  <c r="AA56" i="7" s="1"/>
  <c r="Z47" i="7"/>
  <c r="Y47" i="7"/>
  <c r="Y56" i="7" s="1"/>
  <c r="X47" i="7"/>
  <c r="W47" i="7"/>
  <c r="W56" i="7" s="1"/>
  <c r="V47" i="7"/>
  <c r="V56" i="7" s="1"/>
  <c r="U47" i="7"/>
  <c r="U56" i="7" s="1"/>
  <c r="T47" i="7"/>
  <c r="S47" i="7"/>
  <c r="R46" i="7"/>
  <c r="A46" i="7"/>
  <c r="AD45" i="7"/>
  <c r="AC45" i="7"/>
  <c r="AB45" i="7"/>
  <c r="AA45" i="7"/>
  <c r="Z45" i="7"/>
  <c r="Y45" i="7"/>
  <c r="X45" i="7"/>
  <c r="W45" i="7"/>
  <c r="V45" i="7"/>
  <c r="U45" i="7"/>
  <c r="T45" i="7"/>
  <c r="S45" i="7"/>
  <c r="J44" i="7"/>
  <c r="J46" i="7" s="1"/>
  <c r="D44" i="7"/>
  <c r="D46" i="7" s="1"/>
  <c r="A44" i="7"/>
  <c r="AK43" i="7"/>
  <c r="AJ43" i="7"/>
  <c r="AI43" i="7"/>
  <c r="AH43" i="7"/>
  <c r="AE43" i="7"/>
  <c r="R43" i="7"/>
  <c r="P43" i="7"/>
  <c r="O43" i="7"/>
  <c r="AK42" i="7"/>
  <c r="AJ42" i="7"/>
  <c r="AI42" i="7"/>
  <c r="AH42" i="7"/>
  <c r="R42" i="7"/>
  <c r="P42" i="7"/>
  <c r="O42" i="7"/>
  <c r="AK41" i="7"/>
  <c r="AJ41" i="7"/>
  <c r="AI41" i="7"/>
  <c r="AH41" i="7"/>
  <c r="AE41" i="7"/>
  <c r="R41" i="7"/>
  <c r="P41" i="7"/>
  <c r="O41" i="7"/>
  <c r="AK40" i="7"/>
  <c r="AJ40" i="7"/>
  <c r="AI40" i="7"/>
  <c r="AH40" i="7"/>
  <c r="AE40" i="7"/>
  <c r="AF40" i="7" s="1"/>
  <c r="R40" i="7"/>
  <c r="P40" i="7"/>
  <c r="O40" i="7"/>
  <c r="AK39" i="7"/>
  <c r="AJ39" i="7"/>
  <c r="AI39" i="7"/>
  <c r="AH39" i="7"/>
  <c r="AD39" i="7"/>
  <c r="R39" i="7"/>
  <c r="P39" i="7"/>
  <c r="O39" i="7"/>
  <c r="AK38" i="7"/>
  <c r="AJ38" i="7"/>
  <c r="AI38" i="7"/>
  <c r="AH38" i="7"/>
  <c r="AE38" i="7"/>
  <c r="R38" i="7"/>
  <c r="P38" i="7"/>
  <c r="O38" i="7"/>
  <c r="AK37" i="7"/>
  <c r="AJ37" i="7"/>
  <c r="AI37" i="7"/>
  <c r="AH37" i="7"/>
  <c r="AE37" i="7"/>
  <c r="AF37" i="7" s="1"/>
  <c r="R37" i="7"/>
  <c r="P37" i="7"/>
  <c r="O37" i="7"/>
  <c r="AK36" i="7"/>
  <c r="AJ36" i="7"/>
  <c r="AI36" i="7"/>
  <c r="AH36" i="7"/>
  <c r="AE36" i="7"/>
  <c r="AF36" i="7" s="1"/>
  <c r="R36" i="7"/>
  <c r="P36" i="7"/>
  <c r="O36" i="7"/>
  <c r="AK35" i="7"/>
  <c r="AJ35" i="7"/>
  <c r="AI35" i="7"/>
  <c r="AH35" i="7"/>
  <c r="AE35" i="7"/>
  <c r="AF35" i="7" s="1"/>
  <c r="R35" i="7"/>
  <c r="P35" i="7"/>
  <c r="O35" i="7"/>
  <c r="AK34" i="7"/>
  <c r="AJ34" i="7"/>
  <c r="AI34" i="7"/>
  <c r="AH34" i="7"/>
  <c r="AE34" i="7"/>
  <c r="AF34" i="7" s="1"/>
  <c r="R34" i="7"/>
  <c r="P34" i="7"/>
  <c r="O34" i="7"/>
  <c r="AK33" i="7"/>
  <c r="AJ33" i="7"/>
  <c r="AI33" i="7"/>
  <c r="AH33" i="7"/>
  <c r="AF33" i="7"/>
  <c r="AE33" i="7"/>
  <c r="R33" i="7"/>
  <c r="P33" i="7"/>
  <c r="O33" i="7"/>
  <c r="AK32" i="7"/>
  <c r="AJ32" i="7"/>
  <c r="AI32" i="7"/>
  <c r="AH32" i="7"/>
  <c r="AE32" i="7"/>
  <c r="R32" i="7"/>
  <c r="P32" i="7"/>
  <c r="O32" i="7"/>
  <c r="AK31" i="7"/>
  <c r="AJ31" i="7"/>
  <c r="AI31" i="7"/>
  <c r="AH31" i="7"/>
  <c r="AE31" i="7"/>
  <c r="R31" i="7"/>
  <c r="P31" i="7"/>
  <c r="O31" i="7"/>
  <c r="AK30" i="7"/>
  <c r="AJ30" i="7"/>
  <c r="AI30" i="7"/>
  <c r="AH30" i="7"/>
  <c r="AE30" i="7"/>
  <c r="R30" i="7"/>
  <c r="P30" i="7"/>
  <c r="O30" i="7"/>
  <c r="AK29" i="7"/>
  <c r="AJ29" i="7"/>
  <c r="AI29" i="7"/>
  <c r="AH29" i="7"/>
  <c r="AE29" i="7"/>
  <c r="R29" i="7"/>
  <c r="P29" i="7"/>
  <c r="O29" i="7"/>
  <c r="AK28" i="7"/>
  <c r="AJ28" i="7"/>
  <c r="AI28" i="7"/>
  <c r="AH28" i="7"/>
  <c r="AE28" i="7"/>
  <c r="R28" i="7"/>
  <c r="P28" i="7"/>
  <c r="O28" i="7"/>
  <c r="AK27" i="7"/>
  <c r="AJ27" i="7"/>
  <c r="AI27" i="7"/>
  <c r="AH27" i="7"/>
  <c r="AE27" i="7"/>
  <c r="R27" i="7"/>
  <c r="P27" i="7"/>
  <c r="AF27" i="7" s="1"/>
  <c r="O27" i="7"/>
  <c r="AK26" i="7"/>
  <c r="AJ26" i="7"/>
  <c r="AI26" i="7"/>
  <c r="AH26" i="7"/>
  <c r="AE26" i="7"/>
  <c r="R26" i="7"/>
  <c r="P26" i="7"/>
  <c r="O26" i="7"/>
  <c r="AK25" i="7"/>
  <c r="AJ25" i="7"/>
  <c r="AI25" i="7"/>
  <c r="AH25" i="7"/>
  <c r="AE25" i="7"/>
  <c r="R25" i="7"/>
  <c r="P25" i="7"/>
  <c r="AF25" i="7" s="1"/>
  <c r="O25" i="7"/>
  <c r="AK24" i="7"/>
  <c r="AJ24" i="7"/>
  <c r="AI24" i="7"/>
  <c r="AH24" i="7"/>
  <c r="AE24" i="7"/>
  <c r="R24" i="7"/>
  <c r="P24" i="7"/>
  <c r="O24" i="7"/>
  <c r="AK23" i="7"/>
  <c r="AJ23" i="7"/>
  <c r="AI23" i="7"/>
  <c r="AH23" i="7"/>
  <c r="AE23" i="7"/>
  <c r="R23" i="7"/>
  <c r="P23" i="7"/>
  <c r="AF23" i="7" s="1"/>
  <c r="O23" i="7"/>
  <c r="AK22" i="7"/>
  <c r="AJ22" i="7"/>
  <c r="AI22" i="7"/>
  <c r="AH22" i="7"/>
  <c r="AE22" i="7"/>
  <c r="R22" i="7"/>
  <c r="P22" i="7"/>
  <c r="AF22" i="7" s="1"/>
  <c r="O22" i="7"/>
  <c r="AK21" i="7"/>
  <c r="AJ21" i="7"/>
  <c r="AI21" i="7"/>
  <c r="AH21" i="7"/>
  <c r="AE21" i="7"/>
  <c r="R21" i="7"/>
  <c r="P21" i="7"/>
  <c r="O21" i="7"/>
  <c r="AK20" i="7"/>
  <c r="AJ20" i="7"/>
  <c r="AI20" i="7"/>
  <c r="AH20" i="7"/>
  <c r="AE20" i="7"/>
  <c r="R20" i="7"/>
  <c r="P20" i="7"/>
  <c r="O20" i="7"/>
  <c r="AK19" i="7"/>
  <c r="AJ19" i="7"/>
  <c r="AI19" i="7"/>
  <c r="AH19" i="7"/>
  <c r="AE19" i="7"/>
  <c r="R19" i="7"/>
  <c r="P19" i="7"/>
  <c r="AF19" i="7" s="1"/>
  <c r="O19" i="7"/>
  <c r="AK18" i="7"/>
  <c r="AJ18" i="7"/>
  <c r="AI18" i="7"/>
  <c r="AH18" i="7"/>
  <c r="R18" i="7"/>
  <c r="P18" i="7"/>
  <c r="AA18" i="7" s="1"/>
  <c r="O18" i="7"/>
  <c r="AK17" i="7"/>
  <c r="AJ17" i="7"/>
  <c r="AI17" i="7"/>
  <c r="AH17" i="7"/>
  <c r="AE17" i="7"/>
  <c r="R17" i="7"/>
  <c r="P17" i="7"/>
  <c r="O17" i="7"/>
  <c r="AK16" i="7"/>
  <c r="AJ16" i="7"/>
  <c r="AI16" i="7"/>
  <c r="AH16" i="7"/>
  <c r="AE16" i="7"/>
  <c r="AF16" i="7" s="1"/>
  <c r="P16" i="7"/>
  <c r="O16" i="7"/>
  <c r="AK15" i="7"/>
  <c r="AJ15" i="7"/>
  <c r="AI15" i="7"/>
  <c r="AH15" i="7"/>
  <c r="AE15" i="7"/>
  <c r="P15" i="7"/>
  <c r="O15" i="7"/>
  <c r="AK14" i="7"/>
  <c r="AJ14" i="7"/>
  <c r="AI14" i="7"/>
  <c r="AH14" i="7"/>
  <c r="AE14" i="7"/>
  <c r="AF14" i="7" s="1"/>
  <c r="P14" i="7"/>
  <c r="O14" i="7"/>
  <c r="AK13" i="7"/>
  <c r="AJ13" i="7"/>
  <c r="AI13" i="7"/>
  <c r="AH13" i="7"/>
  <c r="AE13" i="7"/>
  <c r="P13" i="7"/>
  <c r="O13" i="7"/>
  <c r="AK12" i="7"/>
  <c r="AJ12" i="7"/>
  <c r="AI12" i="7"/>
  <c r="AH12" i="7"/>
  <c r="AE12" i="7"/>
  <c r="AF12" i="7" s="1"/>
  <c r="P12" i="7"/>
  <c r="O12" i="7"/>
  <c r="AK11" i="7"/>
  <c r="AJ11" i="7"/>
  <c r="AI11" i="7"/>
  <c r="AH11" i="7"/>
  <c r="AE11" i="7"/>
  <c r="P11" i="7"/>
  <c r="O11" i="7"/>
  <c r="AK10" i="7"/>
  <c r="AJ10" i="7"/>
  <c r="AI10" i="7"/>
  <c r="AH10" i="7"/>
  <c r="AE10" i="7"/>
  <c r="R10" i="7"/>
  <c r="P10" i="7"/>
  <c r="O10" i="7"/>
  <c r="AK9" i="7"/>
  <c r="AJ9" i="7"/>
  <c r="AI9" i="7"/>
  <c r="AH9" i="7"/>
  <c r="AE9" i="7"/>
  <c r="R9" i="7"/>
  <c r="P9" i="7"/>
  <c r="O9" i="7"/>
  <c r="AK8" i="7"/>
  <c r="AJ8" i="7"/>
  <c r="AI8" i="7"/>
  <c r="AH8" i="7"/>
  <c r="AE8" i="7"/>
  <c r="R8" i="7"/>
  <c r="P8" i="7"/>
  <c r="O8" i="7"/>
  <c r="D8" i="7"/>
  <c r="AK7" i="7"/>
  <c r="AJ7" i="7"/>
  <c r="AI7" i="7"/>
  <c r="AH7" i="7"/>
  <c r="AE7" i="7"/>
  <c r="Y7" i="7"/>
  <c r="R7" i="7"/>
  <c r="P7" i="7"/>
  <c r="O7" i="7"/>
  <c r="AK6" i="7"/>
  <c r="AJ6" i="7"/>
  <c r="AI6" i="7"/>
  <c r="AH6" i="7"/>
  <c r="AE6" i="7"/>
  <c r="R6" i="7"/>
  <c r="P6" i="7"/>
  <c r="AF6" i="7" s="1"/>
  <c r="O6" i="7"/>
  <c r="AK5" i="7"/>
  <c r="AJ5" i="7"/>
  <c r="AI5" i="7"/>
  <c r="AH5" i="7"/>
  <c r="R5" i="7"/>
  <c r="P5" i="7"/>
  <c r="O5" i="7"/>
  <c r="AC65" i="6"/>
  <c r="AB65" i="6"/>
  <c r="AA65" i="6"/>
  <c r="Z65" i="6"/>
  <c r="Y65" i="6"/>
  <c r="X65" i="6"/>
  <c r="W65" i="6"/>
  <c r="V65" i="6"/>
  <c r="U65" i="6"/>
  <c r="P65" i="6"/>
  <c r="P64" i="6"/>
  <c r="U64" i="6" s="1"/>
  <c r="V64" i="6" s="1"/>
  <c r="W64" i="6" s="1"/>
  <c r="X64" i="6" s="1"/>
  <c r="Y64" i="6" s="1"/>
  <c r="Z64" i="6" s="1"/>
  <c r="AA64" i="6" s="1"/>
  <c r="AB64" i="6" s="1"/>
  <c r="AC64" i="6" s="1"/>
  <c r="U62" i="6"/>
  <c r="V62" i="6" s="1"/>
  <c r="W62" i="6" s="1"/>
  <c r="X62" i="6" s="1"/>
  <c r="Y62" i="6" s="1"/>
  <c r="Z62" i="6" s="1"/>
  <c r="AA62" i="6" s="1"/>
  <c r="AB62" i="6" s="1"/>
  <c r="AC62" i="6" s="1"/>
  <c r="P62" i="6"/>
  <c r="U61" i="6"/>
  <c r="V61" i="6" s="1"/>
  <c r="W61" i="6" s="1"/>
  <c r="X61" i="6" s="1"/>
  <c r="Y61" i="6" s="1"/>
  <c r="Z61" i="6" s="1"/>
  <c r="AA61" i="6" s="1"/>
  <c r="AB61" i="6" s="1"/>
  <c r="AC61" i="6" s="1"/>
  <c r="P61" i="6"/>
  <c r="U60" i="6"/>
  <c r="V60" i="6" s="1"/>
  <c r="W60" i="6" s="1"/>
  <c r="X60" i="6" s="1"/>
  <c r="Y60" i="6" s="1"/>
  <c r="Z60" i="6" s="1"/>
  <c r="AA60" i="6" s="1"/>
  <c r="AB60" i="6" s="1"/>
  <c r="AC60" i="6" s="1"/>
  <c r="P60" i="6"/>
  <c r="P59" i="6"/>
  <c r="P58" i="6"/>
  <c r="U58" i="6" s="1"/>
  <c r="V58" i="6" s="1"/>
  <c r="W58" i="6" s="1"/>
  <c r="X58" i="6" s="1"/>
  <c r="Y58" i="6" s="1"/>
  <c r="Z58" i="6" s="1"/>
  <c r="AA58" i="6" s="1"/>
  <c r="AB58" i="6" s="1"/>
  <c r="AC58" i="6" s="1"/>
  <c r="P57" i="6"/>
  <c r="U57" i="6" s="1"/>
  <c r="V57" i="6" s="1"/>
  <c r="W57" i="6" s="1"/>
  <c r="X57" i="6" s="1"/>
  <c r="Y57" i="6" s="1"/>
  <c r="Z57" i="6" s="1"/>
  <c r="AA57" i="6" s="1"/>
  <c r="AB57" i="6" s="1"/>
  <c r="AC57" i="6" s="1"/>
  <c r="Y53" i="6"/>
  <c r="X53" i="6"/>
  <c r="W53" i="6"/>
  <c r="V53" i="6"/>
  <c r="U53" i="6"/>
  <c r="T53" i="6"/>
  <c r="S53" i="6"/>
  <c r="R53" i="6"/>
  <c r="P52" i="6"/>
  <c r="P55" i="6" s="1"/>
  <c r="G25" i="5" s="1"/>
  <c r="AC47" i="6"/>
  <c r="AC54" i="6" s="1"/>
  <c r="AB47" i="6"/>
  <c r="AB54" i="6" s="1"/>
  <c r="AA47" i="6"/>
  <c r="AA54" i="6" s="1"/>
  <c r="Z47" i="6"/>
  <c r="Z54" i="6" s="1"/>
  <c r="Y47" i="6"/>
  <c r="Y54" i="6" s="1"/>
  <c r="X47" i="6"/>
  <c r="X54" i="6" s="1"/>
  <c r="W47" i="6"/>
  <c r="W54" i="6" s="1"/>
  <c r="V47" i="6"/>
  <c r="V54" i="6" s="1"/>
  <c r="U47" i="6"/>
  <c r="U54" i="6" s="1"/>
  <c r="T47" i="6"/>
  <c r="T54" i="6" s="1"/>
  <c r="S47" i="6"/>
  <c r="S54" i="6" s="1"/>
  <c r="R47" i="6"/>
  <c r="R54" i="6" s="1"/>
  <c r="P46" i="6"/>
  <c r="P48" i="6" s="1"/>
  <c r="A46" i="6"/>
  <c r="AG45" i="6"/>
  <c r="AC45" i="6"/>
  <c r="AB45" i="6"/>
  <c r="AA45" i="6"/>
  <c r="Z45" i="6"/>
  <c r="Y45" i="6"/>
  <c r="X45" i="6"/>
  <c r="W45" i="6"/>
  <c r="V45" i="6"/>
  <c r="U45" i="6"/>
  <c r="T45" i="6"/>
  <c r="S45" i="6"/>
  <c r="R45" i="6"/>
  <c r="P45" i="6"/>
  <c r="K44" i="6"/>
  <c r="K45" i="6" s="1"/>
  <c r="K46" i="6" s="1"/>
  <c r="E44" i="6"/>
  <c r="E45" i="6" s="1"/>
  <c r="A44" i="6"/>
  <c r="AK43" i="6"/>
  <c r="AJ43" i="6"/>
  <c r="AI43" i="6"/>
  <c r="AH43" i="6"/>
  <c r="AG43" i="6"/>
  <c r="AB43" i="6"/>
  <c r="V43" i="6"/>
  <c r="U43" i="6"/>
  <c r="AD43" i="6" s="1"/>
  <c r="P43" i="6"/>
  <c r="AK42" i="6"/>
  <c r="AJ42" i="6"/>
  <c r="AI42" i="6"/>
  <c r="AH42" i="6"/>
  <c r="AG42" i="6"/>
  <c r="AD42" i="6"/>
  <c r="P42" i="6"/>
  <c r="AK41" i="6"/>
  <c r="AJ41" i="6"/>
  <c r="AI41" i="6"/>
  <c r="AH41" i="6"/>
  <c r="AG41" i="6"/>
  <c r="AD41" i="6"/>
  <c r="AE41" i="6" s="1"/>
  <c r="P41" i="6"/>
  <c r="AK40" i="6"/>
  <c r="AJ40" i="6"/>
  <c r="AI40" i="6"/>
  <c r="AH40" i="6"/>
  <c r="AG40" i="6"/>
  <c r="AD40" i="6"/>
  <c r="P40" i="6"/>
  <c r="AK39" i="6"/>
  <c r="AJ39" i="6"/>
  <c r="AI39" i="6"/>
  <c r="AH39" i="6"/>
  <c r="AG39" i="6"/>
  <c r="AD39" i="6"/>
  <c r="P39" i="6"/>
  <c r="AK38" i="6"/>
  <c r="AJ38" i="6"/>
  <c r="AI38" i="6"/>
  <c r="AH38" i="6"/>
  <c r="AG38" i="6"/>
  <c r="AD38" i="6"/>
  <c r="P38" i="6"/>
  <c r="AK37" i="6"/>
  <c r="AJ37" i="6"/>
  <c r="AI37" i="6"/>
  <c r="AH37" i="6"/>
  <c r="AG37" i="6"/>
  <c r="AB37" i="6"/>
  <c r="AA37" i="6"/>
  <c r="Z37" i="6"/>
  <c r="Y37" i="6"/>
  <c r="X37" i="6"/>
  <c r="W37" i="6"/>
  <c r="V37" i="6"/>
  <c r="U37" i="6"/>
  <c r="P37" i="6"/>
  <c r="AK36" i="6"/>
  <c r="AJ36" i="6"/>
  <c r="AI36" i="6"/>
  <c r="AH36" i="6"/>
  <c r="AG36" i="6"/>
  <c r="AD36" i="6"/>
  <c r="P36" i="6"/>
  <c r="AK35" i="6"/>
  <c r="AJ35" i="6"/>
  <c r="AI35" i="6"/>
  <c r="AH35" i="6"/>
  <c r="AG35" i="6"/>
  <c r="AD35" i="6"/>
  <c r="P35" i="6"/>
  <c r="AK34" i="6"/>
  <c r="AJ34" i="6"/>
  <c r="AI34" i="6"/>
  <c r="AH34" i="6"/>
  <c r="AG34" i="6"/>
  <c r="AC34" i="6"/>
  <c r="AB34" i="6"/>
  <c r="AA34" i="6"/>
  <c r="Z34" i="6"/>
  <c r="Y34" i="6"/>
  <c r="X34" i="6"/>
  <c r="W34" i="6"/>
  <c r="V34" i="6"/>
  <c r="U34" i="6"/>
  <c r="T34" i="6"/>
  <c r="S34" i="6"/>
  <c r="R34" i="6"/>
  <c r="P34" i="6"/>
  <c r="AK33" i="6"/>
  <c r="AJ33" i="6"/>
  <c r="AI33" i="6"/>
  <c r="AH33" i="6"/>
  <c r="AG33" i="6"/>
  <c r="AD33" i="6"/>
  <c r="P33" i="6"/>
  <c r="AK32" i="6"/>
  <c r="AJ32" i="6"/>
  <c r="AI32" i="6"/>
  <c r="AH32" i="6"/>
  <c r="AG32" i="6"/>
  <c r="P32" i="6"/>
  <c r="Z32" i="6" s="1"/>
  <c r="AK31" i="6"/>
  <c r="AJ31" i="6"/>
  <c r="AI31" i="6"/>
  <c r="AH31" i="6"/>
  <c r="AG31" i="6"/>
  <c r="P31" i="6"/>
  <c r="AC31" i="6" s="1"/>
  <c r="AK30" i="6"/>
  <c r="AJ30" i="6"/>
  <c r="AI30" i="6"/>
  <c r="AH30" i="6"/>
  <c r="AG30" i="6"/>
  <c r="AD30" i="6"/>
  <c r="P30" i="6"/>
  <c r="AE30" i="6" s="1"/>
  <c r="AK29" i="6"/>
  <c r="AJ29" i="6"/>
  <c r="AI29" i="6"/>
  <c r="AH29" i="6"/>
  <c r="AG29" i="6"/>
  <c r="P29" i="6"/>
  <c r="Z29" i="6" s="1"/>
  <c r="AK28" i="6"/>
  <c r="AJ28" i="6"/>
  <c r="AI28" i="6"/>
  <c r="AH28" i="6"/>
  <c r="AG28" i="6"/>
  <c r="P28" i="6"/>
  <c r="AC28" i="6" s="1"/>
  <c r="AK27" i="6"/>
  <c r="AJ27" i="6"/>
  <c r="AI27" i="6"/>
  <c r="AH27" i="6"/>
  <c r="AG27" i="6"/>
  <c r="AD27" i="6"/>
  <c r="P27" i="6"/>
  <c r="AK26" i="6"/>
  <c r="AJ26" i="6"/>
  <c r="AI26" i="6"/>
  <c r="AH26" i="6"/>
  <c r="AG26" i="6"/>
  <c r="AC26" i="6"/>
  <c r="P26" i="6"/>
  <c r="Z26" i="6" s="1"/>
  <c r="AK25" i="6"/>
  <c r="AJ25" i="6"/>
  <c r="AI25" i="6"/>
  <c r="AH25" i="6"/>
  <c r="AG25" i="6"/>
  <c r="P25" i="6"/>
  <c r="AC25" i="6" s="1"/>
  <c r="AK24" i="6"/>
  <c r="AJ24" i="6"/>
  <c r="AI24" i="6"/>
  <c r="AH24" i="6"/>
  <c r="AG24" i="6"/>
  <c r="T24" i="6"/>
  <c r="P24" i="6"/>
  <c r="Z24" i="6" s="1"/>
  <c r="AK23" i="6"/>
  <c r="AJ23" i="6"/>
  <c r="AI23" i="6"/>
  <c r="AH23" i="6"/>
  <c r="AG23" i="6"/>
  <c r="AD23" i="6"/>
  <c r="P23" i="6"/>
  <c r="AK22" i="6"/>
  <c r="AJ22" i="6"/>
  <c r="AI22" i="6"/>
  <c r="AH22" i="6"/>
  <c r="AG22" i="6"/>
  <c r="AD22" i="6"/>
  <c r="AE22" i="6" s="1"/>
  <c r="P22" i="6"/>
  <c r="AK21" i="6"/>
  <c r="AJ21" i="6"/>
  <c r="AI21" i="6"/>
  <c r="AH21" i="6"/>
  <c r="AG21" i="6"/>
  <c r="AD21" i="6"/>
  <c r="P21" i="6"/>
  <c r="AK20" i="6"/>
  <c r="AJ20" i="6"/>
  <c r="AI20" i="6"/>
  <c r="AH20" i="6"/>
  <c r="AG20" i="6"/>
  <c r="AD20" i="6"/>
  <c r="P20" i="6"/>
  <c r="AK19" i="6"/>
  <c r="AJ19" i="6"/>
  <c r="AI19" i="6"/>
  <c r="AH19" i="6"/>
  <c r="AG19" i="6"/>
  <c r="AD19" i="6"/>
  <c r="P19" i="6"/>
  <c r="AK18" i="6"/>
  <c r="AJ18" i="6"/>
  <c r="AI18" i="6"/>
  <c r="AH18" i="6"/>
  <c r="AG18" i="6"/>
  <c r="AD18" i="6"/>
  <c r="P18" i="6"/>
  <c r="AK17" i="6"/>
  <c r="AJ17" i="6"/>
  <c r="AI17" i="6"/>
  <c r="AH17" i="6"/>
  <c r="AG17" i="6"/>
  <c r="P17" i="6"/>
  <c r="AC17" i="6" s="1"/>
  <c r="AK16" i="6"/>
  <c r="AJ16" i="6"/>
  <c r="AI16" i="6"/>
  <c r="AH16" i="6"/>
  <c r="AG16" i="6"/>
  <c r="AD16" i="6"/>
  <c r="P16" i="6"/>
  <c r="AE16" i="6" s="1"/>
  <c r="AK15" i="6"/>
  <c r="AJ15" i="6"/>
  <c r="AI15" i="6"/>
  <c r="AH15" i="6"/>
  <c r="AG15" i="6"/>
  <c r="AD15" i="6"/>
  <c r="AE15" i="6" s="1"/>
  <c r="P15" i="6"/>
  <c r="AK14" i="6"/>
  <c r="AJ14" i="6"/>
  <c r="AI14" i="6"/>
  <c r="AH14" i="6"/>
  <c r="AG14" i="6"/>
  <c r="AD14" i="6"/>
  <c r="P14" i="6"/>
  <c r="AK13" i="6"/>
  <c r="AJ13" i="6"/>
  <c r="AI13" i="6"/>
  <c r="AH13" i="6"/>
  <c r="AG13" i="6"/>
  <c r="AD13" i="6"/>
  <c r="P13" i="6"/>
  <c r="AK12" i="6"/>
  <c r="AJ12" i="6"/>
  <c r="AI12" i="6"/>
  <c r="AH12" i="6"/>
  <c r="AG12" i="6"/>
  <c r="AD12" i="6"/>
  <c r="P12" i="6"/>
  <c r="AK11" i="6"/>
  <c r="AJ11" i="6"/>
  <c r="AI11" i="6"/>
  <c r="AH11" i="6"/>
  <c r="AG11" i="6"/>
  <c r="AD11" i="6"/>
  <c r="AE11" i="6" s="1"/>
  <c r="P11" i="6"/>
  <c r="AK10" i="6"/>
  <c r="AJ10" i="6"/>
  <c r="AI10" i="6"/>
  <c r="AH10" i="6"/>
  <c r="AG10" i="6"/>
  <c r="P10" i="6"/>
  <c r="Z10" i="6" s="1"/>
  <c r="AK9" i="6"/>
  <c r="AJ9" i="6"/>
  <c r="AI9" i="6"/>
  <c r="AH9" i="6"/>
  <c r="AG9" i="6"/>
  <c r="Y9" i="6"/>
  <c r="P9" i="6"/>
  <c r="X9" i="6" s="1"/>
  <c r="AK8" i="6"/>
  <c r="AJ8" i="6"/>
  <c r="AI8" i="6"/>
  <c r="AH8" i="6"/>
  <c r="AG8" i="6"/>
  <c r="X8" i="6"/>
  <c r="W8" i="6"/>
  <c r="P8" i="6"/>
  <c r="AB8" i="6" s="1"/>
  <c r="E8" i="6"/>
  <c r="AK7" i="6"/>
  <c r="AJ7" i="6"/>
  <c r="AI7" i="6"/>
  <c r="AH7" i="6"/>
  <c r="AG7" i="6"/>
  <c r="W7" i="6"/>
  <c r="T7" i="6"/>
  <c r="P7" i="6"/>
  <c r="Z7" i="6" s="1"/>
  <c r="AK6" i="6"/>
  <c r="AJ6" i="6"/>
  <c r="AI6" i="6"/>
  <c r="AH6" i="6"/>
  <c r="AG6" i="6"/>
  <c r="P6" i="6"/>
  <c r="AC6" i="6" s="1"/>
  <c r="AK5" i="6"/>
  <c r="AJ5" i="6"/>
  <c r="AI5" i="6"/>
  <c r="AH5" i="6"/>
  <c r="AG5" i="6"/>
  <c r="P5" i="6"/>
  <c r="AE5" i="6" s="1"/>
  <c r="G27" i="5"/>
  <c r="H27" i="5" s="1"/>
  <c r="H22" i="5"/>
  <c r="G22" i="5"/>
  <c r="G16" i="5"/>
  <c r="H16" i="5" s="1"/>
  <c r="G14" i="5"/>
  <c r="H14" i="5" s="1"/>
  <c r="AC8" i="6" l="1"/>
  <c r="AF13" i="7"/>
  <c r="AF11" i="7"/>
  <c r="AE36" i="6"/>
  <c r="AE43" i="6"/>
  <c r="AF9" i="7"/>
  <c r="AF10" i="7"/>
  <c r="C59" i="17"/>
  <c r="C64" i="17" s="1"/>
  <c r="T26" i="6"/>
  <c r="T32" i="6"/>
  <c r="AC10" i="6"/>
  <c r="AF15" i="7"/>
  <c r="AF29" i="7"/>
  <c r="AF31" i="7"/>
  <c r="AF43" i="7"/>
  <c r="M18" i="15"/>
  <c r="M21" i="16"/>
  <c r="H24" i="16"/>
  <c r="V6" i="6"/>
  <c r="AE23" i="6"/>
  <c r="AC24" i="6"/>
  <c r="AC32" i="6"/>
  <c r="AE35" i="6"/>
  <c r="AE42" i="6"/>
  <c r="AF32" i="7"/>
  <c r="AF38" i="7"/>
  <c r="M6" i="16"/>
  <c r="M17" i="16"/>
  <c r="M19" i="16"/>
  <c r="I21" i="16"/>
  <c r="M31" i="16"/>
  <c r="M42" i="16"/>
  <c r="M53" i="16"/>
  <c r="I60" i="16"/>
  <c r="E24" i="17"/>
  <c r="M7" i="17"/>
  <c r="M9" i="17"/>
  <c r="M11" i="17"/>
  <c r="M13" i="17"/>
  <c r="E54" i="17"/>
  <c r="B79" i="17" s="1"/>
  <c r="W6" i="6"/>
  <c r="AG44" i="6"/>
  <c r="AG46" i="6" s="1"/>
  <c r="M34" i="17"/>
  <c r="AE13" i="6"/>
  <c r="AE20" i="6"/>
  <c r="AE39" i="6"/>
  <c r="AF41" i="7"/>
  <c r="AE67" i="7"/>
  <c r="AF67" i="7" s="1"/>
  <c r="H29" i="5" s="1"/>
  <c r="E22" i="16"/>
  <c r="M23" i="16"/>
  <c r="M26" i="16"/>
  <c r="M21" i="17"/>
  <c r="M42" i="17"/>
  <c r="AE14" i="6"/>
  <c r="K24" i="17"/>
  <c r="AI44" i="6"/>
  <c r="AI46" i="6" s="1"/>
  <c r="AH44" i="6"/>
  <c r="AH46" i="6" s="1"/>
  <c r="AC7" i="6"/>
  <c r="U8" i="6"/>
  <c r="AE12" i="6"/>
  <c r="AE19" i="6"/>
  <c r="AE27" i="6"/>
  <c r="AE38" i="6"/>
  <c r="AD45" i="6"/>
  <c r="AK44" i="7"/>
  <c r="AF17" i="7"/>
  <c r="AE45" i="7"/>
  <c r="G15" i="9"/>
  <c r="M20" i="16"/>
  <c r="M30" i="16"/>
  <c r="M45" i="16"/>
  <c r="E54" i="16"/>
  <c r="B77" i="16" s="1"/>
  <c r="M50" i="16"/>
  <c r="M52" i="16"/>
  <c r="M6" i="17"/>
  <c r="M10" i="17"/>
  <c r="M12" i="17"/>
  <c r="B74" i="17"/>
  <c r="AE21" i="6"/>
  <c r="T29" i="6"/>
  <c r="M15" i="17"/>
  <c r="K54" i="17"/>
  <c r="L54" i="17"/>
  <c r="AC29" i="6"/>
  <c r="AJ44" i="6"/>
  <c r="AJ46" i="6" s="1"/>
  <c r="V8" i="6"/>
  <c r="AE18" i="6"/>
  <c r="O44" i="7"/>
  <c r="AF20" i="7"/>
  <c r="AF21" i="7"/>
  <c r="AF24" i="7"/>
  <c r="AF28" i="7"/>
  <c r="AF30" i="7"/>
  <c r="J122" i="11"/>
  <c r="J124" i="11" s="1"/>
  <c r="G122" i="11"/>
  <c r="G124" i="11" s="1"/>
  <c r="D24" i="16"/>
  <c r="D59" i="16" s="1"/>
  <c r="H24" i="17"/>
  <c r="M29" i="17"/>
  <c r="M31" i="17"/>
  <c r="M33" i="17"/>
  <c r="AD7" i="6"/>
  <c r="AE7" i="6" s="1"/>
  <c r="X6" i="6"/>
  <c r="X44" i="6" s="1"/>
  <c r="AE40" i="6"/>
  <c r="AK44" i="6"/>
  <c r="AE33" i="6"/>
  <c r="AD34" i="6"/>
  <c r="AE34" i="6" s="1"/>
  <c r="AD37" i="6"/>
  <c r="AE37" i="6" s="1"/>
  <c r="E24" i="16"/>
  <c r="B75" i="16" s="1"/>
  <c r="M11" i="16"/>
  <c r="M13" i="16"/>
  <c r="M24" i="16" s="1"/>
  <c r="M15" i="16"/>
  <c r="M36" i="16"/>
  <c r="M38" i="16"/>
  <c r="M71" i="16"/>
  <c r="M37" i="17"/>
  <c r="M39" i="17"/>
  <c r="M41" i="17"/>
  <c r="M56" i="17"/>
  <c r="K62" i="17"/>
  <c r="M62" i="17" s="1"/>
  <c r="P67" i="6"/>
  <c r="G12" i="5"/>
  <c r="B77" i="17"/>
  <c r="Z42" i="7"/>
  <c r="X42" i="7"/>
  <c r="AD42" i="7"/>
  <c r="V42" i="7"/>
  <c r="AB42" i="7"/>
  <c r="T42" i="7"/>
  <c r="AA42" i="7"/>
  <c r="S42" i="7"/>
  <c r="S59" i="7"/>
  <c r="T59" i="7" s="1"/>
  <c r="U59" i="7" s="1"/>
  <c r="V59" i="7" s="1"/>
  <c r="W59" i="7" s="1"/>
  <c r="X59" i="7" s="1"/>
  <c r="Y59" i="7" s="1"/>
  <c r="Z59" i="7" s="1"/>
  <c r="AA59" i="7" s="1"/>
  <c r="AB59" i="7" s="1"/>
  <c r="AC59" i="7" s="1"/>
  <c r="AD59" i="7" s="1"/>
  <c r="R9" i="6"/>
  <c r="T17" i="6"/>
  <c r="T25" i="6"/>
  <c r="T28" i="6"/>
  <c r="T31" i="6"/>
  <c r="E46" i="6"/>
  <c r="W39" i="7"/>
  <c r="AC39" i="7"/>
  <c r="U39" i="7"/>
  <c r="AA39" i="7"/>
  <c r="S39" i="7"/>
  <c r="Z39" i="7"/>
  <c r="Z44" i="7" s="1"/>
  <c r="S63" i="7"/>
  <c r="T63" i="7" s="1"/>
  <c r="U63" i="7" s="1"/>
  <c r="V63" i="7" s="1"/>
  <c r="W63" i="7" s="1"/>
  <c r="X63" i="7" s="1"/>
  <c r="Y63" i="7" s="1"/>
  <c r="Z63" i="7" s="1"/>
  <c r="AA63" i="7" s="1"/>
  <c r="AB63" i="7" s="1"/>
  <c r="AC63" i="7" s="1"/>
  <c r="AD63" i="7" s="1"/>
  <c r="K47" i="16"/>
  <c r="G47" i="16"/>
  <c r="I28" i="16"/>
  <c r="W25" i="6"/>
  <c r="W28" i="6"/>
  <c r="W31" i="6"/>
  <c r="P44" i="6"/>
  <c r="AD47" i="6"/>
  <c r="AE47" i="6" s="1"/>
  <c r="AD54" i="6"/>
  <c r="AE54" i="6" s="1"/>
  <c r="U42" i="7"/>
  <c r="I24" i="16"/>
  <c r="AA9" i="6"/>
  <c r="W17" i="6"/>
  <c r="Z17" i="6"/>
  <c r="Z25" i="6"/>
  <c r="Z28" i="6"/>
  <c r="Z31" i="6"/>
  <c r="P44" i="7"/>
  <c r="AF5" i="7"/>
  <c r="T39" i="7"/>
  <c r="T44" i="7" s="1"/>
  <c r="W42" i="7"/>
  <c r="S56" i="7"/>
  <c r="AE56" i="7" s="1"/>
  <c r="AF56" i="7" s="1"/>
  <c r="AE47" i="7"/>
  <c r="AF47" i="7" s="1"/>
  <c r="E47" i="16"/>
  <c r="B76" i="16" s="1"/>
  <c r="K47" i="17"/>
  <c r="E47" i="17"/>
  <c r="B78" i="17" s="1"/>
  <c r="Z9" i="6"/>
  <c r="Z6" i="6"/>
  <c r="Y8" i="6"/>
  <c r="U9" i="6"/>
  <c r="AC9" i="6"/>
  <c r="R52" i="6"/>
  <c r="R55" i="6" s="1"/>
  <c r="S52" i="6" s="1"/>
  <c r="S55" i="6" s="1"/>
  <c r="T52" i="6" s="1"/>
  <c r="T55" i="6" s="1"/>
  <c r="R44" i="7"/>
  <c r="V39" i="7"/>
  <c r="Y42" i="7"/>
  <c r="L24" i="16"/>
  <c r="G59" i="16"/>
  <c r="S9" i="6"/>
  <c r="S6" i="6"/>
  <c r="V9" i="6"/>
  <c r="T10" i="6"/>
  <c r="AH44" i="7"/>
  <c r="AF7" i="7"/>
  <c r="AF26" i="7"/>
  <c r="X39" i="7"/>
  <c r="AC42" i="7"/>
  <c r="AE60" i="7"/>
  <c r="M54" i="16"/>
  <c r="M32" i="17"/>
  <c r="T9" i="6"/>
  <c r="Z8" i="6"/>
  <c r="T6" i="6"/>
  <c r="AB6" i="6"/>
  <c r="S8" i="6"/>
  <c r="AA8" i="6"/>
  <c r="W9" i="6"/>
  <c r="W10" i="6"/>
  <c r="W24" i="6"/>
  <c r="W26" i="6"/>
  <c r="AD26" i="6" s="1"/>
  <c r="AE26" i="6" s="1"/>
  <c r="W29" i="6"/>
  <c r="W32" i="6"/>
  <c r="AD32" i="6" s="1"/>
  <c r="AE32" i="6" s="1"/>
  <c r="AI44" i="7"/>
  <c r="AF8" i="7"/>
  <c r="AD18" i="7"/>
  <c r="X18" i="7"/>
  <c r="U18" i="7"/>
  <c r="Y39" i="7"/>
  <c r="S62" i="7"/>
  <c r="T62" i="7" s="1"/>
  <c r="U62" i="7" s="1"/>
  <c r="V62" i="7" s="1"/>
  <c r="W62" i="7" s="1"/>
  <c r="X62" i="7" s="1"/>
  <c r="Y62" i="7" s="1"/>
  <c r="Z62" i="7" s="1"/>
  <c r="AA62" i="7" s="1"/>
  <c r="AB62" i="7" s="1"/>
  <c r="AC62" i="7" s="1"/>
  <c r="AD62" i="7" s="1"/>
  <c r="AE64" i="7"/>
  <c r="K24" i="16"/>
  <c r="Y6" i="6"/>
  <c r="AB9" i="6"/>
  <c r="R6" i="6"/>
  <c r="AA6" i="6"/>
  <c r="R8" i="6"/>
  <c r="U6" i="6"/>
  <c r="T8" i="6"/>
  <c r="U52" i="6"/>
  <c r="U55" i="6" s="1"/>
  <c r="V52" i="6" s="1"/>
  <c r="V55" i="6" s="1"/>
  <c r="W52" i="6" s="1"/>
  <c r="W55" i="6" s="1"/>
  <c r="X52" i="6" s="1"/>
  <c r="X55" i="6" s="1"/>
  <c r="Y52" i="6" s="1"/>
  <c r="Y55" i="6" s="1"/>
  <c r="Z52" i="6" s="1"/>
  <c r="AJ44" i="7"/>
  <c r="AB39" i="7"/>
  <c r="R48" i="7"/>
  <c r="S66" i="7"/>
  <c r="T66" i="7" s="1"/>
  <c r="U66" i="7" s="1"/>
  <c r="V66" i="7" s="1"/>
  <c r="W66" i="7" s="1"/>
  <c r="X66" i="7" s="1"/>
  <c r="Y66" i="7" s="1"/>
  <c r="Z66" i="7" s="1"/>
  <c r="AA66" i="7" s="1"/>
  <c r="AB66" i="7" s="1"/>
  <c r="AC66" i="7" s="1"/>
  <c r="AD66" i="7" s="1"/>
  <c r="AE66" i="7"/>
  <c r="H47" i="16"/>
  <c r="H59" i="16" s="1"/>
  <c r="L44" i="16"/>
  <c r="M44" i="16" s="1"/>
  <c r="I44" i="16"/>
  <c r="K54" i="16"/>
  <c r="M40" i="17"/>
  <c r="H47" i="17"/>
  <c r="H59" i="17" s="1"/>
  <c r="H64" i="17" s="1"/>
  <c r="L44" i="17"/>
  <c r="M44" i="17" s="1"/>
  <c r="I44" i="17"/>
  <c r="I47" i="17" s="1"/>
  <c r="K57" i="17"/>
  <c r="M57" i="17" s="1"/>
  <c r="E57" i="17"/>
  <c r="M73" i="17"/>
  <c r="K57" i="16"/>
  <c r="M49" i="17"/>
  <c r="M54" i="17" s="1"/>
  <c r="E62" i="17"/>
  <c r="I21" i="17"/>
  <c r="I24" i="17" s="1"/>
  <c r="L22" i="17"/>
  <c r="M22" i="17" s="1"/>
  <c r="M24" i="17" s="1"/>
  <c r="D24" i="17"/>
  <c r="D59" i="17" s="1"/>
  <c r="D64" i="17" s="1"/>
  <c r="R57" i="7"/>
  <c r="AE61" i="7"/>
  <c r="AE65" i="7"/>
  <c r="C56" i="16"/>
  <c r="C59" i="16" s="1"/>
  <c r="E41" i="1"/>
  <c r="U44" i="6" l="1"/>
  <c r="U46" i="6" s="1"/>
  <c r="U48" i="6" s="1"/>
  <c r="U67" i="6" s="1"/>
  <c r="AD24" i="6"/>
  <c r="AE24" i="6" s="1"/>
  <c r="AD10" i="6"/>
  <c r="AE10" i="6" s="1"/>
  <c r="K59" i="17"/>
  <c r="K64" i="17" s="1"/>
  <c r="AD44" i="7"/>
  <c r="M57" i="16"/>
  <c r="Y44" i="6"/>
  <c r="X44" i="7"/>
  <c r="AA44" i="7"/>
  <c r="AD17" i="6"/>
  <c r="AE17" i="6" s="1"/>
  <c r="G20" i="5"/>
  <c r="D39" i="1"/>
  <c r="I47" i="16"/>
  <c r="I59" i="16" s="1"/>
  <c r="V44" i="6"/>
  <c r="V46" i="6" s="1"/>
  <c r="V48" i="6" s="1"/>
  <c r="V67" i="6" s="1"/>
  <c r="M47" i="16"/>
  <c r="AC44" i="6"/>
  <c r="AE62" i="7"/>
  <c r="AD29" i="6"/>
  <c r="AE29" i="6" s="1"/>
  <c r="I59" i="17"/>
  <c r="M47" i="17"/>
  <c r="M59" i="17" s="1"/>
  <c r="L24" i="17"/>
  <c r="R69" i="7"/>
  <c r="AA44" i="6"/>
  <c r="Y44" i="7"/>
  <c r="AB44" i="6"/>
  <c r="B78" i="16"/>
  <c r="AC44" i="7"/>
  <c r="T44" i="6"/>
  <c r="S44" i="6"/>
  <c r="Z44" i="6"/>
  <c r="W44" i="7"/>
  <c r="E56" i="16"/>
  <c r="E60" i="16" s="1"/>
  <c r="M60" i="16" s="1"/>
  <c r="K56" i="16"/>
  <c r="V44" i="7"/>
  <c r="AE59" i="7"/>
  <c r="AB44" i="7"/>
  <c r="AE63" i="7"/>
  <c r="AD31" i="6"/>
  <c r="AE31" i="6" s="1"/>
  <c r="AE42" i="7"/>
  <c r="AF42" i="7" s="1"/>
  <c r="E59" i="17"/>
  <c r="AD9" i="6"/>
  <c r="AE9" i="6" s="1"/>
  <c r="AD6" i="6"/>
  <c r="R44" i="6"/>
  <c r="R46" i="6" s="1"/>
  <c r="S54" i="7"/>
  <c r="L47" i="17"/>
  <c r="AD28" i="6"/>
  <c r="AE28" i="6" s="1"/>
  <c r="B80" i="17"/>
  <c r="AD8" i="6"/>
  <c r="AE8" i="6" s="1"/>
  <c r="U44" i="7"/>
  <c r="AE18" i="7"/>
  <c r="W44" i="6"/>
  <c r="W46" i="6" s="1"/>
  <c r="W48" i="6" s="1"/>
  <c r="L47" i="16"/>
  <c r="L59" i="16" s="1"/>
  <c r="AE39" i="7"/>
  <c r="AF39" i="7" s="1"/>
  <c r="S44" i="7"/>
  <c r="S46" i="7" s="1"/>
  <c r="AD25" i="6"/>
  <c r="AE25" i="6" s="1"/>
  <c r="AE102" i="3"/>
  <c r="AE101" i="3"/>
  <c r="AE100" i="3"/>
  <c r="AE99" i="3"/>
  <c r="AE98" i="3"/>
  <c r="AE97" i="3"/>
  <c r="AE96" i="3"/>
  <c r="E29" i="1" s="1"/>
  <c r="AE95" i="3"/>
  <c r="AE94" i="3"/>
  <c r="AE93" i="3"/>
  <c r="O101" i="3"/>
  <c r="O100" i="3"/>
  <c r="O99" i="3"/>
  <c r="O98" i="3"/>
  <c r="O97" i="3"/>
  <c r="D29" i="1" s="1"/>
  <c r="O96" i="3"/>
  <c r="O95" i="3"/>
  <c r="O94" i="3"/>
  <c r="O93" i="3"/>
  <c r="AD88" i="3"/>
  <c r="AC88" i="3"/>
  <c r="AB88" i="3"/>
  <c r="AA88" i="3"/>
  <c r="Z88" i="3"/>
  <c r="Y88" i="3"/>
  <c r="X88" i="3"/>
  <c r="W88" i="3"/>
  <c r="V88" i="3"/>
  <c r="U88" i="3"/>
  <c r="T88" i="3"/>
  <c r="S88" i="3"/>
  <c r="AD87" i="3"/>
  <c r="AC87" i="3"/>
  <c r="AB87" i="3"/>
  <c r="AA87" i="3"/>
  <c r="Z87" i="3"/>
  <c r="Y87" i="3"/>
  <c r="X87" i="3"/>
  <c r="W87" i="3"/>
  <c r="V87" i="3"/>
  <c r="U87" i="3"/>
  <c r="T87" i="3"/>
  <c r="S87" i="3"/>
  <c r="AD86" i="3"/>
  <c r="AC86" i="3"/>
  <c r="AB86" i="3"/>
  <c r="AA86" i="3"/>
  <c r="AA89" i="3" s="1"/>
  <c r="Z86" i="3"/>
  <c r="Y86" i="3"/>
  <c r="Y89" i="3" s="1"/>
  <c r="X86" i="3"/>
  <c r="W86" i="3"/>
  <c r="V86" i="3"/>
  <c r="U86" i="3"/>
  <c r="T86" i="3"/>
  <c r="S86" i="3"/>
  <c r="S89" i="3" s="1"/>
  <c r="R88" i="3"/>
  <c r="R87" i="3"/>
  <c r="R86" i="3"/>
  <c r="P88" i="3"/>
  <c r="N88" i="3"/>
  <c r="M88" i="3"/>
  <c r="L88" i="3"/>
  <c r="K88" i="3"/>
  <c r="J88" i="3"/>
  <c r="I88" i="3"/>
  <c r="H88" i="3"/>
  <c r="G88" i="3"/>
  <c r="F88" i="3"/>
  <c r="E88" i="3"/>
  <c r="D88" i="3"/>
  <c r="C88" i="3"/>
  <c r="P87" i="3"/>
  <c r="N87" i="3"/>
  <c r="M87" i="3"/>
  <c r="L87" i="3"/>
  <c r="K87" i="3"/>
  <c r="J87" i="3"/>
  <c r="I87" i="3"/>
  <c r="H87" i="3"/>
  <c r="G87" i="3"/>
  <c r="F87" i="3"/>
  <c r="E87" i="3"/>
  <c r="D87" i="3"/>
  <c r="C87" i="3"/>
  <c r="P86" i="3"/>
  <c r="P89" i="3" s="1"/>
  <c r="N86" i="3"/>
  <c r="M86" i="3"/>
  <c r="L86" i="3"/>
  <c r="L89" i="3" s="1"/>
  <c r="K86" i="3"/>
  <c r="J86" i="3"/>
  <c r="I86" i="3"/>
  <c r="H86" i="3"/>
  <c r="G86" i="3"/>
  <c r="F86" i="3"/>
  <c r="E86" i="3"/>
  <c r="D86" i="3"/>
  <c r="D89" i="3" s="1"/>
  <c r="C86" i="3"/>
  <c r="B88" i="3"/>
  <c r="B87" i="3"/>
  <c r="B86" i="3"/>
  <c r="M56" i="16" l="1"/>
  <c r="M59" i="16" s="1"/>
  <c r="L59" i="17"/>
  <c r="L64" i="17" s="1"/>
  <c r="M64" i="17" s="1"/>
  <c r="X89" i="3"/>
  <c r="C89" i="3"/>
  <c r="K89" i="3"/>
  <c r="D41" i="1"/>
  <c r="C39" i="1"/>
  <c r="G89" i="3"/>
  <c r="R89" i="3"/>
  <c r="H20" i="5"/>
  <c r="H23" i="5" s="1"/>
  <c r="G23" i="5"/>
  <c r="H89" i="3"/>
  <c r="M61" i="17"/>
  <c r="M75" i="17"/>
  <c r="S48" i="7"/>
  <c r="R48" i="6"/>
  <c r="I61" i="17"/>
  <c r="I75" i="17"/>
  <c r="I64" i="17"/>
  <c r="W67" i="6"/>
  <c r="X46" i="6"/>
  <c r="X48" i="6" s="1"/>
  <c r="E64" i="17"/>
  <c r="E75" i="17"/>
  <c r="E61" i="17"/>
  <c r="E59" i="16"/>
  <c r="AD44" i="6"/>
  <c r="AE45" i="6" s="1"/>
  <c r="AE6" i="6"/>
  <c r="AE44" i="6" s="1"/>
  <c r="AF18" i="7"/>
  <c r="AF44" i="7" s="1"/>
  <c r="AE44" i="7"/>
  <c r="AF45" i="7" s="1"/>
  <c r="K59" i="16"/>
  <c r="G29" i="5" s="1"/>
  <c r="G30" i="5" s="1"/>
  <c r="G32" i="5" s="1"/>
  <c r="I73" i="16"/>
  <c r="I61" i="16"/>
  <c r="S46" i="6"/>
  <c r="S48" i="6" s="1"/>
  <c r="T46" i="6" s="1"/>
  <c r="T48" i="6" s="1"/>
  <c r="T49" i="6" s="1"/>
  <c r="M89" i="3"/>
  <c r="F89" i="3"/>
  <c r="T89" i="3"/>
  <c r="AB89" i="3"/>
  <c r="U89" i="3"/>
  <c r="AD89" i="3"/>
  <c r="I89" i="3"/>
  <c r="W89" i="3"/>
  <c r="Z89" i="3"/>
  <c r="E89" i="3"/>
  <c r="N89" i="3"/>
  <c r="AC89" i="3"/>
  <c r="V89" i="3"/>
  <c r="J89" i="3"/>
  <c r="B89" i="3"/>
  <c r="AE83" i="3"/>
  <c r="AE82" i="3"/>
  <c r="AE81" i="3"/>
  <c r="AE88" i="3" s="1"/>
  <c r="E6" i="1" s="1"/>
  <c r="AE80" i="3"/>
  <c r="AE79" i="3"/>
  <c r="AE78" i="3"/>
  <c r="AE77" i="3"/>
  <c r="AE76" i="3"/>
  <c r="AE75" i="3"/>
  <c r="AE74" i="3"/>
  <c r="AE73" i="3"/>
  <c r="E32" i="1" s="1"/>
  <c r="AE72" i="3"/>
  <c r="AE71" i="3"/>
  <c r="AE70" i="3"/>
  <c r="AE69" i="3"/>
  <c r="E33" i="1" s="1"/>
  <c r="AE68" i="3"/>
  <c r="E30" i="1" s="1"/>
  <c r="AE67" i="3"/>
  <c r="E34" i="1" s="1"/>
  <c r="AE66" i="3"/>
  <c r="AE65" i="3"/>
  <c r="AE64" i="3"/>
  <c r="AE63" i="3"/>
  <c r="AE62" i="3"/>
  <c r="AE61" i="3"/>
  <c r="AE87" i="3" s="1"/>
  <c r="E7" i="1" s="1"/>
  <c r="AE60" i="3"/>
  <c r="AE59" i="3"/>
  <c r="AE58" i="3"/>
  <c r="AE57" i="3"/>
  <c r="AE56" i="3"/>
  <c r="E31" i="1" s="1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E23" i="1" s="1"/>
  <c r="AE36" i="3"/>
  <c r="AE35" i="3"/>
  <c r="E22" i="1" s="1"/>
  <c r="AE34" i="3"/>
  <c r="AE33" i="3"/>
  <c r="AE32" i="3"/>
  <c r="AE31" i="3"/>
  <c r="AE30" i="3"/>
  <c r="AE29" i="3"/>
  <c r="AE28" i="3"/>
  <c r="AE27" i="3"/>
  <c r="AE26" i="3"/>
  <c r="AE25" i="3"/>
  <c r="AE24" i="3"/>
  <c r="E18" i="1" s="1"/>
  <c r="AE23" i="3"/>
  <c r="AE22" i="3"/>
  <c r="AE21" i="3"/>
  <c r="AE20" i="3"/>
  <c r="E21" i="1" s="1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E20" i="1" s="1"/>
  <c r="AE6" i="3"/>
  <c r="AE5" i="3"/>
  <c r="E19" i="1" s="1"/>
  <c r="O83" i="3"/>
  <c r="O82" i="3"/>
  <c r="O81" i="3"/>
  <c r="O88" i="3" s="1"/>
  <c r="D6" i="1" s="1"/>
  <c r="C6" i="1" s="1"/>
  <c r="O80" i="3"/>
  <c r="O79" i="3"/>
  <c r="O78" i="3"/>
  <c r="O77" i="3"/>
  <c r="O76" i="3"/>
  <c r="O75" i="3"/>
  <c r="O74" i="3"/>
  <c r="O73" i="3"/>
  <c r="D32" i="1" s="1"/>
  <c r="O72" i="3"/>
  <c r="O71" i="3"/>
  <c r="O70" i="3"/>
  <c r="O69" i="3"/>
  <c r="D33" i="1" s="1"/>
  <c r="O68" i="3"/>
  <c r="D30" i="1" s="1"/>
  <c r="O67" i="3"/>
  <c r="D34" i="1" s="1"/>
  <c r="O66" i="3"/>
  <c r="O65" i="3"/>
  <c r="O64" i="3"/>
  <c r="O63" i="3"/>
  <c r="O62" i="3"/>
  <c r="O61" i="3"/>
  <c r="O87" i="3" s="1"/>
  <c r="D7" i="1" s="1"/>
  <c r="O60" i="3"/>
  <c r="O59" i="3"/>
  <c r="O58" i="3"/>
  <c r="O57" i="3"/>
  <c r="O56" i="3"/>
  <c r="D31" i="1" s="1"/>
  <c r="C31" i="1" s="1"/>
  <c r="O55" i="3"/>
  <c r="O54" i="3"/>
  <c r="O53" i="3"/>
  <c r="O52" i="3"/>
  <c r="O51" i="3"/>
  <c r="O50" i="3"/>
  <c r="O49" i="3"/>
  <c r="O48" i="3"/>
  <c r="O47" i="3"/>
  <c r="O46" i="3"/>
  <c r="O86" i="3" s="1"/>
  <c r="O45" i="3"/>
  <c r="O44" i="3"/>
  <c r="O43" i="3"/>
  <c r="O42" i="3"/>
  <c r="O41" i="3"/>
  <c r="O40" i="3"/>
  <c r="O39" i="3"/>
  <c r="O38" i="3"/>
  <c r="O37" i="3"/>
  <c r="D23" i="1" s="1"/>
  <c r="C23" i="1" s="1"/>
  <c r="O36" i="3"/>
  <c r="O35" i="3"/>
  <c r="D22" i="1" s="1"/>
  <c r="O34" i="3"/>
  <c r="O33" i="3"/>
  <c r="O32" i="3"/>
  <c r="O31" i="3"/>
  <c r="O30" i="3"/>
  <c r="O29" i="3"/>
  <c r="O28" i="3"/>
  <c r="O27" i="3"/>
  <c r="O26" i="3"/>
  <c r="O25" i="3"/>
  <c r="O24" i="3"/>
  <c r="D18" i="1" s="1"/>
  <c r="C18" i="1" s="1"/>
  <c r="O23" i="3"/>
  <c r="O22" i="3"/>
  <c r="O21" i="3"/>
  <c r="O20" i="3"/>
  <c r="D21" i="1" s="1"/>
  <c r="C21" i="1" s="1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D19" i="1" s="1"/>
  <c r="C40" i="1"/>
  <c r="C38" i="1"/>
  <c r="C41" i="1" s="1"/>
  <c r="C34" i="1"/>
  <c r="C29" i="1"/>
  <c r="C28" i="1"/>
  <c r="C27" i="1"/>
  <c r="C17" i="1"/>
  <c r="E13" i="1"/>
  <c r="D13" i="1"/>
  <c r="C11" i="1"/>
  <c r="C1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M61" i="16" l="1"/>
  <c r="M73" i="16"/>
  <c r="C48" i="1"/>
  <c r="C22" i="1"/>
  <c r="S50" i="7"/>
  <c r="T46" i="7"/>
  <c r="E61" i="16"/>
  <c r="E73" i="16"/>
  <c r="X67" i="6"/>
  <c r="Y46" i="6"/>
  <c r="Y48" i="6" s="1"/>
  <c r="D35" i="1"/>
  <c r="C19" i="1"/>
  <c r="C7" i="1"/>
  <c r="C32" i="1"/>
  <c r="E35" i="1"/>
  <c r="C30" i="1"/>
  <c r="D9" i="1"/>
  <c r="D14" i="1" s="1"/>
  <c r="C33" i="1"/>
  <c r="D24" i="1"/>
  <c r="AE86" i="3"/>
  <c r="D20" i="1"/>
  <c r="C20" i="1" s="1"/>
  <c r="C24" i="1" s="1"/>
  <c r="D8" i="1"/>
  <c r="O89" i="3"/>
  <c r="E24" i="1"/>
  <c r="C13" i="1"/>
  <c r="D43" i="1" l="1"/>
  <c r="D45" i="1" s="1"/>
  <c r="D47" i="1" s="1"/>
  <c r="Y67" i="6"/>
  <c r="Z46" i="6"/>
  <c r="Z48" i="6" s="1"/>
  <c r="T48" i="7"/>
  <c r="C35" i="1"/>
  <c r="C43" i="1" s="1"/>
  <c r="E43" i="1"/>
  <c r="AE89" i="3"/>
  <c r="E8" i="1"/>
  <c r="Z53" i="6" l="1"/>
  <c r="AA46" i="6"/>
  <c r="T50" i="7"/>
  <c r="U46" i="7"/>
  <c r="E9" i="1"/>
  <c r="E14" i="1" s="1"/>
  <c r="E45" i="1" s="1"/>
  <c r="E47" i="1" s="1"/>
  <c r="C8" i="1"/>
  <c r="C9" i="1" s="1"/>
  <c r="C14" i="1" s="1"/>
  <c r="C45" i="1" s="1"/>
  <c r="C47" i="1" s="1"/>
  <c r="AA48" i="6" l="1"/>
  <c r="U48" i="7"/>
  <c r="AA53" i="6"/>
  <c r="Z55" i="6"/>
  <c r="U50" i="7" l="1"/>
  <c r="V46" i="7"/>
  <c r="AA52" i="6"/>
  <c r="Z67" i="6"/>
  <c r="AB46" i="6"/>
  <c r="AA55" i="6" l="1"/>
  <c r="AB48" i="6"/>
  <c r="V48" i="7"/>
  <c r="V50" i="7" l="1"/>
  <c r="W46" i="7"/>
  <c r="AC46" i="6"/>
  <c r="AB53" i="6"/>
  <c r="AB52" i="6"/>
  <c r="AA67" i="6"/>
  <c r="AC48" i="6" l="1"/>
  <c r="AD46" i="6"/>
  <c r="AE46" i="6" s="1"/>
  <c r="AC53" i="6"/>
  <c r="AD53" i="6"/>
  <c r="AE53" i="6" s="1"/>
  <c r="AB55" i="6"/>
  <c r="W48" i="7"/>
  <c r="AC52" i="6" l="1"/>
  <c r="AB67" i="6"/>
  <c r="W50" i="7"/>
  <c r="X46" i="7"/>
  <c r="AD48" i="6"/>
  <c r="AE48" i="6" s="1"/>
  <c r="X48" i="7" l="1"/>
  <c r="AC55" i="6"/>
  <c r="AD52" i="6"/>
  <c r="AE52" i="6" s="1"/>
  <c r="AC67" i="6" l="1"/>
  <c r="AD55" i="6"/>
  <c r="AE55" i="6" s="1"/>
  <c r="X50" i="7"/>
  <c r="Y46" i="7"/>
  <c r="Y48" i="7" l="1"/>
  <c r="Y50" i="7" l="1"/>
  <c r="Z46" i="7"/>
  <c r="Z48" i="7" l="1"/>
  <c r="Z50" i="7" l="1"/>
  <c r="AA46" i="7"/>
  <c r="AA48" i="7" l="1"/>
  <c r="AA50" i="7" l="1"/>
  <c r="AB46" i="7"/>
  <c r="AB48" i="7" l="1"/>
  <c r="AB50" i="7" l="1"/>
  <c r="AC46" i="7"/>
  <c r="AC48" i="7" l="1"/>
  <c r="AC50" i="7" l="1"/>
  <c r="AD46" i="7"/>
  <c r="AD48" i="7" l="1"/>
  <c r="AE46" i="7"/>
  <c r="AF46" i="7" s="1"/>
  <c r="AH46" i="7"/>
  <c r="S55" i="7" l="1"/>
  <c r="T55" i="7"/>
  <c r="U55" i="7"/>
  <c r="V55" i="7"/>
  <c r="W55" i="7"/>
  <c r="X55" i="7"/>
  <c r="Y55" i="7"/>
  <c r="Z55" i="7"/>
  <c r="AA55" i="7"/>
  <c r="AB55" i="7"/>
  <c r="AC55" i="7"/>
  <c r="AD50" i="7"/>
  <c r="AE50" i="7" s="1"/>
  <c r="AF50" i="7" s="1"/>
  <c r="AE48" i="7"/>
  <c r="AD55" i="7"/>
  <c r="AF48" i="7" l="1"/>
  <c r="H12" i="5" s="1"/>
  <c r="AE55" i="7"/>
  <c r="AF55" i="7" s="1"/>
  <c r="S57" i="7"/>
  <c r="T54" i="7" l="1"/>
  <c r="S69" i="7"/>
  <c r="T57" i="7" l="1"/>
  <c r="U54" i="7" l="1"/>
  <c r="T69" i="7"/>
  <c r="U57" i="7" l="1"/>
  <c r="V54" i="7" l="1"/>
  <c r="V57" i="7" s="1"/>
  <c r="U69" i="7"/>
  <c r="W54" i="7" l="1"/>
  <c r="W57" i="7" s="1"/>
  <c r="V69" i="7"/>
  <c r="X54" i="7" l="1"/>
  <c r="X57" i="7" s="1"/>
  <c r="W69" i="7"/>
  <c r="Y54" i="7" l="1"/>
  <c r="Y57" i="7" s="1"/>
  <c r="X69" i="7"/>
  <c r="Z54" i="7" l="1"/>
  <c r="Z57" i="7" s="1"/>
  <c r="Y69" i="7"/>
  <c r="AA54" i="7" l="1"/>
  <c r="AA57" i="7" s="1"/>
  <c r="Z69" i="7"/>
  <c r="AB54" i="7" l="1"/>
  <c r="AB57" i="7" s="1"/>
  <c r="AA69" i="7"/>
  <c r="AC54" i="7" l="1"/>
  <c r="AC57" i="7" s="1"/>
  <c r="AB69" i="7"/>
  <c r="AD54" i="7" l="1"/>
  <c r="AC69" i="7"/>
  <c r="AD57" i="7" l="1"/>
  <c r="AE54" i="7"/>
  <c r="AF54" i="7" s="1"/>
  <c r="AD69" i="7" l="1"/>
  <c r="AE57" i="7"/>
  <c r="AF57" i="7" l="1"/>
  <c r="H25" i="5" s="1"/>
  <c r="H30" i="5" s="1"/>
  <c r="H32" i="5" s="1"/>
  <c r="AE69" i="7"/>
  <c r="AF6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John</author>
  </authors>
  <commentList>
    <comment ref="A1" authorId="0" shapeId="0" xr:uid="{B85D760A-4776-40BA-AF82-3072FDBCBAA7}">
      <text>
        <r>
          <rPr>
            <b/>
            <sz val="9"/>
            <color indexed="81"/>
            <rFont val="Tahoma"/>
            <family val="2"/>
          </rPr>
          <t>Company Code</t>
        </r>
      </text>
    </comment>
    <comment ref="B1" authorId="0" shapeId="0" xr:uid="{03A00687-E3C8-4281-A884-3682D21596D9}">
      <text>
        <r>
          <rPr>
            <b/>
            <sz val="9"/>
            <color indexed="81"/>
            <rFont val="Tahoma"/>
            <family val="2"/>
          </rPr>
          <t>Account Number</t>
        </r>
      </text>
    </comment>
    <comment ref="C1" authorId="0" shapeId="0" xr:uid="{2BEFD0DE-1568-425B-8524-43D9DB205309}">
      <text>
        <r>
          <rPr>
            <b/>
            <sz val="9"/>
            <color indexed="81"/>
            <rFont val="Tahoma"/>
            <family val="2"/>
          </rPr>
          <t>Text for B/S P&amp;L Item</t>
        </r>
      </text>
    </comment>
    <comment ref="D1" authorId="0" shapeId="0" xr:uid="{B34F6DC7-6D2A-48EA-870F-16B4E45FF6E0}">
      <text>
        <r>
          <rPr>
            <b/>
            <sz val="9"/>
            <color indexed="81"/>
            <rFont val="Tahoma"/>
            <family val="2"/>
          </rPr>
          <t>Total of Reporting Period</t>
        </r>
      </text>
    </comment>
    <comment ref="E1" authorId="0" shapeId="0" xr:uid="{B19E2889-9505-45E9-909E-5A97FD9E23C1}">
      <text>
        <r>
          <rPr>
            <b/>
            <sz val="9"/>
            <color indexed="81"/>
            <rFont val="Tahoma"/>
            <family val="2"/>
          </rPr>
          <t>Total of the Comparison Period</t>
        </r>
      </text>
    </comment>
    <comment ref="F1" authorId="0" shapeId="0" xr:uid="{409D3FFE-536D-4C52-AA48-ED8265271FC6}">
      <text>
        <r>
          <rPr>
            <b/>
            <sz val="9"/>
            <color indexed="81"/>
            <rFont val="Tahoma"/>
            <family val="2"/>
          </rPr>
          <t>Absolute Difference</t>
        </r>
      </text>
    </comment>
    <comment ref="G1" authorId="0" shapeId="0" xr:uid="{C01A236B-C7C1-412D-9482-DE90BA07838F}">
      <text>
        <r>
          <rPr>
            <b/>
            <sz val="9"/>
            <color indexed="81"/>
            <rFont val="Tahoma"/>
            <family val="2"/>
          </rPr>
          <t>Percentage Difference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IMAGE6440</author>
  </authors>
  <commentList>
    <comment ref="E69" authorId="0" shapeId="0" xr:uid="{FB0B3AFF-788D-41A1-A605-89F06B706DB4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Is the difference between this and above reg liab the G/U? - 4/27/21 - dea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EJP</author>
  </authors>
  <commentList>
    <comment ref="D34" authorId="0" shapeId="0" xr:uid="{076B9C36-880D-48D0-A011-3A0323EDDA38}">
      <text>
        <r>
          <rPr>
            <b/>
            <sz val="9"/>
            <color indexed="81"/>
            <rFont val="Tahoma"/>
            <charset val="1"/>
          </rPr>
          <t>EJP:</t>
        </r>
        <r>
          <rPr>
            <sz val="9"/>
            <color indexed="81"/>
            <rFont val="Tahoma"/>
            <charset val="1"/>
          </rPr>
          <t xml:space="preserve">
BS DIT Less RB DIT, tab 55 page 12</t>
        </r>
      </text>
    </comment>
    <comment ref="E34" authorId="0" shapeId="0" xr:uid="{D3654334-0580-4189-8AC1-4AEF63921909}">
      <text>
        <r>
          <rPr>
            <b/>
            <sz val="9"/>
            <color indexed="81"/>
            <rFont val="Tahoma"/>
            <charset val="1"/>
          </rPr>
          <t>EJP:</t>
        </r>
        <r>
          <rPr>
            <sz val="9"/>
            <color indexed="81"/>
            <rFont val="Tahoma"/>
            <charset val="1"/>
          </rPr>
          <t xml:space="preserve">
BS DIT Less RB DIT, tab 55 page 12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IMAGE6440</author>
  </authors>
  <commentList>
    <comment ref="R8" authorId="0" shapeId="0" xr:uid="{591FD448-6D74-4FD2-A6F0-46204D2F0759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allocate same was Steele does for 2022</t>
        </r>
      </text>
    </comment>
    <comment ref="AH17" authorId="0" shapeId="0" xr:uid="{ABB4D9FF-4B16-4055-BADA-CC29B203EFB1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per 3/5/21 - 2022 detail </t>
        </r>
      </text>
    </comment>
    <comment ref="AI17" authorId="0" shapeId="0" xr:uid="{4FDC707D-DA9E-4651-A4BC-14521E421A6D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per 3/5/21 - 2022 detail </t>
        </r>
      </text>
    </comment>
    <comment ref="AJ17" authorId="0" shapeId="0" xr:uid="{367FC04E-08AA-4655-BE63-40AFBA75B820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per 3/5/21 - 2022 detail </t>
        </r>
      </text>
    </comment>
    <comment ref="P34" authorId="0" shapeId="0" xr:uid="{442581B8-B3B7-4B88-BFB3-4A1E9FF024A9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after adj on detail</t>
        </r>
      </text>
    </comment>
    <comment ref="X34" authorId="0" shapeId="0" xr:uid="{F351A9FB-775C-48B5-88E6-57F0137B7B5B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capture 1st Q capex underspend here for simplicity; true up with actual - 5/7/21 - dea
</t>
        </r>
      </text>
    </comment>
    <comment ref="P37" authorId="0" shapeId="0" xr:uid="{DF5445CD-3446-4210-A7ED-A5DC8BB686E0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after adj on detail</t>
        </r>
      </text>
    </comment>
    <comment ref="P43" authorId="0" shapeId="0" xr:uid="{61D03DBD-C90C-4236-879F-F34B8DF43C6D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after adj on detail</t>
        </r>
      </text>
    </comment>
    <comment ref="AH45" authorId="0" shapeId="0" xr:uid="{958DC00D-3C52-4439-95E6-FF8AACFD633F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dea estimated for Moul testimony - 5/12/21</t>
        </r>
      </text>
    </comment>
    <comment ref="AI45" authorId="0" shapeId="0" xr:uid="{BEBCCEB7-C147-4E6B-BD6F-D76BF0A29175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dea estimated for Moul testimony - 5/12/21</t>
        </r>
      </text>
    </comment>
    <comment ref="AJ45" authorId="0" shapeId="0" xr:uid="{6F7560DE-A38C-4C02-92D6-97B5510B3F79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dea estimated for Moul testimony - 5/12/21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IMAGE6440</author>
  </authors>
  <commentList>
    <comment ref="P7" authorId="0" shapeId="0" xr:uid="{610253AE-2753-43A4-BB00-254E8D02A0FB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per Steele in first PDF</t>
        </r>
      </text>
    </comment>
    <comment ref="P8" authorId="0" shapeId="0" xr:uid="{B84D7748-0C0D-4253-8CD8-9DD1A6C5F465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per Steele in first PDF</t>
        </r>
      </text>
    </comment>
    <comment ref="P10" authorId="0" shapeId="0" xr:uid="{589250AE-BB0E-42F0-A12C-123DD480FF07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per Steele in first PDF</t>
        </r>
      </text>
    </comment>
    <comment ref="O34" authorId="0" shapeId="0" xr:uid="{F1EB582C-D9EB-4940-9396-9BEA8884285B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after adj on detail</t>
        </r>
      </text>
    </comment>
    <comment ref="O37" authorId="0" shapeId="0" xr:uid="{CA58C70C-A197-4874-A55F-98D24BAE4440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after adj on detail</t>
        </r>
      </text>
    </comment>
    <comment ref="O43" authorId="0" shapeId="0" xr:uid="{F92F3656-FAF1-49D2-9AA3-CDD14A4E5B64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after adj on detail</t>
        </r>
      </text>
    </comment>
    <comment ref="P43" authorId="0" shapeId="0" xr:uid="{820E0798-062B-4DE5-A5A8-3B185CE9B3AA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detail says $250,000</t>
        </r>
      </text>
    </comment>
    <comment ref="AH43" authorId="0" shapeId="0" xr:uid="{1B9CD381-BE7D-47CC-A387-6E914A0BD233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confirm Morphew should add $362k to Miller's budget as Miller doesn't show this add.</t>
        </r>
      </text>
    </comment>
    <comment ref="AI43" authorId="0" shapeId="0" xr:uid="{BD0B505A-4E3F-4DED-9193-51C37DF0B438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confirm Morphew should add $362k to Miller's budget as Miller doesn't show this add.</t>
        </r>
      </text>
    </comment>
    <comment ref="AJ43" authorId="0" shapeId="0" xr:uid="{6FD66DCF-8E9F-4D46-B9C2-F1AF51D688BE}">
      <text>
        <r>
          <rPr>
            <b/>
            <sz val="9"/>
            <color indexed="81"/>
            <rFont val="Tahoma"/>
            <family val="2"/>
          </rPr>
          <t>IMAGE6440:</t>
        </r>
        <r>
          <rPr>
            <sz val="9"/>
            <color indexed="81"/>
            <rFont val="Tahoma"/>
            <family val="2"/>
          </rPr>
          <t xml:space="preserve">
confirm Morphew should add $362k to Miller's budget as Miller doesn't show this add.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Estes</author>
  </authors>
  <commentList>
    <comment ref="F7" authorId="0" shapeId="0" xr:uid="{490D6D8C-6716-4A11-88C5-3DD38EC661E8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Based on 2021 Capital Budget</t>
        </r>
      </text>
    </comment>
    <comment ref="H7" authorId="0" shapeId="0" xr:uid="{B493BBBE-8FAD-45FA-A181-EDEE54C035D4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Based on 2021 Capital Budget</t>
        </r>
      </text>
    </comment>
    <comment ref="I7" authorId="0" shapeId="0" xr:uid="{BD84AFD6-829E-48F9-A533-ABCE82EB2DDD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Based on estimated retirements for 2021</t>
        </r>
      </text>
    </comment>
    <comment ref="D10" authorId="0" shapeId="0" xr:uid="{A85CE583-5E1B-45F9-9E9B-F972B4F59DBD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Prior May 2018</t>
        </r>
      </text>
    </comment>
    <comment ref="D11" authorId="0" shapeId="0" xr:uid="{F0D4756D-26F5-46BC-8393-A9EFCADC07DF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After May 2018
</t>
        </r>
      </text>
    </comment>
    <comment ref="D54" authorId="0" shapeId="0" xr:uid="{29718753-0353-4BDF-A6F0-EE51BE411D07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37403850001 to determine</t>
        </r>
      </text>
    </comment>
    <comment ref="D70" authorId="0" shapeId="0" xr:uid="{06BE6B62-8D72-430D-AC6D-7794D98BDD1C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39105809110</t>
        </r>
      </text>
    </comment>
    <comment ref="D71" authorId="0" shapeId="0" xr:uid="{A1C1B318-5F05-4407-9C7E-39FC05688965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39105859100</t>
        </r>
      </text>
    </comment>
    <comment ref="D72" authorId="0" shapeId="0" xr:uid="{34BDF560-6CBA-4982-85DB-42AC25811B2C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39100009005</t>
        </r>
      </text>
    </comment>
    <comment ref="D76" authorId="0" shapeId="0" xr:uid="{20FBC7C2-13C4-4D85-B9A5-5630888C8715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39406709440</t>
        </r>
      </text>
    </comment>
    <comment ref="G85" authorId="0" shapeId="0" xr:uid="{6DE3562B-342C-4618-B1F8-00E6343A7AA0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Total Plant 101 at December </t>
        </r>
      </text>
    </comment>
    <comment ref="H85" authorId="0" shapeId="0" xr:uid="{5BC31D4A-8654-42B0-AE0D-EFB6BDF068FC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Total 2021 Capital Budget Estimate</t>
        </r>
      </text>
    </comment>
    <comment ref="I85" authorId="0" shapeId="0" xr:uid="{10E02010-5FEB-4B38-99DF-4C7F6142C6B2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Total Yearly avg of retirements based on past two years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Estes</author>
  </authors>
  <commentList>
    <comment ref="D10" authorId="0" shapeId="0" xr:uid="{67CF34A4-2450-484A-8491-B08FD6F42CCE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Prior May 2018</t>
        </r>
      </text>
    </comment>
    <comment ref="I10" authorId="0" shapeId="0" xr:uid="{2BB3B98B-5D14-490E-806F-40273DC56F8A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
</t>
        </r>
      </text>
    </comment>
    <comment ref="N10" authorId="0" shapeId="0" xr:uid="{52CE432C-E558-4D32-AFE8-11CACCBE16C6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
</t>
        </r>
      </text>
    </comment>
    <comment ref="D11" authorId="0" shapeId="0" xr:uid="{9A4314F8-0FF0-451D-AE1B-A32251060B72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After May 2018
</t>
        </r>
      </text>
    </comment>
    <comment ref="D54" authorId="0" shapeId="0" xr:uid="{E9EB72A1-EAF9-456D-A675-1DB920F57BF1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37403850001 to determine</t>
        </r>
      </text>
    </comment>
    <comment ref="D70" authorId="0" shapeId="0" xr:uid="{F5E620D1-8733-4F2F-AD95-0258D972B0B0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39105809110</t>
        </r>
      </text>
    </comment>
    <comment ref="D71" authorId="0" shapeId="0" xr:uid="{CFC15035-A0A7-45AD-BA35-1A91E944949D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39105859100</t>
        </r>
      </text>
    </comment>
    <comment ref="D72" authorId="0" shapeId="0" xr:uid="{E2A60A82-A330-4363-88C8-60719195A9F0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39100009005</t>
        </r>
      </text>
    </comment>
    <comment ref="I74" authorId="0" shapeId="0" xr:uid="{F6900A75-4BB9-40BC-AB52-0FC455A4B275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Depreciated
</t>
        </r>
      </text>
    </comment>
    <comment ref="N74" authorId="0" shapeId="0" xr:uid="{560FE94E-5BEB-4EA2-81A4-AC1782B5AFAA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depreciated Feb 2019</t>
        </r>
      </text>
    </comment>
    <comment ref="D76" authorId="0" shapeId="0" xr:uid="{3D631EA9-A177-477C-93BF-8733C7E9B672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39406709440</t>
        </r>
      </text>
    </comment>
    <comment ref="I76" authorId="0" shapeId="0" xr:uid="{6A273A19-0C16-442B-940A-3DA9AA05174B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Depreciated
</t>
        </r>
      </text>
    </comment>
    <comment ref="I81" authorId="0" shapeId="0" xr:uid="{0BB8BAF5-D339-44DA-AB9D-1DB99F7AC039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Depreciated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Estes</author>
  </authors>
  <commentList>
    <comment ref="D10" authorId="0" shapeId="0" xr:uid="{7B4FBFC3-FC47-46FC-83D2-242A95DAB7DF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Prior May 2018</t>
        </r>
      </text>
    </comment>
    <comment ref="AL10" authorId="0" shapeId="0" xr:uid="{D804C41C-F07B-4C6A-A119-AA95EA80A883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
</t>
        </r>
      </text>
    </comment>
    <comment ref="D11" authorId="0" shapeId="0" xr:uid="{39DB6876-4C71-4016-8A25-BEBCB9D81789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After May 2018
</t>
        </r>
      </text>
    </comment>
    <comment ref="D54" authorId="0" shapeId="0" xr:uid="{0FFCD100-A121-4F14-890B-A9F40D24C26F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37403850001 to determine</t>
        </r>
      </text>
    </comment>
    <comment ref="D70" authorId="0" shapeId="0" xr:uid="{44779BDC-3284-4374-AE21-9CD044B768FC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39105809110</t>
        </r>
      </text>
    </comment>
    <comment ref="D71" authorId="0" shapeId="0" xr:uid="{557991DB-FB28-43DD-BACA-D341339D385B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39105859100</t>
        </r>
      </text>
    </comment>
    <comment ref="D72" authorId="0" shapeId="0" xr:uid="{6DFAA35A-9BAF-456E-907B-1CBA137FC3A1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39100009005</t>
        </r>
      </text>
    </comment>
    <comment ref="AL74" authorId="0" shapeId="0" xr:uid="{037E48DD-D9B1-48DD-A91C-107D2AC7EBFC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depreciated Feb 2019</t>
        </r>
      </text>
    </comment>
    <comment ref="D76" authorId="0" shapeId="0" xr:uid="{19861812-5B51-40E8-B2E5-E78EB53696C2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39406709440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Estes</author>
  </authors>
  <commentList>
    <comment ref="D10" authorId="0" shapeId="0" xr:uid="{2BF42932-A89D-438A-8A23-27A4967AB65C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Prior May 2018</t>
        </r>
      </text>
    </comment>
    <comment ref="U10" authorId="0" shapeId="0" xr:uid="{FB56DB26-7BB7-402A-B0AC-4D3DCC09B93B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
</t>
        </r>
      </text>
    </comment>
    <comment ref="D11" authorId="0" shapeId="0" xr:uid="{B243F813-A229-41E9-B944-004B22B81D6B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After May 2018
</t>
        </r>
      </text>
    </comment>
    <comment ref="D54" authorId="0" shapeId="0" xr:uid="{8EA318B0-CC28-4625-BC17-6EA8B33F58FA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37403850001 to determine</t>
        </r>
      </text>
    </comment>
    <comment ref="D70" authorId="0" shapeId="0" xr:uid="{8E9AA924-41E2-4739-AFC2-6945B1C8AD65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39105809110</t>
        </r>
      </text>
    </comment>
    <comment ref="D71" authorId="0" shapeId="0" xr:uid="{3140FDF4-8C18-43BC-B902-3C556EAA5B54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39105859100</t>
        </r>
      </text>
    </comment>
    <comment ref="D72" authorId="0" shapeId="0" xr:uid="{FFB3F877-5445-4629-8437-4EFEA9E86E1E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supernumber 39100009005</t>
        </r>
      </text>
    </comment>
    <comment ref="U74" authorId="0" shapeId="0" xr:uid="{4FE5BF51-5A20-409C-BBC6-E848A46ACFB7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fully depreciated Feb 2019</t>
        </r>
      </text>
    </comment>
    <comment ref="D76" authorId="0" shapeId="0" xr:uid="{A96E7231-4F57-4AFC-87E2-2A5E8C3F8220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 supernumber 39406709440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Estes</author>
  </authors>
  <commentList>
    <comment ref="C4" authorId="0" shapeId="0" xr:uid="{41CC6117-3A9A-46F0-8A98-6B5209DC5AED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After 1/1/2019  
SAP System</t>
        </r>
      </text>
    </comment>
    <comment ref="B7" authorId="0" shapeId="0" xr:uid="{BB44C4CD-F370-4022-B2C9-ECBF3E495963}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10068531 Distribution
10068393 Transm Main</t>
        </r>
      </text>
    </comment>
    <comment ref="E9" authorId="0" shapeId="0" xr:uid="{475201F6-C533-4A3F-A2C3-A038EFCF3694}">
      <text>
        <r>
          <rPr>
            <sz val="9"/>
            <color indexed="81"/>
            <rFont val="Tahoma"/>
            <family val="2"/>
          </rPr>
          <t xml:space="preserve">Kathy Estes:
Waiting to receive agreement. Order and WBS has not been requested yet. </t>
        </r>
      </text>
    </comment>
  </commentList>
</comments>
</file>

<file path=xl/sharedStrings.xml><?xml version="1.0" encoding="utf-8"?>
<sst xmlns="http://schemas.openxmlformats.org/spreadsheetml/2006/main" count="2704" uniqueCount="1054">
  <si>
    <t>Rate Base Percentage (Schedule J-1.1/J-1.2)</t>
  </si>
  <si>
    <t>Capitalization:</t>
  </si>
  <si>
    <t>Common Equity</t>
  </si>
  <si>
    <t>Long Term Debt</t>
  </si>
  <si>
    <t>Short Term Debt</t>
  </si>
  <si>
    <t>Subtotal</t>
  </si>
  <si>
    <t>Investment Tax Credits</t>
  </si>
  <si>
    <t>Gas Line Tracker</t>
  </si>
  <si>
    <t>Total Adjusted Capitalization (Schedule J-1.1/J-1.2)</t>
  </si>
  <si>
    <t>Assest per books not included in Rate Base:</t>
  </si>
  <si>
    <t>Net ARO Assets</t>
  </si>
  <si>
    <t>Other Property and Investments</t>
  </si>
  <si>
    <t>Cash and Temporary Investments</t>
  </si>
  <si>
    <t>Accounts Rec.</t>
  </si>
  <si>
    <t>Other Current Assets</t>
  </si>
  <si>
    <t>Deferred Regulatory Assets</t>
  </si>
  <si>
    <t>Other Deferred Debits</t>
  </si>
  <si>
    <t>Accumulated Deferred Investment Tax Credits</t>
  </si>
  <si>
    <t>Other Deferred Credits</t>
  </si>
  <si>
    <t>Regulatory Liabilities</t>
  </si>
  <si>
    <t>ARO Liabilities</t>
  </si>
  <si>
    <t>Other Current Liabilities</t>
  </si>
  <si>
    <t>Miscellaneous Long-Term Liabilities</t>
  </si>
  <si>
    <t>Accumulated Provision for Pension &amp; Postretirement</t>
  </si>
  <si>
    <t>Accumulated Deferred Income Taxes</t>
  </si>
  <si>
    <t>Items Included in Rate Base:</t>
  </si>
  <si>
    <t>Cash Working Capital (Income Statement)</t>
  </si>
  <si>
    <t>Capitalization / Rate Base Allocation Differences</t>
  </si>
  <si>
    <t>Total Reconciliation</t>
  </si>
  <si>
    <t>Total Rate Base (Schedule B-1.1)</t>
  </si>
  <si>
    <t>Line No.</t>
  </si>
  <si>
    <t>Description</t>
  </si>
  <si>
    <t>13 Month Average Total Company Balance</t>
  </si>
  <si>
    <t>13 Month Average - Delta</t>
  </si>
  <si>
    <t>13 Month Average - Peoples KY</t>
  </si>
  <si>
    <t/>
  </si>
  <si>
    <t>Period Amount</t>
  </si>
  <si>
    <t>Fiscal year/period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</si>
  <si>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</si>
  <si>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</si>
  <si>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</si>
  <si>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</si>
  <si>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</si>
  <si>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</si>
  <si>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</si>
  <si>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</si>
  <si>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</si>
  <si>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012/2020</t>
  </si>
  <si>
    <t>001/2021</t>
  </si>
  <si>
    <t>002/2021</t>
  </si>
  <si>
    <t>003/2021</t>
  </si>
  <si>
    <t>CURRENT ASSETS:</t>
  </si>
  <si>
    <t xml:space="preserve">  Cash and Cash Equivalents</t>
  </si>
  <si>
    <t xml:space="preserve">  Accounts Receivable:</t>
  </si>
  <si>
    <t xml:space="preserve">    Customer Accounts, Net</t>
  </si>
  <si>
    <t xml:space="preserve">    Other</t>
  </si>
  <si>
    <t xml:space="preserve">    Affiliates</t>
  </si>
  <si>
    <t xml:space="preserve">  Notes Receivable From Affiliate</t>
  </si>
  <si>
    <t xml:space="preserve">  Inventories:</t>
  </si>
  <si>
    <t xml:space="preserve">    Materials and Supplies</t>
  </si>
  <si>
    <t xml:space="preserve">    Gas Stored - Current Portion</t>
  </si>
  <si>
    <t xml:space="preserve">  Regulatory Assets:</t>
  </si>
  <si>
    <t xml:space="preserve">    Unrecovered Gas Costs</t>
  </si>
  <si>
    <t xml:space="preserve">  Deferred Income Taxes</t>
  </si>
  <si>
    <t xml:space="preserve">  Prepaid Taxes - Federal Income</t>
  </si>
  <si>
    <t xml:space="preserve">  Prepaid Taxes - State Income</t>
  </si>
  <si>
    <t xml:space="preserve">  Other</t>
  </si>
  <si>
    <t xml:space="preserve">     TOTAL CURRENT ASSETS</t>
  </si>
  <si>
    <t>INVESTMENTS:</t>
  </si>
  <si>
    <t xml:space="preserve">    TOTAL INVESTMENTS</t>
  </si>
  <si>
    <t>PROPERTY, PLANT AND EQUIPMENT</t>
  </si>
  <si>
    <t xml:space="preserve">  Property, Plant and Equipment</t>
  </si>
  <si>
    <t xml:space="preserve">  Accumulated Depreciation and Amortization</t>
  </si>
  <si>
    <t xml:space="preserve">    TOTAL PROPERTY, PLANT AND EQUIPMENT, NET</t>
  </si>
  <si>
    <t>DEFERRED CHARGES AND OTHER ASSETS:</t>
  </si>
  <si>
    <t xml:space="preserve">  Goodwill</t>
  </si>
  <si>
    <t xml:space="preserve">  Other Intangible Assets, Net</t>
  </si>
  <si>
    <t xml:space="preserve">  Regulatory Assets</t>
  </si>
  <si>
    <t xml:space="preserve">  Debt Issuance Costs</t>
  </si>
  <si>
    <t xml:space="preserve">    TOTAL DEFERRED CHARGES AND OTHER ASSETS</t>
  </si>
  <si>
    <t>TOTAL ASSETS</t>
  </si>
  <si>
    <t>CURRENT LIABILITIES:</t>
  </si>
  <si>
    <t xml:space="preserve">  Accounts Payable:</t>
  </si>
  <si>
    <t xml:space="preserve">    Trade</t>
  </si>
  <si>
    <t xml:space="preserve">  Notes Payable to Affiliate</t>
  </si>
  <si>
    <t xml:space="preserve">  Current Portion of Long-Term Debt</t>
  </si>
  <si>
    <t xml:space="preserve">  Interest Payable to Affiliate</t>
  </si>
  <si>
    <t xml:space="preserve">  Accrued Interest and Payroll</t>
  </si>
  <si>
    <t xml:space="preserve">  Accrued Federal Income Taxes</t>
  </si>
  <si>
    <t xml:space="preserve">  Accrued State Income Taxes</t>
  </si>
  <si>
    <t xml:space="preserve">  Regulatory Liabilities:</t>
  </si>
  <si>
    <t xml:space="preserve">    Amounts Payable to Customers</t>
  </si>
  <si>
    <t xml:space="preserve">  Provision for Gas Inventory Replacement</t>
  </si>
  <si>
    <t xml:space="preserve">    TOTAL CURRENT LIABILITIES</t>
  </si>
  <si>
    <t>LONG TERM DEBT:</t>
  </si>
  <si>
    <t xml:space="preserve">  Long Term Debt</t>
  </si>
  <si>
    <t xml:space="preserve">  Notes Payable Affiliates</t>
  </si>
  <si>
    <t xml:space="preserve">  Revolver Debt</t>
  </si>
  <si>
    <t xml:space="preserve">    TOTAL LONG TERM DEBT</t>
  </si>
  <si>
    <t>DEFERRED CREDITS AND OTHER LIABILITIES:</t>
  </si>
  <si>
    <t xml:space="preserve">  Asset Retirement Obligations</t>
  </si>
  <si>
    <t xml:space="preserve">  Pension and OPEB Liabilities</t>
  </si>
  <si>
    <t xml:space="preserve">  Capital Lease Obligation</t>
  </si>
  <si>
    <t xml:space="preserve">  Voluntary Retirement Program</t>
  </si>
  <si>
    <t xml:space="preserve">  Derivative Liabilities</t>
  </si>
  <si>
    <t xml:space="preserve">    TOTAL DEFERRED CREDITS AND OTHER LIABILITIES</t>
  </si>
  <si>
    <t xml:space="preserve">    TOTAL LIABILITIES</t>
  </si>
  <si>
    <t>MEMBER'S EQUITY:</t>
  </si>
  <si>
    <t xml:space="preserve">  Member's Equity</t>
  </si>
  <si>
    <t xml:space="preserve">  Accumulated Other Comprehensive Income/(Loss)</t>
  </si>
  <si>
    <t xml:space="preserve">    TOTAL MEMBER'S EQUITY</t>
  </si>
  <si>
    <t xml:space="preserve">    TOTAL LIABILITIES AND MEMBER'S EQUITY</t>
  </si>
  <si>
    <t>13 Month Average</t>
  </si>
  <si>
    <t>DELTA</t>
  </si>
  <si>
    <t>Delta Data - Balance Sheet</t>
  </si>
  <si>
    <t>Peoples KY - Balance Sheet</t>
  </si>
  <si>
    <t>Peoples KY</t>
  </si>
  <si>
    <t>ST Debt</t>
  </si>
  <si>
    <t>LT Debt</t>
  </si>
  <si>
    <t>Equity</t>
  </si>
  <si>
    <t>Total Cap</t>
  </si>
  <si>
    <t>As of March 31, 2021</t>
  </si>
  <si>
    <t>Rate Base Check</t>
  </si>
  <si>
    <t>Regulatory Liabilities:</t>
  </si>
  <si>
    <t>2220110 Reg Liab - Excess Deferred Income Tax - NonCurrent</t>
  </si>
  <si>
    <t>2220120 Reg Liab - Excess DIT - Gross Up NC</t>
  </si>
  <si>
    <t>2220160 Reg Liab - DIT 2005 KY Rate Dec</t>
  </si>
  <si>
    <t>2220260 Reg Liab - Cost of Removal</t>
  </si>
  <si>
    <t xml:space="preserve">  Total Regulatory Liabilities</t>
  </si>
  <si>
    <t>Pension and OPEB Liabilities:</t>
  </si>
  <si>
    <t>2291507 Noncurrent Liab-Delta Pension Benefit Obligation</t>
  </si>
  <si>
    <t xml:space="preserve">  Total Pension and OPEB Liabilities</t>
  </si>
  <si>
    <t>2291508 Noncurrent Liab-Pension Benefit Obligation</t>
  </si>
  <si>
    <t>Liabilities Per Books not included in Rate Base:</t>
  </si>
  <si>
    <t>Adjustments to Capitalization:</t>
  </si>
  <si>
    <t>2291505 Noncurrent Liab-EGC Pension Benefit Obligation</t>
  </si>
  <si>
    <t>2291506 Noncurrent Liab-PNG Cos Pension Benefit Obligation</t>
  </si>
  <si>
    <t>2291510 OPEB EGC 158 Benefit Obligation - Non Current</t>
  </si>
  <si>
    <t>Rate Base from "Tab 55 Sch"</t>
  </si>
  <si>
    <t>Debt Extinguishment Costs</t>
  </si>
  <si>
    <t>Delta Natural Gas Co., Inc.</t>
  </si>
  <si>
    <t xml:space="preserve">Tab 55 </t>
  </si>
  <si>
    <t>Rate Base</t>
  </si>
  <si>
    <t>Page 1</t>
  </si>
  <si>
    <t>Tab 55 Reference</t>
  </si>
  <si>
    <t>Base</t>
  </si>
  <si>
    <t>Pro Forma</t>
  </si>
  <si>
    <t>Total Utility Plant In Service per books</t>
  </si>
  <si>
    <t>Pages 2 &amp; 3</t>
  </si>
  <si>
    <t xml:space="preserve">Add:  </t>
  </si>
  <si>
    <t>Materials &amp; Supplies (13 mo avg)</t>
  </si>
  <si>
    <t>Page 4</t>
  </si>
  <si>
    <t>Prepayments (13 mo avg)</t>
  </si>
  <si>
    <t>Gas in Storage (13 mo avg)</t>
  </si>
  <si>
    <t>Unamortized Debt Exp per books</t>
  </si>
  <si>
    <t>Page 5</t>
  </si>
  <si>
    <t>Cash Working Capital Allowance (1/8 O&amp;M)</t>
  </si>
  <si>
    <t>Page 6</t>
  </si>
  <si>
    <t>Deduct:</t>
  </si>
  <si>
    <t xml:space="preserve">Accumulated Depreciation </t>
  </si>
  <si>
    <t>Pages 2 &amp; 3 &amp; 7 - 10</t>
  </si>
  <si>
    <t>Customer Adv for Construction</t>
  </si>
  <si>
    <t>Page 11</t>
  </si>
  <si>
    <t xml:space="preserve">Accum Deferred Income Taxes </t>
  </si>
  <si>
    <t>Pages 3, 12 &amp; 13</t>
  </si>
  <si>
    <t>Page 2</t>
  </si>
  <si>
    <t>2020 Actual</t>
  </si>
  <si>
    <t>2020 Capital Actual_Description</t>
  </si>
  <si>
    <t>Mark #</t>
  </si>
  <si>
    <t>2020 Budget</t>
  </si>
  <si>
    <t>2021 Capital Budget_Budget ID</t>
  </si>
  <si>
    <t>2021 Capital Budget_Description</t>
  </si>
  <si>
    <t>2021 Capital Budget_Mark Number</t>
  </si>
  <si>
    <t>2021 Capital Budget_Preparer</t>
  </si>
  <si>
    <t>2021 Capital Budget_Description - Key</t>
  </si>
  <si>
    <t>2021 Budget</t>
  </si>
  <si>
    <t>Projections_Description</t>
  </si>
  <si>
    <t>PNG Category</t>
  </si>
  <si>
    <t>2021 Revised</t>
  </si>
  <si>
    <t>Jan 21 Budget</t>
  </si>
  <si>
    <t>Feb 21 Budget</t>
  </si>
  <si>
    <t>Mar 21 Budget</t>
  </si>
  <si>
    <t>Apr 21 Budget</t>
  </si>
  <si>
    <t>May 21 Budget</t>
  </si>
  <si>
    <t>Jun 21 Budget</t>
  </si>
  <si>
    <t>Jul 21 Budget</t>
  </si>
  <si>
    <t>Aug 21 Budget</t>
  </si>
  <si>
    <t>Sep 21 Budget</t>
  </si>
  <si>
    <t>Oct 21 Budget</t>
  </si>
  <si>
    <t>Nov 21 Budget</t>
  </si>
  <si>
    <t>Dec 21 Budget</t>
  </si>
  <si>
    <t>Total 21 Budget</t>
  </si>
  <si>
    <t>Check</t>
  </si>
  <si>
    <t>2023 Projection</t>
  </si>
  <si>
    <t>2024 Projection</t>
  </si>
  <si>
    <t>2025 Projection</t>
  </si>
  <si>
    <t>2026 Projection</t>
  </si>
  <si>
    <t>Laboratory Equipment</t>
  </si>
  <si>
    <t>3950</t>
  </si>
  <si>
    <t>DCC</t>
  </si>
  <si>
    <t>CARTWRIGHT</t>
  </si>
  <si>
    <t>LABORATORY EQUIPMENT</t>
  </si>
  <si>
    <t>Computer Hardware</t>
  </si>
  <si>
    <t>3030</t>
  </si>
  <si>
    <t>Misc Intangible Plant (Software)</t>
  </si>
  <si>
    <t>JBB</t>
  </si>
  <si>
    <t>TURPIN</t>
  </si>
  <si>
    <t>IT Projects</t>
  </si>
  <si>
    <t>General Structures a</t>
  </si>
  <si>
    <t>3900</t>
  </si>
  <si>
    <t>General Structures and Improvements</t>
  </si>
  <si>
    <t>STEELE</t>
  </si>
  <si>
    <t>GEN STRUCTURES &amp; IMPROVEMENTS</t>
  </si>
  <si>
    <t>General - Buildings</t>
  </si>
  <si>
    <t>Office Furniture and</t>
  </si>
  <si>
    <t>3910</t>
  </si>
  <si>
    <t>Office Furniture and Equipment</t>
  </si>
  <si>
    <t>OFFICE FURNITURE &amp; EQUIPMENT</t>
  </si>
  <si>
    <t>General - Equipment</t>
  </si>
  <si>
    <t>3912</t>
  </si>
  <si>
    <t>Transportation Equip</t>
  </si>
  <si>
    <t>3920</t>
  </si>
  <si>
    <t>Transportation Equipment</t>
  </si>
  <si>
    <t>TRANSPORTATION EQUIPMENT</t>
  </si>
  <si>
    <t>General - Fleet</t>
  </si>
  <si>
    <t>Communication Equipm</t>
  </si>
  <si>
    <t>3970</t>
  </si>
  <si>
    <t>Communication Equipment</t>
  </si>
  <si>
    <t>COMMUNICATION EQUIPMENT</t>
  </si>
  <si>
    <t>Miscellaneous Equipm</t>
  </si>
  <si>
    <t>3980</t>
  </si>
  <si>
    <t>Miscellaneous Equipment</t>
  </si>
  <si>
    <t>MISCELLANEOUS EQUIPMENT</t>
  </si>
  <si>
    <t>Computerized Office</t>
  </si>
  <si>
    <t>3991</t>
  </si>
  <si>
    <t>Computerized Office Equipment</t>
  </si>
  <si>
    <t>COMPUTERIZED OFFICE EQUIPMENT</t>
  </si>
  <si>
    <t>Computer Software</t>
  </si>
  <si>
    <t>3992</t>
  </si>
  <si>
    <t>COMPUTER SOFTWARE</t>
  </si>
  <si>
    <t>3993</t>
  </si>
  <si>
    <t>Contingency</t>
  </si>
  <si>
    <t>3999</t>
  </si>
  <si>
    <t>BROWN</t>
  </si>
  <si>
    <t>CONTINGENCY</t>
  </si>
  <si>
    <t>Well Equipment</t>
  </si>
  <si>
    <t>3310</t>
  </si>
  <si>
    <t>JWM</t>
  </si>
  <si>
    <t>SHELLEY</t>
  </si>
  <si>
    <t>GAS WELL EQUIPMENT</t>
  </si>
  <si>
    <t>Gas Well Equipment</t>
  </si>
  <si>
    <t>Gathering Lines</t>
  </si>
  <si>
    <t>3320</t>
  </si>
  <si>
    <t>GATHERING LINES</t>
  </si>
  <si>
    <t>Gathering - Lines, Compressor Stat Equip</t>
  </si>
  <si>
    <t>Gathering Compressor</t>
  </si>
  <si>
    <t>3330</t>
  </si>
  <si>
    <t>Gathering Compressor Station Equipment</t>
  </si>
  <si>
    <t>GATH COMP STAT EQUIPMENT</t>
  </si>
  <si>
    <t>Gathering Measuring</t>
  </si>
  <si>
    <t>3340</t>
  </si>
  <si>
    <t>Gathering Measuring and Regulating Station Equip</t>
  </si>
  <si>
    <t>Gathering Measuring and Regulating Station Equipment</t>
  </si>
  <si>
    <t>GATH MEAS &amp; REG STAT EQUIPMENT</t>
  </si>
  <si>
    <t>Storage Wells</t>
  </si>
  <si>
    <t>3520</t>
  </si>
  <si>
    <t>STORAGE WELLS</t>
  </si>
  <si>
    <t>Storage - Lines, Compressor Stat Equip</t>
  </si>
  <si>
    <t>Storage Lines</t>
  </si>
  <si>
    <t>3530</t>
  </si>
  <si>
    <t>STORAGE LINES</t>
  </si>
  <si>
    <t>Storage Compressor S</t>
  </si>
  <si>
    <t>3540</t>
  </si>
  <si>
    <t>Storage Compressor Station Equipment</t>
  </si>
  <si>
    <t>STORAGE COMPRESSOR STAT EQUIP</t>
  </si>
  <si>
    <t>Storage Measuring an</t>
  </si>
  <si>
    <t>3550</t>
  </si>
  <si>
    <t>Storage Measuring and Regulating Equipment</t>
  </si>
  <si>
    <t>Purification Equipme</t>
  </si>
  <si>
    <t>3560</t>
  </si>
  <si>
    <t>Purification Equipment</t>
  </si>
  <si>
    <t>PURIFICATION EQUIPMENT</t>
  </si>
  <si>
    <t>Transmission Rights</t>
  </si>
  <si>
    <t>3650</t>
  </si>
  <si>
    <t>Transmission Rights of Way</t>
  </si>
  <si>
    <t>NELLIPOWITZ</t>
  </si>
  <si>
    <t>TRANSM RIGHTS OF WAY</t>
  </si>
  <si>
    <t>Transmission - ROW, Lines, Copmressor Stat Equip, M&amp;R</t>
  </si>
  <si>
    <t>Transmission Structu</t>
  </si>
  <si>
    <t>3660</t>
  </si>
  <si>
    <t>Transmission Structures and Improvements</t>
  </si>
  <si>
    <t>Transmission Mains</t>
  </si>
  <si>
    <t>3670</t>
  </si>
  <si>
    <t>TRANSMISSION MAINS</t>
  </si>
  <si>
    <t>Transmission Compres</t>
  </si>
  <si>
    <t>3680</t>
  </si>
  <si>
    <t>Transmission Compressor Station Equipment</t>
  </si>
  <si>
    <t>TRANSM COMPRESSOR STAT
EQUIPMT</t>
  </si>
  <si>
    <t>Transmission Measuri</t>
  </si>
  <si>
    <t>3690</t>
  </si>
  <si>
    <t>Transmission Measuring and Regulating Equip</t>
  </si>
  <si>
    <t>Transmission Measuring and Regulating Equipment</t>
  </si>
  <si>
    <t>TRANSM MEASURING &amp; REG EQUIPMT</t>
  </si>
  <si>
    <t>Transmission Other E</t>
  </si>
  <si>
    <t>3710</t>
  </si>
  <si>
    <t>Transmission Other Equipment (Telemetering)</t>
  </si>
  <si>
    <t>BEE</t>
  </si>
  <si>
    <t>TRANSMISSION OTHER EQUIPMENT</t>
  </si>
  <si>
    <t>Distribution Land an</t>
  </si>
  <si>
    <t>3740</t>
  </si>
  <si>
    <t>Distribution Land and Right of Way</t>
  </si>
  <si>
    <t>DISTRIBUTION LAND &amp; ROW</t>
  </si>
  <si>
    <t>Distribution - ROW, Lines, Compressor Stat Equip, M&amp;R</t>
  </si>
  <si>
    <t>Distribution Structu</t>
  </si>
  <si>
    <t>3750</t>
  </si>
  <si>
    <t>Distribution Structures and Improvements</t>
  </si>
  <si>
    <t>SWAFFORD</t>
  </si>
  <si>
    <t>DIST STRUCTURES &amp; IMPROVEMENTS</t>
  </si>
  <si>
    <t>Distribution Mains</t>
  </si>
  <si>
    <t>3760</t>
  </si>
  <si>
    <t>MILLER</t>
  </si>
  <si>
    <t>DISTRIBUTION MAINS</t>
  </si>
  <si>
    <t>Distribution General</t>
  </si>
  <si>
    <t>3780</t>
  </si>
  <si>
    <t>Distribution General Regulator Stations</t>
  </si>
  <si>
    <t>DIST GENERAL REG STATIONS</t>
  </si>
  <si>
    <t>Distribution City Ga</t>
  </si>
  <si>
    <t>3790</t>
  </si>
  <si>
    <t>Distribution City Gate Regulator Stations</t>
  </si>
  <si>
    <t>DIST CITY GATE REG STATIONS</t>
  </si>
  <si>
    <t>Distribution Service</t>
  </si>
  <si>
    <t>3800</t>
  </si>
  <si>
    <t>Distribution Services</t>
  </si>
  <si>
    <t>DISTRIBUTION SERVICES</t>
  </si>
  <si>
    <t>Distribution Meters</t>
  </si>
  <si>
    <t>3810</t>
  </si>
  <si>
    <t>DISTRIBUTION METERS</t>
  </si>
  <si>
    <t>Distribution Meter a</t>
  </si>
  <si>
    <t>3820</t>
  </si>
  <si>
    <t>Distribution Meter and Regulator Installations</t>
  </si>
  <si>
    <t>DIST METER &amp; REG INSTALLATION</t>
  </si>
  <si>
    <t>Distribution Regulat</t>
  </si>
  <si>
    <t>3830</t>
  </si>
  <si>
    <t>Distribution Regulators</t>
  </si>
  <si>
    <t>DISTRIBUTION REGULATORS</t>
  </si>
  <si>
    <t>Distribution Industr</t>
  </si>
  <si>
    <t>3850</t>
  </si>
  <si>
    <t>Distribution Industrial Meter Set</t>
  </si>
  <si>
    <t>DIST INDUSTRIAL METER SETS</t>
  </si>
  <si>
    <t>Tools</t>
  </si>
  <si>
    <t>3940</t>
  </si>
  <si>
    <t>TOOLS, SHOP &amp; GARAGE EQUIPMENT</t>
  </si>
  <si>
    <t>General - Tools &amp; Power Operated Equipment</t>
  </si>
  <si>
    <t>Power Operated Equip</t>
  </si>
  <si>
    <t>3960</t>
  </si>
  <si>
    <t>Power Operated Equipment</t>
  </si>
  <si>
    <t>POWER OPERATED EQUIPMENT</t>
  </si>
  <si>
    <t>2020 Capital Budget_Budget ID</t>
  </si>
  <si>
    <t>2020 Capital Budget_Description</t>
  </si>
  <si>
    <t>2020 Capital Budget_Mark Number</t>
  </si>
  <si>
    <t>2020 Capital Budget_Preparer</t>
  </si>
  <si>
    <t>Plant 12/31/20</t>
  </si>
  <si>
    <t>Pky</t>
  </si>
  <si>
    <t>Plant 3/31/21</t>
  </si>
  <si>
    <t>Retirements</t>
  </si>
  <si>
    <t>A/D 3/31/21</t>
  </si>
  <si>
    <t>Monthly Dep.</t>
  </si>
  <si>
    <t>Monthly A/D 2021</t>
  </si>
  <si>
    <t>Less:  KPSC prepaid</t>
  </si>
  <si>
    <t>Accum Deferred Income Taxes - assume dec. in reg liab. Offsets tax&gt;bk</t>
  </si>
  <si>
    <t>Page 3</t>
  </si>
  <si>
    <t>Jan 22 Budget</t>
  </si>
  <si>
    <t>Feb 22 Budget</t>
  </si>
  <si>
    <t>Mar 22 Budget</t>
  </si>
  <si>
    <t>Apr 22 Budget</t>
  </si>
  <si>
    <t>May 22 Budget</t>
  </si>
  <si>
    <t>Jun 22 Budget</t>
  </si>
  <si>
    <t>Jul 22 Budget</t>
  </si>
  <si>
    <t>Aug 22 Budget</t>
  </si>
  <si>
    <t>Sep 22 Budget</t>
  </si>
  <si>
    <t>Oct 22 Budget</t>
  </si>
  <si>
    <t>Nov 22 Budget</t>
  </si>
  <si>
    <t>Dec 22 Budget</t>
  </si>
  <si>
    <t>Total 22 Budget</t>
  </si>
  <si>
    <t>2022</t>
  </si>
  <si>
    <t>Plant 12/31/21</t>
  </si>
  <si>
    <t>using</t>
  </si>
  <si>
    <t>21 ave.</t>
  </si>
  <si>
    <t>A/D 12/31/21</t>
  </si>
  <si>
    <t>Monthly A/D 2022</t>
  </si>
  <si>
    <t>G/L Account | Fiscal year/period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</si>
  <si>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</si>
  <si>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</si>
  <si>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</si>
  <si>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</si>
  <si>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</si>
  <si>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</si>
  <si>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</si>
  <si>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</si>
  <si>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</si>
  <si>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</si>
  <si>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</si>
  <si>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</si>
  <si>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</si>
  <si>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Average</t>
  </si>
  <si>
    <t>Plant Materials &amp; Operating Supplies (154)</t>
  </si>
  <si>
    <t>Gas Stored Underground - Current (164.1)</t>
  </si>
  <si>
    <t>Prepayments (165)</t>
  </si>
  <si>
    <t>PKY</t>
  </si>
  <si>
    <t>Delta</t>
  </si>
  <si>
    <t>Total</t>
  </si>
  <si>
    <t>Debt Extinguishment and Issuance Costs - 3/31/21 - Base period</t>
  </si>
  <si>
    <t>1242150 Reg Asset - Loss on Extinguishment of Debt</t>
  </si>
  <si>
    <t>1242207 Reg Asset - Debt Issuance Costs</t>
  </si>
  <si>
    <t>Total 3/31/2021</t>
  </si>
  <si>
    <t>Associated with Delta $43,000,000 outstanding 4.26% bond</t>
  </si>
  <si>
    <t>Working Capital</t>
  </si>
  <si>
    <t>O&amp;M Expenses</t>
  </si>
  <si>
    <t>Per books</t>
  </si>
  <si>
    <t>Adjustments</t>
  </si>
  <si>
    <t>RECLASS TO FERC 3/31/21 Actual Statement</t>
  </si>
  <si>
    <t>Payroll</t>
  </si>
  <si>
    <t>Medical</t>
  </si>
  <si>
    <t>Dental</t>
  </si>
  <si>
    <t>401(k)</t>
  </si>
  <si>
    <t>Pension expense</t>
  </si>
  <si>
    <t>Rate case expense</t>
  </si>
  <si>
    <t>Lobbying expenses 5399900</t>
  </si>
  <si>
    <t>Advertising</t>
  </si>
  <si>
    <t>Total adjustments</t>
  </si>
  <si>
    <t xml:space="preserve">Total O&amp;M expenses </t>
  </si>
  <si>
    <t>X 1/8</t>
  </si>
  <si>
    <t>=</t>
  </si>
  <si>
    <t>PLANT BALANCES AND CALCULATED DEPRECIATION EXPENSE</t>
  </si>
  <si>
    <t>Page 7</t>
  </si>
  <si>
    <t>2021</t>
  </si>
  <si>
    <t>FERC</t>
  </si>
  <si>
    <t>ASSET</t>
  </si>
  <si>
    <t>DEPR EXP</t>
  </si>
  <si>
    <t>ACTUAL</t>
  </si>
  <si>
    <t>ESTIMATED</t>
  </si>
  <si>
    <t>NO</t>
  </si>
  <si>
    <t>GL</t>
  </si>
  <si>
    <t>DESCRIPTION</t>
  </si>
  <si>
    <t>PLANT PKY</t>
  </si>
  <si>
    <t>ADDITIONS</t>
  </si>
  <si>
    <t>PLANT</t>
  </si>
  <si>
    <t>RETIREMENTS</t>
  </si>
  <si>
    <t>INTANGIBLE</t>
  </si>
  <si>
    <t xml:space="preserve"> </t>
  </si>
  <si>
    <t>301</t>
  </si>
  <si>
    <t>Non Depr</t>
  </si>
  <si>
    <t>ORGANIZATION</t>
  </si>
  <si>
    <t>COMPUTER SOFTWARE OTHER</t>
  </si>
  <si>
    <t>COMPUTER SOFTWARE MAJOR</t>
  </si>
  <si>
    <t>SUB TOTAL</t>
  </si>
  <si>
    <t>PRODUCTION</t>
  </si>
  <si>
    <t>RIGHT OF WAYS</t>
  </si>
  <si>
    <t>327</t>
  </si>
  <si>
    <t>COMP STAT STRUCTURES</t>
  </si>
  <si>
    <t>WELL EQUIPMENT</t>
  </si>
  <si>
    <t>332</t>
  </si>
  <si>
    <t xml:space="preserve">FIELD LINES </t>
  </si>
  <si>
    <t>333</t>
  </si>
  <si>
    <t>COMPRESSOR STAT EQUIPMENT</t>
  </si>
  <si>
    <t>334</t>
  </si>
  <si>
    <t>MEASURING &amp; REG STATIONS</t>
  </si>
  <si>
    <t>STORAGE &amp; PROCESSING</t>
  </si>
  <si>
    <t>35001</t>
  </si>
  <si>
    <t>STORAGE LAND</t>
  </si>
  <si>
    <t>STORAGE RIGHT OF WAY</t>
  </si>
  <si>
    <t>STRUCTURES &amp; IMPROVEMENTS</t>
  </si>
  <si>
    <t>35201</t>
  </si>
  <si>
    <t>1311030</t>
  </si>
  <si>
    <t>STORAGE RIGHTS</t>
  </si>
  <si>
    <t>35202</t>
  </si>
  <si>
    <t>STORAGE RESERVOIRS</t>
  </si>
  <si>
    <t>35203</t>
  </si>
  <si>
    <t>NONRECOVERABLE NATURAL  GAS</t>
  </si>
  <si>
    <t>353</t>
  </si>
  <si>
    <t>354</t>
  </si>
  <si>
    <t>STORAGE COMPRESSOR  STAT EQUIP</t>
  </si>
  <si>
    <t>355</t>
  </si>
  <si>
    <t>STORAGE MEASURING &amp; REG EQUIP</t>
  </si>
  <si>
    <t>357</t>
  </si>
  <si>
    <t>STORAGE OTHER EQUIPMENT</t>
  </si>
  <si>
    <t>TRANSMISSION</t>
  </si>
  <si>
    <t>3651</t>
  </si>
  <si>
    <t>LAND &amp; RIGHTS</t>
  </si>
  <si>
    <t>3652</t>
  </si>
  <si>
    <t>RIGHTS OF WAY</t>
  </si>
  <si>
    <t>366</t>
  </si>
  <si>
    <t>STRUCTURES &amp; IMPROVMENTS</t>
  </si>
  <si>
    <t>367</t>
  </si>
  <si>
    <t>368</t>
  </si>
  <si>
    <t>COMPRESSOR STATTION EQUIPMENT</t>
  </si>
  <si>
    <t>369</t>
  </si>
  <si>
    <t>MEASURING &amp; REG STAT EQUIPMENT</t>
  </si>
  <si>
    <t>371</t>
  </si>
  <si>
    <t>OTHER EQUIP</t>
  </si>
  <si>
    <t>DISTRIBUTION</t>
  </si>
  <si>
    <t>374</t>
  </si>
  <si>
    <t>DISTRIBUTION RIGHTS OF WAYS</t>
  </si>
  <si>
    <t>DISTRIBUTION LAND</t>
  </si>
  <si>
    <t>375</t>
  </si>
  <si>
    <t>376</t>
  </si>
  <si>
    <t>378</t>
  </si>
  <si>
    <t>MEAS &amp; REG STAT - GENERAL</t>
  </si>
  <si>
    <t>379</t>
  </si>
  <si>
    <t>MEAS &amp; REG STAT - CITY GATE</t>
  </si>
  <si>
    <t>380</t>
  </si>
  <si>
    <t>SERVICES</t>
  </si>
  <si>
    <t>381</t>
  </si>
  <si>
    <t>METERS</t>
  </si>
  <si>
    <t>382</t>
  </si>
  <si>
    <t>METER &amp; REGULATOR  INSTALLATION</t>
  </si>
  <si>
    <t>383</t>
  </si>
  <si>
    <t>HOUSE REGULATORS</t>
  </si>
  <si>
    <t>385</t>
  </si>
  <si>
    <t>INDUSTRIAL METER SETS</t>
  </si>
  <si>
    <t>GENERAL</t>
  </si>
  <si>
    <t>389</t>
  </si>
  <si>
    <t>390</t>
  </si>
  <si>
    <t>391</t>
  </si>
  <si>
    <t>OFFICE FURN &amp; EQUIP-FURNITURE</t>
  </si>
  <si>
    <t>OFFICE FURN &amp; EQUIP-OFFC EQUIPMT</t>
  </si>
  <si>
    <t>OFFICE FURN &amp; EQUIP-COMPUTER HARDW</t>
  </si>
  <si>
    <t>392</t>
  </si>
  <si>
    <t>AUTOS &amp; TRUCKS</t>
  </si>
  <si>
    <t>393</t>
  </si>
  <si>
    <t xml:space="preserve">STORES EQUIPMENT </t>
  </si>
  <si>
    <t>394</t>
  </si>
  <si>
    <t>TOOLS &amp; WORK EQUIPMENT</t>
  </si>
  <si>
    <t>39401</t>
  </si>
  <si>
    <t>COMP NG STAT &amp; EQUIP</t>
  </si>
  <si>
    <t>395</t>
  </si>
  <si>
    <t>396</t>
  </si>
  <si>
    <t>397</t>
  </si>
  <si>
    <t>398</t>
  </si>
  <si>
    <t>OTHER TANG EQUIP-MAPPING COST</t>
  </si>
  <si>
    <t xml:space="preserve">TOTAL </t>
  </si>
  <si>
    <t>dea - 5/5/21</t>
  </si>
  <si>
    <t>Calendar Year Retirements</t>
  </si>
  <si>
    <t>NOTE:  ACTUAL RETIREMENTS Cal Year 2019 ( No ARO's)</t>
  </si>
  <si>
    <t>NOTE:  ACTUAL RETIREMENTS Cal Year 2020 (No ARO's)</t>
  </si>
  <si>
    <t>2 Year Average Yearly Retirements</t>
  </si>
  <si>
    <t>Delta Plant in Service per FERC</t>
  </si>
  <si>
    <t>Difference - Asset Retirement</t>
  </si>
  <si>
    <t>Gas</t>
  </si>
  <si>
    <t>Peoples Plant in Service per FERC</t>
  </si>
  <si>
    <t>CWIP</t>
  </si>
  <si>
    <t>UPAA</t>
  </si>
  <si>
    <t>Total State Plant in Service</t>
  </si>
  <si>
    <t>Cap lease</t>
  </si>
  <si>
    <t>Q1 underspend</t>
  </si>
  <si>
    <t>Page 8</t>
  </si>
  <si>
    <t>Period Jan to June 2022</t>
  </si>
  <si>
    <t>Semi-Annual</t>
  </si>
  <si>
    <t>Period July to Dec 2022</t>
  </si>
  <si>
    <t>Yearly</t>
  </si>
  <si>
    <t>DEPR</t>
  </si>
  <si>
    <t>Depr</t>
  </si>
  <si>
    <t>Adds</t>
  </si>
  <si>
    <t>Retires</t>
  </si>
  <si>
    <t>RATE</t>
  </si>
  <si>
    <t>CALCULATED</t>
  </si>
  <si>
    <t>Calculated</t>
  </si>
  <si>
    <t>Fully Depr</t>
  </si>
  <si>
    <t>Monthly DEPR</t>
  </si>
  <si>
    <t>Jan to June 2022</t>
  </si>
  <si>
    <t>July to Dec 2022</t>
  </si>
  <si>
    <t>check</t>
  </si>
  <si>
    <t>PKY 12/31/20</t>
  </si>
  <si>
    <t>Need to fit in Col. E</t>
  </si>
  <si>
    <t>Asset Retirement</t>
  </si>
  <si>
    <t>CWIP 12/31/20</t>
  </si>
  <si>
    <t>Col E excludes CWIP, UPIS in rate base includes</t>
  </si>
  <si>
    <t>12/31/22 per above</t>
  </si>
  <si>
    <t>12/31/22 per 2022 capex tab</t>
  </si>
  <si>
    <t>Differences:</t>
  </si>
  <si>
    <t xml:space="preserve">Rate Base reflects actual 3/31/21 rather than budgeted </t>
  </si>
  <si>
    <t>13 mo ave.</t>
  </si>
  <si>
    <t>Be sure above adds are total State</t>
  </si>
  <si>
    <t>Page 9</t>
  </si>
  <si>
    <t>Jan - Dec 2022</t>
  </si>
  <si>
    <t>Capital Budget by Month</t>
  </si>
  <si>
    <t>DEPR @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</si>
  <si>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</si>
  <si>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</si>
  <si>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</si>
  <si>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</si>
  <si>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</si>
  <si>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</si>
  <si>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</si>
  <si>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</si>
  <si>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</si>
  <si>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</si>
  <si>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</si>
  <si>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</si>
  <si>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13 Mo. Ave.</t>
  </si>
  <si>
    <t>Pro Forma Depreciation Expense</t>
  </si>
  <si>
    <t>Less: Test Year</t>
  </si>
  <si>
    <t>Depreciation Expense Adjustment</t>
  </si>
  <si>
    <t>Adj.</t>
  </si>
  <si>
    <t>Dep.</t>
  </si>
  <si>
    <t>Amort.</t>
  </si>
  <si>
    <t>Page 10</t>
  </si>
  <si>
    <t xml:space="preserve">Work </t>
  </si>
  <si>
    <t>Agreemt</t>
  </si>
  <si>
    <t>Expiration</t>
  </si>
  <si>
    <t>Agreement</t>
  </si>
  <si>
    <t>Customers</t>
  </si>
  <si>
    <t>12/31/2020</t>
  </si>
  <si>
    <t>12/31/2021</t>
  </si>
  <si>
    <t>Order Number</t>
  </si>
  <si>
    <t>WBS#</t>
  </si>
  <si>
    <t>Date</t>
  </si>
  <si>
    <t>Name</t>
  </si>
  <si>
    <t>Requirement</t>
  </si>
  <si>
    <t>On Service</t>
  </si>
  <si>
    <t>Balance</t>
  </si>
  <si>
    <t>Receipts</t>
  </si>
  <si>
    <t>Refund</t>
  </si>
  <si>
    <t>Released</t>
  </si>
  <si>
    <t>CASH DEPOSITS</t>
  </si>
  <si>
    <t>501-301</t>
  </si>
  <si>
    <t>12/18/2014</t>
  </si>
  <si>
    <t>12/18/2024</t>
  </si>
  <si>
    <t>HARRY LINDON</t>
  </si>
  <si>
    <t>501.19.021.1</t>
  </si>
  <si>
    <t>AppHarvest Morehead Farm LLC</t>
  </si>
  <si>
    <t>501.20.026.1</t>
  </si>
  <si>
    <t>CHUCK HALL, 123 BIG WOODS RD</t>
  </si>
  <si>
    <t xml:space="preserve">APPHARVEST RICHMOND FARM </t>
  </si>
  <si>
    <t xml:space="preserve">APPHARVEST BEREA FARM </t>
  </si>
  <si>
    <t>503.19.020.1</t>
  </si>
  <si>
    <t>7/10/2029</t>
  </si>
  <si>
    <t>METRONET TECHNOLOGIES</t>
  </si>
  <si>
    <t>507-197</t>
  </si>
  <si>
    <t>08/30/2012</t>
  </si>
  <si>
    <t>08/30/2022</t>
  </si>
  <si>
    <t>WHITLEY CO HEALTH DEPARTMENT</t>
  </si>
  <si>
    <t>507.20.008.1</t>
  </si>
  <si>
    <t>TAMMY SILER</t>
  </si>
  <si>
    <t>508-221</t>
  </si>
  <si>
    <t>7/29/2021</t>
  </si>
  <si>
    <t>CLARENCE CALLOWAY</t>
  </si>
  <si>
    <t>508-231</t>
  </si>
  <si>
    <t>BRENT WELLS, BPI INC</t>
  </si>
  <si>
    <t>511-03-650</t>
  </si>
  <si>
    <t>09/06/2013</t>
  </si>
  <si>
    <t>09/13/2023</t>
  </si>
  <si>
    <t>TONY COMBS</t>
  </si>
  <si>
    <t>TOTAL CASH DEPOSITS</t>
  </si>
  <si>
    <t>ACCUMULATED DEFERRED TAXES</t>
  </si>
  <si>
    <t>Source: Provision report 51051 Q1 2021</t>
  </si>
  <si>
    <t>Co #1600</t>
  </si>
  <si>
    <t>Co #1300</t>
  </si>
  <si>
    <t>Page 12</t>
  </si>
  <si>
    <t>SAP</t>
  </si>
  <si>
    <t>PowerTax</t>
  </si>
  <si>
    <t>Delta Natural Gas</t>
  </si>
  <si>
    <t>Combined</t>
  </si>
  <si>
    <t>A/C#</t>
  </si>
  <si>
    <t>Non Rate Base</t>
  </si>
  <si>
    <t>1.242.13</t>
  </si>
  <si>
    <t>DEF INC TAX DEFERRED GAS COST</t>
  </si>
  <si>
    <t xml:space="preserve">1.242.14 </t>
  </si>
  <si>
    <t>DEF INC TAX BAD DEBT RESERVE</t>
  </si>
  <si>
    <t xml:space="preserve">1.242.18 </t>
  </si>
  <si>
    <t>DEF INC TAX MEDICAL RESERVE</t>
  </si>
  <si>
    <t xml:space="preserve">1.242.19 </t>
  </si>
  <si>
    <t>DEF INC TAX PROFESSIONAL FEES</t>
  </si>
  <si>
    <t xml:space="preserve">1.242.22 </t>
  </si>
  <si>
    <t>DEF INC TAX ACCRUED VACATION</t>
  </si>
  <si>
    <t xml:space="preserve">1.242.16 </t>
  </si>
  <si>
    <t>DEF INC TAX PREPAID INS</t>
  </si>
  <si>
    <t>DEF INC TAX ACCRUED INCENTIVE</t>
  </si>
  <si>
    <t>DEF INC TAX CHARITABLE CONTRIB LIMIT-FED</t>
  </si>
  <si>
    <t>DEF INC TAX CHARITABLE CONTRIB LIMIT-STATE</t>
  </si>
  <si>
    <t>DEF INC TAX NET OPER LOSS FED 2014</t>
  </si>
  <si>
    <t>DEF INC TAX NET OPER LOSS FED 2016</t>
  </si>
  <si>
    <t>DEF INC TAX NET OPER LOSS FED 2017</t>
  </si>
  <si>
    <t>DEF INC TAX NET OPER LOSS FED 2019</t>
  </si>
  <si>
    <t>DEF INC TAX IBNR</t>
  </si>
  <si>
    <t>CONTINGENT LIABILITY AMORTIZATION</t>
  </si>
  <si>
    <t>WORKERS COMP</t>
  </si>
  <si>
    <t>PERFORMANCE STOCK/RESTRICTED STOCK UNITS</t>
  </si>
  <si>
    <t>DEF INC TAX UNICAP 263A</t>
  </si>
  <si>
    <t xml:space="preserve">1.282.02 </t>
  </si>
  <si>
    <t>DEF INC TAX PENSION PLAN</t>
  </si>
  <si>
    <t xml:space="preserve">1.282.06 </t>
  </si>
  <si>
    <t>DEF INC TAX ANNUAL LEAVE PLAN</t>
  </si>
  <si>
    <t>1.282.01</t>
  </si>
  <si>
    <t>DEF INC TAX ACCEL DEPR - FEDERAL</t>
  </si>
  <si>
    <t xml:space="preserve">1.282.01 </t>
  </si>
  <si>
    <t>DEF INC TAX ACCEL DEPR - STATE</t>
  </si>
  <si>
    <t>DEF INC TAX BOOK DEPRECIATION</t>
  </si>
  <si>
    <t>DEF INC TAX BOOK AMORTIZATION INTANGIBLES</t>
  </si>
  <si>
    <t>DEF INC TAX BOOK AMORTIZATION</t>
  </si>
  <si>
    <t xml:space="preserve">1.282.07 </t>
  </si>
  <si>
    <t>DEF INC TAX CONSTRUCTION CONTRIBUTIONS</t>
  </si>
  <si>
    <t xml:space="preserve">1.282.10 </t>
  </si>
  <si>
    <t>DEF INC TAX DEBT EXPENSE</t>
  </si>
  <si>
    <t xml:space="preserve">1.282.12 </t>
  </si>
  <si>
    <t>DEF INC TAX STORAGE GAS</t>
  </si>
  <si>
    <t xml:space="preserve">1.282.14 </t>
  </si>
  <si>
    <t>DEF INC TAX ASSET RETIREMENT OBLIGATION</t>
  </si>
  <si>
    <t>1.282.18</t>
  </si>
  <si>
    <t>DEF INC TAX COST OF REMOVAL</t>
  </si>
  <si>
    <t>EXCESS DIT - 2005 KY ADOPTION (RATE CHANGE)</t>
  </si>
  <si>
    <t>EXCESS DIT - 2005 KY AMORTIZATION</t>
  </si>
  <si>
    <t>EXCESS DIT - 2018 FEDERAL AMORTIZATION</t>
  </si>
  <si>
    <t>EXCESS DIT - 2018 FEDERAL RATE CHANGE</t>
  </si>
  <si>
    <t>EXCESS DIT - KY ADOPTION (RATE CHANGE)</t>
  </si>
  <si>
    <t>EXCESS DIT - 2018 KY AMORTIZATION</t>
  </si>
  <si>
    <t>ASC LEASED ASSET</t>
  </si>
  <si>
    <t>EXCESS DIT - PGKY AMORTIZATION</t>
  </si>
  <si>
    <t>APB28 ADJ or TOPSIDE ENTRY</t>
  </si>
  <si>
    <t>1.283.03</t>
  </si>
  <si>
    <t>DEF INC TAX SUPPLEMENTAL RETIREMENT PLAN</t>
  </si>
  <si>
    <t>OPEB</t>
  </si>
  <si>
    <t xml:space="preserve">1.283.06 </t>
  </si>
  <si>
    <t>DEF INC TAX ARO REG ASSET</t>
  </si>
  <si>
    <t xml:space="preserve">1.283.07 </t>
  </si>
  <si>
    <t>DEF INC TAX ARC DEPRECIATION</t>
  </si>
  <si>
    <t xml:space="preserve">1.283.10 </t>
  </si>
  <si>
    <t>DEF INC TAX - 2005 KY RATE CHANGE</t>
  </si>
  <si>
    <t>REGULATORY LIABILITY EXCESS - FED (NET)</t>
  </si>
  <si>
    <t>REGULATORY LIABILITY EXCESS - STATE (NET)</t>
  </si>
  <si>
    <t xml:space="preserve">Provision Report 51051 </t>
  </si>
  <si>
    <t>IRS Pro Rata Normalization Adjustment</t>
  </si>
  <si>
    <t>B/S</t>
  </si>
  <si>
    <t>Open Items:</t>
  </si>
  <si>
    <t>No ADIT customer advances?</t>
  </si>
  <si>
    <t>DTA</t>
  </si>
  <si>
    <t>AFUDC treatment PKY vs. DNG</t>
  </si>
  <si>
    <t>Reg Liab</t>
  </si>
  <si>
    <t>ADIT</t>
  </si>
  <si>
    <t>F/S</t>
  </si>
  <si>
    <t>Provision</t>
  </si>
  <si>
    <t>Reg Assets</t>
  </si>
  <si>
    <t>CEP</t>
  </si>
  <si>
    <t>Loss on Extinguish. of Debt</t>
  </si>
  <si>
    <t>Vacation Balancing</t>
  </si>
  <si>
    <t>Asset Retirement Obligation</t>
  </si>
  <si>
    <t>Debt Issuance Costs</t>
  </si>
  <si>
    <t>FERC BS</t>
  </si>
  <si>
    <t>check!</t>
  </si>
  <si>
    <t>Forecast Test Year 12/31/2022</t>
  </si>
  <si>
    <t>Page 13</t>
  </si>
  <si>
    <t>APB28 ADJ/TOPSIDE ENTRY</t>
  </si>
  <si>
    <t>Total-13 month Average</t>
  </si>
  <si>
    <t>why debit?</t>
  </si>
  <si>
    <t>what is it?  Why not part of ADIT?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</si>
  <si>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</si>
  <si>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</si>
  <si>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</si>
  <si>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</si>
  <si>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</si>
  <si>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</si>
  <si>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</si>
  <si>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3/31/21</t>
  </si>
  <si>
    <t>12/31/20</t>
  </si>
  <si>
    <t>ASSETS &amp; OTHER DEBITS:</t>
  </si>
  <si>
    <t xml:space="preserve"> UTILITY PLANT:</t>
  </si>
  <si>
    <t>****</t>
  </si>
  <si>
    <t>9101000</t>
  </si>
  <si>
    <t>9101000 Plant in Service</t>
  </si>
  <si>
    <t xml:space="preserve">      0.2</t>
  </si>
  <si>
    <t>1300</t>
  </si>
  <si>
    <t>9101100</t>
  </si>
  <si>
    <t>9101100 Property Under Capital Leases</t>
  </si>
  <si>
    <t xml:space="preserve">      6.6-</t>
  </si>
  <si>
    <t>1600</t>
  </si>
  <si>
    <t>9114000</t>
  </si>
  <si>
    <t>9114000 Plant Acquisition Adjustments</t>
  </si>
  <si>
    <t xml:space="preserve">      0.0</t>
  </si>
  <si>
    <t xml:space="preserve"> Utility Plant (101,-106,114)</t>
  </si>
  <si>
    <t>9107000</t>
  </si>
  <si>
    <t>9107000 Construction Work in Progress</t>
  </si>
  <si>
    <t xml:space="preserve">     20.1</t>
  </si>
  <si>
    <t xml:space="preserve"> Construction Work in Progress (107)</t>
  </si>
  <si>
    <t xml:space="preserve">  Total Utility Plant (Gross)</t>
  </si>
  <si>
    <t xml:space="preserve">      0.6</t>
  </si>
  <si>
    <t>9108000</t>
  </si>
  <si>
    <t>9108000 Accumulated Depreciation-Utility Plant</t>
  </si>
  <si>
    <t xml:space="preserve">      1.6-</t>
  </si>
  <si>
    <t>9111000</t>
  </si>
  <si>
    <t>9111000 Accumulated Amortization-Utility Plant</t>
  </si>
  <si>
    <t xml:space="preserve">      3.7-</t>
  </si>
  <si>
    <t>9115000</t>
  </si>
  <si>
    <t>9115000 Accum Prov for Amort of Plant Acquisition Adjust</t>
  </si>
  <si>
    <t xml:space="preserve"> Accum Prov for Depr &amp; Amort (108,111,115)</t>
  </si>
  <si>
    <t xml:space="preserve">      1.7-</t>
  </si>
  <si>
    <t xml:space="preserve">  Net Utility Plant</t>
  </si>
  <si>
    <t xml:space="preserve">      0.3-</t>
  </si>
  <si>
    <t xml:space="preserve">   Total Net Utility Plant</t>
  </si>
  <si>
    <t>9117300</t>
  </si>
  <si>
    <t>9117300 Gas Stored in Reservoirs and Pipelines-Noncurrent</t>
  </si>
  <si>
    <t xml:space="preserve">  Gas Stored Underground, Non-Curr. (117)</t>
  </si>
  <si>
    <t xml:space="preserve">    TOTAL UTILITY PLANT</t>
  </si>
  <si>
    <t>OTHER PROPERTY &amp; INVESTMENTS:</t>
  </si>
  <si>
    <t>9128000</t>
  </si>
  <si>
    <t>9128000 Other Special Funds</t>
  </si>
  <si>
    <t xml:space="preserve">      2.1-</t>
  </si>
  <si>
    <t>Other Special Funds (128)</t>
  </si>
  <si>
    <t xml:space="preserve">  TOTAL OTHER PROPERTY &amp; INVESTMENTS</t>
  </si>
  <si>
    <t>CURRENT &amp; ACCRUED ASSETS:</t>
  </si>
  <si>
    <t>9131000</t>
  </si>
  <si>
    <t>9131000 Cash</t>
  </si>
  <si>
    <t xml:space="preserve">      6.4</t>
  </si>
  <si>
    <t>Cash (131)</t>
  </si>
  <si>
    <t>9135000</t>
  </si>
  <si>
    <t>9135000 Working Funds</t>
  </si>
  <si>
    <t>Working Fund (135)</t>
  </si>
  <si>
    <t>9142000</t>
  </si>
  <si>
    <t>9142000 Customer Accounts Receivable</t>
  </si>
  <si>
    <t xml:space="preserve">    197.4</t>
  </si>
  <si>
    <t>Customer Accounts Receivable (142)</t>
  </si>
  <si>
    <t>9143000</t>
  </si>
  <si>
    <t>9143000 Other Accounts Receivable</t>
  </si>
  <si>
    <t xml:space="preserve">    267.1</t>
  </si>
  <si>
    <t>Other Accounts Recevable (143)</t>
  </si>
  <si>
    <t>9144000</t>
  </si>
  <si>
    <t>9144000 Accumulated Provision for Uncollectible Accounts</t>
  </si>
  <si>
    <t xml:space="preserve">     98.4-</t>
  </si>
  <si>
    <t>Accum Prov - Uncollectible Accts (144)</t>
  </si>
  <si>
    <t>9146000</t>
  </si>
  <si>
    <t>9146000 Accounts Receivable from Associated Companies</t>
  </si>
  <si>
    <t xml:space="preserve">      9.5-</t>
  </si>
  <si>
    <t>Accts Receivable from Assoc. Co.'s (146)</t>
  </si>
  <si>
    <t>9154000</t>
  </si>
  <si>
    <t>9154000 Plant Materials &amp; Operating Supplies</t>
  </si>
  <si>
    <t xml:space="preserve">     14.7</t>
  </si>
  <si>
    <t>9164100</t>
  </si>
  <si>
    <t>9164100 Gas Stored - Current</t>
  </si>
  <si>
    <t xml:space="preserve">     74.7-</t>
  </si>
  <si>
    <t>9165000</t>
  </si>
  <si>
    <t>9165000 Prepayments</t>
  </si>
  <si>
    <t xml:space="preserve">    101.8-</t>
  </si>
  <si>
    <t>9173000</t>
  </si>
  <si>
    <t>9173000 Accrued Utility Revenues</t>
  </si>
  <si>
    <t xml:space="preserve">     70.1-</t>
  </si>
  <si>
    <t>Accrued Utility Revenues (173)</t>
  </si>
  <si>
    <t>9174000</t>
  </si>
  <si>
    <t>9174000 Miscellaneous Current &amp; Accrued Assets</t>
  </si>
  <si>
    <t xml:space="preserve">     64.1-</t>
  </si>
  <si>
    <t>Misc. Current &amp; Accrued Assets (174)</t>
  </si>
  <si>
    <t xml:space="preserve">  TOTAL CURRENT &amp; ACCRUED ASSETS</t>
  </si>
  <si>
    <t xml:space="preserve">     29.9-</t>
  </si>
  <si>
    <t>DEFERRED DEBITS:</t>
  </si>
  <si>
    <t>9182300</t>
  </si>
  <si>
    <t>9182300 Other Regulatory Assets</t>
  </si>
  <si>
    <t xml:space="preserve">     21.3</t>
  </si>
  <si>
    <t>Other Regulatory Assets (182.3)</t>
  </si>
  <si>
    <t>9184000</t>
  </si>
  <si>
    <t>9184000 Clearing Accounts</t>
  </si>
  <si>
    <t>Clearing Accounts (184)</t>
  </si>
  <si>
    <t>9186000</t>
  </si>
  <si>
    <t>9186000 Miscellaneous Deferred Debits</t>
  </si>
  <si>
    <t>Miscellaneous Deferred Debits (186)</t>
  </si>
  <si>
    <t>9190000</t>
  </si>
  <si>
    <t>9190000 Accumulated Deferred Income Taxes</t>
  </si>
  <si>
    <t xml:space="preserve">      2.6-</t>
  </si>
  <si>
    <t>Accumulated Deferred Income Taxes (190)</t>
  </si>
  <si>
    <t>9191000</t>
  </si>
  <si>
    <t>9191000 Unrecovered Purchased Gas Costs</t>
  </si>
  <si>
    <t xml:space="preserve">     50.2-</t>
  </si>
  <si>
    <t>Unrecoverd Purchased Gas Costs (191)</t>
  </si>
  <si>
    <t xml:space="preserve">  TOTAL DEFERRED DEBITS</t>
  </si>
  <si>
    <t xml:space="preserve">      2.2</t>
  </si>
  <si>
    <t xml:space="preserve">   TOTAL ASSETS &amp; OTHER DEBITS</t>
  </si>
  <si>
    <t xml:space="preserve">      2.2-</t>
  </si>
  <si>
    <t>LIABILITIES &amp; OTHER CREDITS:</t>
  </si>
  <si>
    <t xml:space="preserve"> PROPRIETARY CAPITAL:</t>
  </si>
  <si>
    <t>9211000</t>
  </si>
  <si>
    <t>9211000 Miscellaneous Paid-In Capital</t>
  </si>
  <si>
    <t xml:space="preserve">      0.4</t>
  </si>
  <si>
    <t>Other Paid-In-Capital (208-211)</t>
  </si>
  <si>
    <t>9216000</t>
  </si>
  <si>
    <t>9216000 Unappropriated Retained Earnings</t>
  </si>
  <si>
    <t xml:space="preserve">     26.9-</t>
  </si>
  <si>
    <t>Retained Earnings - Prior Year Balance</t>
  </si>
  <si>
    <t>Current Year Profit</t>
  </si>
  <si>
    <t xml:space="preserve">     11.4</t>
  </si>
  <si>
    <t>Retained Earnings (215, 215.1, 216)</t>
  </si>
  <si>
    <t xml:space="preserve">     32.6-</t>
  </si>
  <si>
    <t xml:space="preserve">  TOTAL PROPRIETARY CAPITAL</t>
  </si>
  <si>
    <t xml:space="preserve">      6.3-</t>
  </si>
  <si>
    <t>9223000</t>
  </si>
  <si>
    <t>9223000 Advances from Associated Companies</t>
  </si>
  <si>
    <t>Advances From Associated Companies (223)</t>
  </si>
  <si>
    <t xml:space="preserve">  TOTAL LONG TERM DEBT</t>
  </si>
  <si>
    <t>OTHER NON-CURRENT LIABILITIES:</t>
  </si>
  <si>
    <t>9227000</t>
  </si>
  <si>
    <t>9227000 Obligations under Capital Lease-Noncurrent</t>
  </si>
  <si>
    <t xml:space="preserve">      9.3</t>
  </si>
  <si>
    <t>Obligations Undr Cap Lease - Non-curr (227)</t>
  </si>
  <si>
    <t>9228300</t>
  </si>
  <si>
    <t>9228300 Accumulated Provision for Pensions &amp; Benefits</t>
  </si>
  <si>
    <t xml:space="preserve">      1.8</t>
  </si>
  <si>
    <t>Accum Prov for Pensions &amp; Benefits (228.3)</t>
  </si>
  <si>
    <t>9230000</t>
  </si>
  <si>
    <t>9230000 Asset Retirement Obligation</t>
  </si>
  <si>
    <t xml:space="preserve">      1.9-</t>
  </si>
  <si>
    <t>Asset Retirement Obligation (230)</t>
  </si>
  <si>
    <t xml:space="preserve">  TOTAL OTHER NON-CURRENT LIABILITIES</t>
  </si>
  <si>
    <t>CURRENT &amp; ACCRUED LIABILITIES:</t>
  </si>
  <si>
    <t>9232000</t>
  </si>
  <si>
    <t>9232000 Accounts Payable</t>
  </si>
  <si>
    <t xml:space="preserve">      8.4</t>
  </si>
  <si>
    <t>Accounts Payable (232)</t>
  </si>
  <si>
    <t>9233000</t>
  </si>
  <si>
    <t>9233000 Notes Payable to Associated Companies</t>
  </si>
  <si>
    <t xml:space="preserve">     47.9</t>
  </si>
  <si>
    <t>Notes Payable to Assoc Companies (233)</t>
  </si>
  <si>
    <t>9234000</t>
  </si>
  <si>
    <t>9234000 Accounts Payable to Associated Companies</t>
  </si>
  <si>
    <t xml:space="preserve">     51.1-</t>
  </si>
  <si>
    <t>Accounts Payable to Assoc Companies (234)</t>
  </si>
  <si>
    <t>9235000</t>
  </si>
  <si>
    <t>9235000 Customer Deposits</t>
  </si>
  <si>
    <t xml:space="preserve">     36.4</t>
  </si>
  <si>
    <t>Customer Deposits (235)</t>
  </si>
  <si>
    <t>9236000</t>
  </si>
  <si>
    <t>9236000 Taxes Accrued</t>
  </si>
  <si>
    <t xml:space="preserve">      2.5-</t>
  </si>
  <si>
    <t>Taxes Accrued (236)</t>
  </si>
  <si>
    <t>9237000</t>
  </si>
  <si>
    <t>9237000 Interest Accrued</t>
  </si>
  <si>
    <t xml:space="preserve">     84.5</t>
  </si>
  <si>
    <t>Interest Accrued (237)</t>
  </si>
  <si>
    <t>9241000</t>
  </si>
  <si>
    <t>9241000 Tax Collections Payable</t>
  </si>
  <si>
    <t xml:space="preserve">  8,719.3-</t>
  </si>
  <si>
    <t>Tax Collections payable (241)</t>
  </si>
  <si>
    <t>9242000</t>
  </si>
  <si>
    <t>9242000 Miscellaneous Current &amp; Accrued Liabilities</t>
  </si>
  <si>
    <t xml:space="preserve">      2.9-</t>
  </si>
  <si>
    <t>Misc Current &amp; Accrued Liabilities (242)</t>
  </si>
  <si>
    <t>9243000</t>
  </si>
  <si>
    <t>9243000 Obligations under Capital Lease-Current</t>
  </si>
  <si>
    <t xml:space="preserve">      0.9-</t>
  </si>
  <si>
    <t>Obligations Under Cap Lease - Current (243)</t>
  </si>
  <si>
    <t xml:space="preserve">  TOTAL CURRENT &amp; ACCRUED LIABILITIES</t>
  </si>
  <si>
    <t xml:space="preserve">     25.8</t>
  </si>
  <si>
    <t>DEFERRED CREDITS:</t>
  </si>
  <si>
    <t>9252000</t>
  </si>
  <si>
    <t>9252000 Customer Advances for Construction</t>
  </si>
  <si>
    <t xml:space="preserve">    296.0-</t>
  </si>
  <si>
    <t>Customer Advances for Construction (252)</t>
  </si>
  <si>
    <t>9253000</t>
  </si>
  <si>
    <t>9253000 Other Deferred Credits</t>
  </si>
  <si>
    <t xml:space="preserve">     51.4-</t>
  </si>
  <si>
    <t>Other Deferred Credits (253)</t>
  </si>
  <si>
    <t>9254000</t>
  </si>
  <si>
    <t>9254000 Other Regulatory Liabilities</t>
  </si>
  <si>
    <t xml:space="preserve">      2.0</t>
  </si>
  <si>
    <t>Other Regulatory Liabilities (254)</t>
  </si>
  <si>
    <t>9282000</t>
  </si>
  <si>
    <t>9282000 Accumulated Deferred Income Taxes-Other Property</t>
  </si>
  <si>
    <t>9283000</t>
  </si>
  <si>
    <t>9283000 Accumulated Deferred Income Taxes-Other</t>
  </si>
  <si>
    <t xml:space="preserve">     14.7-</t>
  </si>
  <si>
    <t>Accum Deferred Income Taxes (281-283)</t>
  </si>
  <si>
    <t xml:space="preserve">      0.1-</t>
  </si>
  <si>
    <t xml:space="preserve">  TOTAL DEFERRED CREDITS</t>
  </si>
  <si>
    <t xml:space="preserve">      0.6-</t>
  </si>
  <si>
    <t xml:space="preserve">   TOTAL LIABILITIES &amp; OTHER CREDITS</t>
  </si>
  <si>
    <t>3/31/21 Bal Sheet per model</t>
  </si>
  <si>
    <t>3/31/21 Bal Sheet Eric</t>
  </si>
  <si>
    <t>hide or delete</t>
  </si>
  <si>
    <t>from box - 3/25/21</t>
  </si>
  <si>
    <t>bring in PKY cap - 4/9/21 - dea</t>
  </si>
  <si>
    <t>5/14/21 - dea</t>
  </si>
  <si>
    <t>done - 4/14/21</t>
  </si>
  <si>
    <t>Based on 2004 Rate Order</t>
  </si>
  <si>
    <t>Per Rate Order</t>
  </si>
  <si>
    <t>Update</t>
  </si>
  <si>
    <t>Will 13 mo ave capex all be in service?</t>
  </si>
  <si>
    <t>From Box - 3/25/21</t>
  </si>
  <si>
    <t>Per Rollforward</t>
  </si>
  <si>
    <t>Accumulated Depreciation per books (below)</t>
  </si>
  <si>
    <t>Gas Stored Base Gas</t>
  </si>
  <si>
    <t>Accum Deferred Income Taxes (rec below)</t>
  </si>
  <si>
    <t>Acquisition Adj</t>
  </si>
  <si>
    <t>ARO</t>
  </si>
  <si>
    <t>*** 2020 Rollforward does not include ARO's per Kathy E.</t>
  </si>
  <si>
    <t>Per PSC Annual Report</t>
  </si>
  <si>
    <t>Weighted cost of capital</t>
  </si>
  <si>
    <t>Tot Utility Plant</t>
  </si>
  <si>
    <t>Return</t>
  </si>
  <si>
    <t>Case Adj (ARO)</t>
  </si>
  <si>
    <t>what is this??</t>
  </si>
  <si>
    <t>Financial Statement Caption Reconciliation</t>
  </si>
  <si>
    <t>Utility Plant in Service</t>
  </si>
  <si>
    <t>Difference</t>
  </si>
  <si>
    <t xml:space="preserve"> -   </t>
  </si>
  <si>
    <t>Plant in Service</t>
  </si>
  <si>
    <t>ARO Assets</t>
  </si>
  <si>
    <t>Utility Plant in Service related to rate base</t>
  </si>
  <si>
    <t>Accumulated Depreciation</t>
  </si>
  <si>
    <t>Accum Depr</t>
  </si>
  <si>
    <t>Less: A/D on ARO Assets</t>
  </si>
  <si>
    <t>Accum Amort</t>
  </si>
  <si>
    <t>Accumulated depreciation per books</t>
  </si>
  <si>
    <t>Amort Plant Acquisition</t>
  </si>
  <si>
    <t>Depreciation adjustment</t>
  </si>
  <si>
    <t>reflected in row 38 - 4/30/21 - dea</t>
  </si>
  <si>
    <t>Add: Cost of Removal</t>
  </si>
  <si>
    <t>Accumulated Depreciation related to rate base</t>
  </si>
  <si>
    <t>Net plant investment</t>
  </si>
  <si>
    <t>Net - Rollforward</t>
  </si>
  <si>
    <t>Net - PSC Annual Repot</t>
  </si>
  <si>
    <t>ADIT related to rate base items, Current</t>
  </si>
  <si>
    <t>Regulatory Liability</t>
  </si>
  <si>
    <t>ADIT related to rate base items, Long term</t>
  </si>
  <si>
    <t>Total ADIT related to rate base items</t>
  </si>
  <si>
    <t>ADIT unrelated to rate base items, Current</t>
  </si>
  <si>
    <t>ADIT unrelated to rate base items, Long term</t>
  </si>
  <si>
    <t>Total ADIT unrelated to rate base items</t>
  </si>
  <si>
    <t>Shown on Delta Natural balance sheet as:</t>
  </si>
  <si>
    <t>ADIT, Current</t>
  </si>
  <si>
    <t>ADIT, Long term</t>
  </si>
  <si>
    <t>RATE BASE</t>
  </si>
  <si>
    <t>Case No. 2021-00185</t>
  </si>
  <si>
    <t>PSC Set 1 #22</t>
  </si>
  <si>
    <t>Base Period</t>
  </si>
  <si>
    <t>Forecast Period</t>
  </si>
  <si>
    <t>Provide a reconciliation and detailed explanation of each difference, if any, in the utility’s capitalization and net investment rate base for the base period and forecast period.</t>
  </si>
  <si>
    <t>Capitalization</t>
  </si>
  <si>
    <t>Regulatory Liability Gross up</t>
  </si>
  <si>
    <t>Reg Liability</t>
  </si>
  <si>
    <t>in Rate Base</t>
  </si>
  <si>
    <t>Averaging of M&amp;S, prepayments &amp; gas</t>
  </si>
  <si>
    <t>Current Assets</t>
  </si>
  <si>
    <t>Current Assets net of M&amp;S etc.</t>
  </si>
  <si>
    <t>Current Liabilities</t>
  </si>
  <si>
    <t xml:space="preserve">Current Liabilities net </t>
  </si>
  <si>
    <t>Regulatory Assets</t>
  </si>
  <si>
    <t>Reconciling Differences:</t>
  </si>
  <si>
    <t xml:space="preserve">Regulatory Assets </t>
  </si>
  <si>
    <t>Deferred Credits</t>
  </si>
  <si>
    <t>Non-Current Liabilities</t>
  </si>
  <si>
    <t>Other Property &amp; Investments</t>
  </si>
  <si>
    <t>Bal. Sheet Working Capital</t>
  </si>
  <si>
    <t>Unrecovered Gas Costs</t>
  </si>
  <si>
    <t>Unrecovered Gas</t>
  </si>
  <si>
    <t>6/8/21 - dea</t>
  </si>
  <si>
    <t>Reconciling</t>
  </si>
  <si>
    <t>Misc. Deferred Debits</t>
  </si>
  <si>
    <t>Deferred Income Taxes</t>
  </si>
  <si>
    <t>13 Mo. Ave. STD reflected at $0 in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</si>
</sst>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 #,##0.00\ ;\$\ &quot;(&quot;#,##0.00&quot;)&quot;"/>
    <numFmt numFmtId="165" formatCode="\$\ #,##0\ ;\$\ &quot;(&quot;#,##0&quot;)&quot;"/>
    <numFmt numFmtId="166" formatCode="_(&quot;$&quot;* #,##0_);_(&quot;$&quot;* \(#,##0\);_(&quot;$&quot;* &quot;-&quot;??_);_(@_)"/>
    <numFmt numFmtId="167" formatCode="_(* #,##0_);_(* \(#,##0\);_(* &quot;-&quot;??_);_(@_)"/>
    <numFmt numFmtId="168" formatCode="m/d/yy;@"/>
    <numFmt numFmtId="169" formatCode="0_)"/>
    <numFmt numFmtId="170" formatCode="0_);\(0\)"/>
    <numFmt numFmtId="171" formatCode="0.0%"/>
    <numFmt numFmtId="172" formatCode="_(* #,##0.00_);_(* \(#,##0.00\);_(* &quot;-&quot;_);_(@_)"/>
    <numFmt numFmtId="173" formatCode="0.000%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b/>
      <u val="singleAccounting"/>
      <sz val="10"/>
      <name val="Arial Narrow"/>
      <family val="2"/>
    </font>
    <font>
      <b/>
      <u val="doubleAccounting"/>
      <sz val="10"/>
      <name val="Arial Narrow"/>
      <family val="2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u val="sing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 Narrow"/>
      <family val="2"/>
    </font>
    <font>
      <u val="singleAccounting"/>
      <sz val="8"/>
      <color indexed="8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 val="singleAccounting"/>
      <sz val="9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u/>
      <sz val="9"/>
      <name val="Arial"/>
      <family val="2"/>
    </font>
    <font>
      <u val="singleAccounting"/>
      <sz val="8"/>
      <name val="Arial"/>
      <family val="2"/>
    </font>
    <font>
      <b/>
      <sz val="11"/>
      <name val="Calibri"/>
      <family val="2"/>
      <scheme val="minor"/>
    </font>
    <font>
      <b/>
      <u/>
      <sz val="10"/>
      <name val="Arial"/>
      <family val="2"/>
    </font>
    <font>
      <b/>
      <u val="singleAccounting"/>
      <sz val="11"/>
      <name val="Calibri"/>
      <family val="2"/>
      <scheme val="minor"/>
    </font>
    <font>
      <u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0"/>
      <color rgb="FF7030A0"/>
      <name val="Arial Narrow"/>
      <family val="2"/>
    </font>
    <font>
      <b/>
      <sz val="10"/>
      <color rgb="FF0000FF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 Narrow"/>
      <family val="2"/>
    </font>
    <font>
      <sz val="10"/>
      <color rgb="FF0000FF"/>
      <name val="Arial Narrow"/>
      <family val="2"/>
    </font>
    <font>
      <i/>
      <sz val="10"/>
      <name val="Arial Narrow"/>
      <family val="2"/>
    </font>
    <font>
      <b/>
      <u val="singleAccounting"/>
      <sz val="10"/>
      <color rgb="FF0000FF"/>
      <name val="Arial Narrow"/>
      <family val="2"/>
    </font>
    <font>
      <b/>
      <u val="doubleAccounting"/>
      <sz val="10"/>
      <color rgb="FFFF0000"/>
      <name val="Arial Narrow"/>
      <family val="2"/>
    </font>
    <font>
      <b/>
      <u val="singleAccounting"/>
      <sz val="10"/>
      <color rgb="FFFF0000"/>
      <name val="Arial Narrow"/>
      <family val="2"/>
    </font>
    <font>
      <u val="singleAccounting"/>
      <sz val="10"/>
      <name val="Arial Narrow"/>
      <family val="2"/>
    </font>
    <font>
      <u val="singleAccounting"/>
      <sz val="10"/>
      <color rgb="FFFF0000"/>
      <name val="Arial Narrow"/>
      <family val="2"/>
    </font>
    <font>
      <u val="singleAccounting"/>
      <sz val="10"/>
      <color rgb="FF7030A0"/>
      <name val="Arial Narrow"/>
      <family val="2"/>
    </font>
    <font>
      <u val="doubleAccounting"/>
      <sz val="10"/>
      <name val="Arial Narrow"/>
      <family val="2"/>
    </font>
    <font>
      <u val="doubleAccounting"/>
      <sz val="10"/>
      <color rgb="FFFF0000"/>
      <name val="Arial Narrow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2">
    <xf numFmtId="0" fontId="0" fillId="0" borderId="0"/>
    <xf numFmtId="44" fontId="1" fillId="0" borderId="0" applyFont="0" applyFill="0" applyBorder="0" applyAlignment="0" applyProtection="0"/>
    <xf numFmtId="0" fontId="2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3" applyNumberFormat="0" applyAlignment="0" applyProtection="0"/>
    <xf numFmtId="0" fontId="14" fillId="15" borderId="4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3" applyNumberFormat="0" applyAlignment="0" applyProtection="0"/>
    <xf numFmtId="0" fontId="20" fillId="0" borderId="8" applyNumberFormat="0" applyFill="0" applyAlignment="0" applyProtection="0"/>
    <xf numFmtId="0" fontId="20" fillId="21" borderId="0" applyNumberFormat="0" applyBorder="0" applyAlignment="0" applyProtection="0"/>
    <xf numFmtId="0" fontId="3" fillId="20" borderId="3" applyNumberFormat="0" applyFont="0" applyAlignment="0" applyProtection="0"/>
    <xf numFmtId="0" fontId="21" fillId="23" borderId="9" applyNumberFormat="0" applyAlignment="0" applyProtection="0"/>
    <xf numFmtId="4" fontId="3" fillId="27" borderId="3" applyNumberFormat="0" applyProtection="0">
      <alignment vertical="center"/>
    </xf>
    <xf numFmtId="4" fontId="24" fillId="28" borderId="3" applyNumberFormat="0" applyProtection="0">
      <alignment vertical="center"/>
    </xf>
    <xf numFmtId="4" fontId="3" fillId="28" borderId="3" applyNumberFormat="0" applyProtection="0">
      <alignment horizontal="left" vertical="center" indent="1"/>
    </xf>
    <xf numFmtId="0" fontId="7" fillId="27" borderId="10" applyNumberFormat="0" applyProtection="0">
      <alignment horizontal="left" vertical="top" indent="1"/>
    </xf>
    <xf numFmtId="4" fontId="3" fillId="29" borderId="3" applyNumberFormat="0" applyProtection="0">
      <alignment horizontal="left" vertical="center" indent="1"/>
    </xf>
    <xf numFmtId="4" fontId="3" fillId="30" borderId="3" applyNumberFormat="0" applyProtection="0">
      <alignment horizontal="right" vertical="center"/>
    </xf>
    <xf numFmtId="4" fontId="3" fillId="31" borderId="3" applyNumberFormat="0" applyProtection="0">
      <alignment horizontal="right" vertical="center"/>
    </xf>
    <xf numFmtId="4" fontId="3" fillId="32" borderId="11" applyNumberFormat="0" applyProtection="0">
      <alignment horizontal="right" vertical="center"/>
    </xf>
    <xf numFmtId="4" fontId="3" fillId="33" borderId="3" applyNumberFormat="0" applyProtection="0">
      <alignment horizontal="right" vertical="center"/>
    </xf>
    <xf numFmtId="4" fontId="3" fillId="34" borderId="3" applyNumberFormat="0" applyProtection="0">
      <alignment horizontal="right" vertical="center"/>
    </xf>
    <xf numFmtId="4" fontId="3" fillId="35" borderId="3" applyNumberFormat="0" applyProtection="0">
      <alignment horizontal="right" vertical="center"/>
    </xf>
    <xf numFmtId="4" fontId="3" fillId="36" borderId="3" applyNumberFormat="0" applyProtection="0">
      <alignment horizontal="right" vertical="center"/>
    </xf>
    <xf numFmtId="4" fontId="3" fillId="37" borderId="3" applyNumberFormat="0" applyProtection="0">
      <alignment horizontal="right" vertical="center"/>
    </xf>
    <xf numFmtId="4" fontId="3" fillId="38" borderId="3" applyNumberFormat="0" applyProtection="0">
      <alignment horizontal="right" vertical="center"/>
    </xf>
    <xf numFmtId="4" fontId="3" fillId="39" borderId="11" applyNumberFormat="0" applyProtection="0">
      <alignment horizontal="left" vertical="center" indent="1"/>
    </xf>
    <xf numFmtId="4" fontId="6" fillId="40" borderId="11" applyNumberFormat="0" applyProtection="0">
      <alignment horizontal="left" vertical="center" indent="1"/>
    </xf>
    <xf numFmtId="4" fontId="6" fillId="40" borderId="11" applyNumberFormat="0" applyProtection="0">
      <alignment horizontal="left" vertical="center" indent="1"/>
    </xf>
    <xf numFmtId="4" fontId="3" fillId="41" borderId="3" applyNumberFormat="0" applyProtection="0">
      <alignment horizontal="right" vertical="center"/>
    </xf>
    <xf numFmtId="4" fontId="3" fillId="42" borderId="11" applyNumberFormat="0" applyProtection="0">
      <alignment horizontal="left" vertical="center" indent="1"/>
    </xf>
    <xf numFmtId="4" fontId="3" fillId="41" borderId="11" applyNumberFormat="0" applyProtection="0">
      <alignment horizontal="left" vertical="center" indent="1"/>
    </xf>
    <xf numFmtId="0" fontId="3" fillId="43" borderId="3" applyNumberFormat="0" applyProtection="0">
      <alignment horizontal="left" vertical="center" indent="1"/>
    </xf>
    <xf numFmtId="0" fontId="3" fillId="40" borderId="10" applyNumberFormat="0" applyProtection="0">
      <alignment horizontal="left" vertical="top" indent="1"/>
    </xf>
    <xf numFmtId="0" fontId="3" fillId="44" borderId="3" applyNumberFormat="0" applyProtection="0">
      <alignment horizontal="left" vertical="center" indent="1"/>
    </xf>
    <xf numFmtId="0" fontId="3" fillId="41" borderId="10" applyNumberFormat="0" applyProtection="0">
      <alignment horizontal="left" vertical="top" indent="1"/>
    </xf>
    <xf numFmtId="0" fontId="3" fillId="45" borderId="3" applyNumberFormat="0" applyProtection="0">
      <alignment horizontal="left" vertical="center" indent="1"/>
    </xf>
    <xf numFmtId="0" fontId="3" fillId="45" borderId="10" applyNumberFormat="0" applyProtection="0">
      <alignment horizontal="left" vertical="top" indent="1"/>
    </xf>
    <xf numFmtId="0" fontId="3" fillId="42" borderId="3" applyNumberFormat="0" applyProtection="0">
      <alignment horizontal="left" vertical="center" indent="1"/>
    </xf>
    <xf numFmtId="0" fontId="3" fillId="42" borderId="10" applyNumberFormat="0" applyProtection="0">
      <alignment horizontal="left" vertical="top" indent="1"/>
    </xf>
    <xf numFmtId="0" fontId="3" fillId="46" borderId="12" applyNumberFormat="0">
      <protection locked="0"/>
    </xf>
    <xf numFmtId="0" fontId="4" fillId="40" borderId="13" applyBorder="0"/>
    <xf numFmtId="4" fontId="5" fillId="47" borderId="10" applyNumberFormat="0" applyProtection="0">
      <alignment vertical="center"/>
    </xf>
    <xf numFmtId="4" fontId="24" fillId="48" borderId="14" applyNumberFormat="0" applyProtection="0">
      <alignment vertical="center"/>
    </xf>
    <xf numFmtId="4" fontId="5" fillId="43" borderId="10" applyNumberFormat="0" applyProtection="0">
      <alignment horizontal="left" vertical="center" indent="1"/>
    </xf>
    <xf numFmtId="0" fontId="5" fillId="47" borderId="10" applyNumberFormat="0" applyProtection="0">
      <alignment horizontal="left" vertical="top" indent="1"/>
    </xf>
    <xf numFmtId="4" fontId="3" fillId="0" borderId="3" applyNumberFormat="0" applyProtection="0">
      <alignment horizontal="right" vertical="center"/>
    </xf>
    <xf numFmtId="4" fontId="24" fillId="49" borderId="3" applyNumberFormat="0" applyProtection="0">
      <alignment horizontal="right" vertical="center"/>
    </xf>
    <xf numFmtId="4" fontId="3" fillId="29" borderId="3" applyNumberFormat="0" applyProtection="0">
      <alignment horizontal="left" vertical="center" indent="1"/>
    </xf>
    <xf numFmtId="0" fontId="5" fillId="41" borderId="10" applyNumberFormat="0" applyProtection="0">
      <alignment horizontal="left" vertical="top" indent="1"/>
    </xf>
    <xf numFmtId="4" fontId="8" fillId="50" borderId="11" applyNumberFormat="0" applyProtection="0">
      <alignment horizontal="left" vertical="center" indent="1"/>
    </xf>
    <xf numFmtId="0" fontId="3" fillId="51" borderId="14"/>
    <xf numFmtId="4" fontId="9" fillId="46" borderId="3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3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52" fillId="0" borderId="0"/>
    <xf numFmtId="9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0" fillId="0" borderId="0" xfId="1" applyFont="1" applyAlignment="1">
      <alignment horizontal="center"/>
    </xf>
    <xf numFmtId="0" fontId="3" fillId="29" borderId="3" xfId="47" quotePrefix="1" applyNumberFormat="1">
      <alignment horizontal="left" vertical="center" indent="1"/>
    </xf>
    <xf numFmtId="0" fontId="3" fillId="29" borderId="3" xfId="79" quotePrefix="1" applyNumberFormat="1">
      <alignment horizontal="left" vertical="center" indent="1"/>
    </xf>
    <xf numFmtId="0" fontId="3" fillId="0" borderId="3" xfId="77" applyNumberFormat="1">
      <alignment horizontal="right" vertical="center"/>
    </xf>
    <xf numFmtId="164" fontId="3" fillId="0" borderId="3" xfId="77" applyNumberFormat="1">
      <alignment horizontal="right" vertical="center"/>
    </xf>
    <xf numFmtId="0" fontId="3" fillId="29" borderId="16" xfId="79" applyNumberFormat="1" applyBorder="1" applyAlignment="1">
      <alignment horizontal="center" vertical="center"/>
    </xf>
    <xf numFmtId="0" fontId="4" fillId="0" borderId="16" xfId="79" applyNumberFormat="1" applyFont="1" applyFill="1" applyBorder="1" applyAlignment="1">
      <alignment horizontal="center" vertical="center"/>
    </xf>
    <xf numFmtId="164" fontId="4" fillId="0" borderId="3" xfId="77" applyNumberFormat="1" applyFont="1" applyAlignment="1">
      <alignment horizontal="center" vertical="center"/>
    </xf>
    <xf numFmtId="0" fontId="4" fillId="0" borderId="3" xfId="77" applyNumberFormat="1" applyFont="1" applyAlignment="1">
      <alignment horizontal="center" vertical="center"/>
    </xf>
    <xf numFmtId="0" fontId="0" fillId="0" borderId="0" xfId="0" applyBorder="1" applyAlignment="1"/>
    <xf numFmtId="0" fontId="3" fillId="29" borderId="3" xfId="79" quotePrefix="1" applyNumberFormat="1">
      <alignment horizontal="left" vertical="center" indent="1"/>
    </xf>
    <xf numFmtId="0" fontId="3" fillId="0" borderId="3" xfId="77" applyNumberFormat="1">
      <alignment horizontal="right" vertical="center"/>
    </xf>
    <xf numFmtId="164" fontId="3" fillId="0" borderId="3" xfId="77" applyNumberFormat="1">
      <alignment horizontal="right" vertical="center"/>
    </xf>
    <xf numFmtId="43" fontId="3" fillId="0" borderId="3" xfId="94" applyFont="1" applyBorder="1" applyAlignment="1">
      <alignment horizontal="right" vertical="center"/>
    </xf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52" borderId="0" xfId="0" applyFill="1"/>
    <xf numFmtId="0" fontId="0" fillId="52" borderId="0" xfId="0" applyFill="1" applyAlignment="1">
      <alignment horizontal="center"/>
    </xf>
    <xf numFmtId="49" fontId="28" fillId="53" borderId="11" xfId="0" applyNumberFormat="1" applyFont="1" applyFill="1" applyBorder="1"/>
    <xf numFmtId="4" fontId="28" fillId="54" borderId="11" xfId="0" applyNumberFormat="1" applyFont="1" applyFill="1" applyBorder="1"/>
    <xf numFmtId="0" fontId="28" fillId="54" borderId="11" xfId="0" applyFont="1" applyFill="1" applyBorder="1"/>
    <xf numFmtId="4" fontId="28" fillId="28" borderId="11" xfId="0" applyNumberFormat="1" applyFont="1" applyFill="1" applyBorder="1"/>
    <xf numFmtId="4" fontId="0" fillId="0" borderId="0" xfId="0" applyNumberFormat="1"/>
    <xf numFmtId="0" fontId="29" fillId="0" borderId="0" xfId="0" applyFont="1"/>
    <xf numFmtId="166" fontId="0" fillId="52" borderId="0" xfId="1" applyNumberFormat="1" applyFont="1" applyFill="1" applyAlignment="1">
      <alignment horizontal="center"/>
    </xf>
    <xf numFmtId="0" fontId="25" fillId="0" borderId="0" xfId="0" applyFont="1"/>
    <xf numFmtId="166" fontId="25" fillId="0" borderId="0" xfId="0" applyNumberFormat="1" applyFont="1" applyAlignment="1">
      <alignment horizontal="center"/>
    </xf>
    <xf numFmtId="0" fontId="31" fillId="0" borderId="0" xfId="95" applyFont="1" applyFill="1"/>
    <xf numFmtId="0" fontId="31" fillId="0" borderId="0" xfId="95" applyFont="1" applyFill="1" applyAlignment="1">
      <alignment horizontal="center"/>
    </xf>
    <xf numFmtId="0" fontId="32" fillId="0" borderId="0" xfId="95" applyFont="1" applyFill="1"/>
    <xf numFmtId="167" fontId="31" fillId="0" borderId="0" xfId="96" applyNumberFormat="1" applyFont="1" applyFill="1" applyAlignment="1">
      <alignment horizontal="center"/>
    </xf>
    <xf numFmtId="167" fontId="31" fillId="0" borderId="0" xfId="96" applyNumberFormat="1" applyFont="1" applyFill="1"/>
    <xf numFmtId="168" fontId="33" fillId="0" borderId="0" xfId="95" applyNumberFormat="1" applyFont="1" applyFill="1" applyAlignment="1">
      <alignment horizontal="center"/>
    </xf>
    <xf numFmtId="0" fontId="6" fillId="0" borderId="0" xfId="95" applyFont="1" applyFill="1"/>
    <xf numFmtId="168" fontId="34" fillId="0" borderId="0" xfId="95" applyNumberFormat="1" applyFont="1" applyFill="1" applyAlignment="1">
      <alignment horizontal="center"/>
    </xf>
    <xf numFmtId="168" fontId="34" fillId="0" borderId="0" xfId="96" applyNumberFormat="1" applyFont="1" applyFill="1" applyAlignment="1">
      <alignment horizontal="center"/>
    </xf>
    <xf numFmtId="14" fontId="34" fillId="0" borderId="0" xfId="95" applyNumberFormat="1" applyFont="1" applyFill="1" applyAlignment="1">
      <alignment horizontal="center"/>
    </xf>
    <xf numFmtId="0" fontId="32" fillId="0" borderId="0" xfId="95" applyFont="1" applyFill="1" applyAlignment="1">
      <alignment horizontal="center"/>
    </xf>
    <xf numFmtId="167" fontId="35" fillId="0" borderId="0" xfId="96" applyNumberFormat="1" applyFont="1" applyFill="1"/>
    <xf numFmtId="167" fontId="32" fillId="0" borderId="0" xfId="96" applyNumberFormat="1" applyFont="1" applyFill="1"/>
    <xf numFmtId="167" fontId="36" fillId="0" borderId="0" xfId="96" applyNumberFormat="1" applyFont="1" applyFill="1"/>
    <xf numFmtId="167" fontId="30" fillId="0" borderId="0" xfId="96" applyNumberFormat="1" applyFont="1" applyFill="1"/>
    <xf numFmtId="167" fontId="37" fillId="0" borderId="0" xfId="96" applyNumberFormat="1" applyFont="1" applyFill="1"/>
    <xf numFmtId="167" fontId="38" fillId="0" borderId="0" xfId="96" applyNumberFormat="1" applyFont="1" applyFill="1" applyAlignment="1">
      <alignment horizontal="center" wrapText="1"/>
    </xf>
    <xf numFmtId="167" fontId="38" fillId="0" borderId="0" xfId="96" quotePrefix="1" applyNumberFormat="1" applyFont="1" applyFill="1" applyAlignment="1">
      <alignment horizontal="center" wrapText="1"/>
    </xf>
    <xf numFmtId="167" fontId="37" fillId="0" borderId="0" xfId="96" quotePrefix="1" applyNumberFormat="1" applyFont="1" applyFill="1" applyAlignment="1">
      <alignment horizontal="center"/>
    </xf>
    <xf numFmtId="166" fontId="37" fillId="0" borderId="0" xfId="97" applyNumberFormat="1" applyFont="1" applyFill="1"/>
    <xf numFmtId="167" fontId="38" fillId="0" borderId="0" xfId="96" applyNumberFormat="1" applyFont="1" applyFill="1"/>
    <xf numFmtId="166" fontId="38" fillId="0" borderId="0" xfId="97" applyNumberFormat="1" applyFont="1" applyFill="1"/>
    <xf numFmtId="167" fontId="37" fillId="0" borderId="0" xfId="96" quotePrefix="1" applyNumberFormat="1" applyFont="1" applyFill="1" applyAlignment="1">
      <alignment horizontal="right" indent="1"/>
    </xf>
    <xf numFmtId="167" fontId="39" fillId="0" borderId="0" xfId="96" applyNumberFormat="1" applyFont="1" applyFill="1"/>
    <xf numFmtId="167" fontId="37" fillId="0" borderId="0" xfId="96" applyNumberFormat="1" applyFont="1" applyFill="1" applyAlignment="1">
      <alignment horizontal="center"/>
    </xf>
    <xf numFmtId="167" fontId="6" fillId="0" borderId="0" xfId="96" applyNumberFormat="1" applyFont="1" applyFill="1" applyAlignment="1">
      <alignment horizontal="right"/>
    </xf>
    <xf numFmtId="167" fontId="40" fillId="0" borderId="0" xfId="96" applyNumberFormat="1" applyFont="1" applyFill="1"/>
    <xf numFmtId="0" fontId="30" fillId="0" borderId="0" xfId="95" applyFont="1" applyFill="1"/>
    <xf numFmtId="167" fontId="30" fillId="0" borderId="18" xfId="96" applyNumberFormat="1" applyFont="1" applyFill="1" applyBorder="1"/>
    <xf numFmtId="167" fontId="37" fillId="0" borderId="0" xfId="96" quotePrefix="1" applyNumberFormat="1" applyFont="1" applyFill="1" applyAlignment="1">
      <alignment horizontal="right"/>
    </xf>
    <xf numFmtId="167" fontId="6" fillId="0" borderId="0" xfId="96" applyNumberFormat="1" applyFont="1" applyFill="1"/>
    <xf numFmtId="44" fontId="6" fillId="0" borderId="0" xfId="97" applyFont="1" applyFill="1"/>
    <xf numFmtId="167" fontId="38" fillId="0" borderId="0" xfId="96" quotePrefix="1" applyNumberFormat="1" applyFont="1" applyFill="1" applyAlignment="1">
      <alignment horizontal="center"/>
    </xf>
    <xf numFmtId="167" fontId="37" fillId="0" borderId="0" xfId="96" quotePrefix="1" applyNumberFormat="1" applyFont="1" applyFill="1" applyAlignment="1"/>
    <xf numFmtId="41" fontId="6" fillId="0" borderId="0" xfId="95" applyNumberFormat="1" applyFont="1" applyFill="1"/>
    <xf numFmtId="167" fontId="6" fillId="0" borderId="0" xfId="96" applyNumberFormat="1" applyFont="1" applyFill="1" applyAlignment="1">
      <alignment horizontal="center"/>
    </xf>
    <xf numFmtId="167" fontId="6" fillId="0" borderId="0" xfId="96" quotePrefix="1" applyNumberFormat="1" applyFont="1" applyFill="1" applyAlignment="1">
      <alignment horizontal="center"/>
    </xf>
    <xf numFmtId="167" fontId="6" fillId="0" borderId="0" xfId="96" applyNumberFormat="1" applyFont="1" applyFill="1" applyAlignment="1">
      <alignment horizontal="left"/>
    </xf>
    <xf numFmtId="167" fontId="6" fillId="0" borderId="18" xfId="96" applyNumberFormat="1" applyFont="1" applyFill="1" applyBorder="1"/>
    <xf numFmtId="0" fontId="43" fillId="0" borderId="0" xfId="95" applyFont="1"/>
    <xf numFmtId="167" fontId="43" fillId="0" borderId="0" xfId="96" applyNumberFormat="1" applyFont="1"/>
    <xf numFmtId="0" fontId="43" fillId="0" borderId="0" xfId="95" applyFont="1" applyAlignment="1">
      <alignment horizontal="left" vertical="center"/>
    </xf>
    <xf numFmtId="167" fontId="44" fillId="0" borderId="0" xfId="96" applyNumberFormat="1" applyFont="1" applyAlignment="1">
      <alignment horizontal="center" vertical="center"/>
    </xf>
    <xf numFmtId="166" fontId="43" fillId="0" borderId="0" xfId="97" applyNumberFormat="1" applyFont="1" applyAlignment="1">
      <alignment horizontal="right" vertical="center"/>
    </xf>
    <xf numFmtId="166" fontId="43" fillId="0" borderId="19" xfId="97" applyNumberFormat="1" applyFont="1" applyBorder="1" applyAlignment="1">
      <alignment horizontal="right" vertical="center"/>
    </xf>
    <xf numFmtId="166" fontId="43" fillId="0" borderId="18" xfId="97" applyNumberFormat="1" applyFont="1" applyBorder="1" applyAlignment="1">
      <alignment horizontal="right" vertical="center"/>
    </xf>
    <xf numFmtId="166" fontId="43" fillId="0" borderId="20" xfId="97" applyNumberFormat="1" applyFont="1" applyBorder="1" applyAlignment="1">
      <alignment horizontal="right" vertical="center"/>
    </xf>
    <xf numFmtId="167" fontId="6" fillId="0" borderId="21" xfId="96" applyNumberFormat="1" applyFont="1" applyFill="1" applyBorder="1" applyAlignment="1">
      <alignment horizontal="center"/>
    </xf>
    <xf numFmtId="0" fontId="6" fillId="0" borderId="21" xfId="95" applyFont="1" applyFill="1" applyBorder="1"/>
    <xf numFmtId="167" fontId="6" fillId="0" borderId="21" xfId="96" applyNumberFormat="1" applyFont="1" applyFill="1" applyBorder="1"/>
    <xf numFmtId="166" fontId="6" fillId="0" borderId="21" xfId="97" applyNumberFormat="1" applyFont="1" applyFill="1" applyBorder="1"/>
    <xf numFmtId="166" fontId="6" fillId="0" borderId="0" xfId="97" applyNumberFormat="1" applyFont="1" applyFill="1"/>
    <xf numFmtId="166" fontId="45" fillId="0" borderId="18" xfId="97" applyNumberFormat="1" applyFont="1" applyFill="1" applyBorder="1"/>
    <xf numFmtId="0" fontId="46" fillId="0" borderId="0" xfId="95" applyFont="1" applyFill="1"/>
    <xf numFmtId="167" fontId="45" fillId="0" borderId="0" xfId="96" applyNumberFormat="1" applyFont="1" applyFill="1"/>
    <xf numFmtId="167" fontId="45" fillId="0" borderId="0" xfId="96" quotePrefix="1" applyNumberFormat="1" applyFont="1" applyFill="1"/>
    <xf numFmtId="167" fontId="45" fillId="0" borderId="0" xfId="96" applyNumberFormat="1" applyFont="1" applyFill="1" applyBorder="1"/>
    <xf numFmtId="167" fontId="47" fillId="0" borderId="0" xfId="96" applyNumberFormat="1" applyFont="1" applyFill="1"/>
    <xf numFmtId="0" fontId="46" fillId="0" borderId="0" xfId="95" applyFont="1" applyFill="1" applyAlignment="1">
      <alignment horizontal="center"/>
    </xf>
    <xf numFmtId="166" fontId="45" fillId="0" borderId="0" xfId="97" applyNumberFormat="1" applyFont="1" applyFill="1"/>
    <xf numFmtId="0" fontId="48" fillId="0" borderId="0" xfId="95" applyFont="1"/>
    <xf numFmtId="0" fontId="49" fillId="0" borderId="0" xfId="95" applyFont="1"/>
    <xf numFmtId="0" fontId="31" fillId="0" borderId="0" xfId="95" applyFont="1" applyAlignment="1">
      <alignment horizontal="center"/>
    </xf>
    <xf numFmtId="0" fontId="30" fillId="0" borderId="0" xfId="95"/>
    <xf numFmtId="0" fontId="48" fillId="0" borderId="0" xfId="95" applyFont="1" applyAlignment="1">
      <alignment horizontal="left"/>
    </xf>
    <xf numFmtId="0" fontId="48" fillId="0" borderId="0" xfId="95" quotePrefix="1" applyFont="1" applyAlignment="1">
      <alignment horizontal="left"/>
    </xf>
    <xf numFmtId="14" fontId="48" fillId="0" borderId="0" xfId="95" quotePrefix="1" applyNumberFormat="1" applyFont="1" applyAlignment="1">
      <alignment horizontal="center"/>
    </xf>
    <xf numFmtId="169" fontId="48" fillId="0" borderId="0" xfId="95" applyNumberFormat="1" applyFont="1" applyAlignment="1">
      <alignment horizontal="center"/>
    </xf>
    <xf numFmtId="0" fontId="48" fillId="0" borderId="0" xfId="95" applyFont="1" applyAlignment="1">
      <alignment horizontal="center"/>
    </xf>
    <xf numFmtId="169" fontId="50" fillId="0" borderId="0" xfId="95" applyNumberFormat="1" applyFont="1" applyAlignment="1">
      <alignment horizontal="center"/>
    </xf>
    <xf numFmtId="0" fontId="50" fillId="0" borderId="0" xfId="95" applyFont="1" applyAlignment="1">
      <alignment horizontal="center"/>
    </xf>
    <xf numFmtId="169" fontId="49" fillId="0" borderId="0" xfId="95" applyNumberFormat="1" applyFont="1" applyAlignment="1">
      <alignment horizontal="left"/>
    </xf>
    <xf numFmtId="0" fontId="49" fillId="0" borderId="0" xfId="95" applyFont="1" applyAlignment="1">
      <alignment horizontal="left"/>
    </xf>
    <xf numFmtId="41" fontId="49" fillId="0" borderId="0" xfId="95" applyNumberFormat="1" applyFont="1"/>
    <xf numFmtId="41" fontId="49" fillId="0" borderId="1" xfId="95" applyNumberFormat="1" applyFont="1" applyBorder="1"/>
    <xf numFmtId="169" fontId="49" fillId="0" borderId="0" xfId="95" applyNumberFormat="1" applyFont="1"/>
    <xf numFmtId="0" fontId="49" fillId="0" borderId="0" xfId="95" quotePrefix="1" applyFont="1" applyAlignment="1">
      <alignment horizontal="left"/>
    </xf>
    <xf numFmtId="169" fontId="49" fillId="0" borderId="0" xfId="95" quotePrefix="1" applyNumberFormat="1" applyFont="1" applyAlignment="1">
      <alignment horizontal="left"/>
    </xf>
    <xf numFmtId="41" fontId="49" fillId="0" borderId="0" xfId="95" applyNumberFormat="1" applyFont="1" applyAlignment="1">
      <alignment horizontal="fill"/>
    </xf>
    <xf numFmtId="170" fontId="49" fillId="0" borderId="0" xfId="95" applyNumberFormat="1" applyFont="1" applyAlignment="1">
      <alignment horizontal="left"/>
    </xf>
    <xf numFmtId="166" fontId="49" fillId="0" borderId="0" xfId="97" applyNumberFormat="1" applyFont="1" applyFill="1" applyAlignment="1">
      <alignment horizontal="left"/>
    </xf>
    <xf numFmtId="166" fontId="51" fillId="0" borderId="0" xfId="97" applyNumberFormat="1" applyFont="1" applyFill="1" applyAlignment="1">
      <alignment horizontal="left"/>
    </xf>
    <xf numFmtId="0" fontId="6" fillId="0" borderId="0" xfId="95" applyFont="1"/>
    <xf numFmtId="37" fontId="53" fillId="0" borderId="0" xfId="98" applyFont="1"/>
    <xf numFmtId="41" fontId="49" fillId="0" borderId="0" xfId="95" applyNumberFormat="1" applyFont="1" applyAlignment="1">
      <alignment horizontal="left"/>
    </xf>
    <xf numFmtId="166" fontId="49" fillId="0" borderId="0" xfId="95" applyNumberFormat="1" applyFont="1" applyAlignment="1">
      <alignment horizontal="left"/>
    </xf>
    <xf numFmtId="166" fontId="49" fillId="0" borderId="0" xfId="97" applyNumberFormat="1" applyFont="1" applyFill="1"/>
    <xf numFmtId="41" fontId="48" fillId="0" borderId="0" xfId="95" applyNumberFormat="1" applyFont="1"/>
    <xf numFmtId="0" fontId="53" fillId="0" borderId="0" xfId="98" applyNumberFormat="1" applyFont="1" applyAlignment="1">
      <alignment horizontal="left"/>
    </xf>
    <xf numFmtId="0" fontId="50" fillId="0" borderId="0" xfId="95" applyFont="1"/>
    <xf numFmtId="0" fontId="49" fillId="0" borderId="0" xfId="95" quotePrefix="1" applyFont="1" applyAlignment="1">
      <alignment horizontal="center"/>
    </xf>
    <xf numFmtId="166" fontId="49" fillId="0" borderId="0" xfId="97" applyNumberFormat="1" applyFont="1" applyFill="1" applyAlignment="1">
      <alignment horizontal="center"/>
    </xf>
    <xf numFmtId="166" fontId="49" fillId="0" borderId="1" xfId="97" applyNumberFormat="1" applyFont="1" applyFill="1" applyBorder="1" applyAlignment="1">
      <alignment horizontal="center"/>
    </xf>
    <xf numFmtId="166" fontId="49" fillId="0" borderId="0" xfId="97" applyNumberFormat="1" applyFont="1" applyFill="1" applyBorder="1" applyAlignment="1">
      <alignment horizontal="center"/>
    </xf>
    <xf numFmtId="166" fontId="49" fillId="0" borderId="1" xfId="97" applyNumberFormat="1" applyFont="1" applyFill="1" applyBorder="1"/>
    <xf numFmtId="166" fontId="49" fillId="0" borderId="0" xfId="97" applyNumberFormat="1" applyFont="1" applyFill="1" applyBorder="1"/>
    <xf numFmtId="44" fontId="49" fillId="0" borderId="0" xfId="97" applyFont="1" applyFill="1"/>
    <xf numFmtId="0" fontId="49" fillId="0" borderId="0" xfId="95" applyFont="1" applyAlignment="1">
      <alignment horizontal="right"/>
    </xf>
    <xf numFmtId="166" fontId="49" fillId="0" borderId="0" xfId="95" applyNumberFormat="1" applyFont="1"/>
    <xf numFmtId="44" fontId="51" fillId="0" borderId="0" xfId="97" applyFont="1" applyFill="1"/>
    <xf numFmtId="44" fontId="49" fillId="0" borderId="0" xfId="95" applyNumberFormat="1" applyFont="1"/>
    <xf numFmtId="0" fontId="49" fillId="0" borderId="22" xfId="95" applyFont="1" applyBorder="1"/>
    <xf numFmtId="0" fontId="48" fillId="0" borderId="23" xfId="95" applyFont="1" applyBorder="1" applyAlignment="1">
      <alignment horizontal="center"/>
    </xf>
    <xf numFmtId="0" fontId="48" fillId="0" borderId="24" xfId="95" applyFont="1" applyBorder="1" applyAlignment="1">
      <alignment horizontal="center"/>
    </xf>
    <xf numFmtId="0" fontId="49" fillId="0" borderId="0" xfId="95" applyFont="1" applyAlignment="1">
      <alignment horizontal="center"/>
    </xf>
    <xf numFmtId="14" fontId="48" fillId="0" borderId="0" xfId="95" applyNumberFormat="1" applyFont="1" applyAlignment="1">
      <alignment horizontal="center"/>
    </xf>
    <xf numFmtId="171" fontId="48" fillId="0" borderId="0" xfId="95" applyNumberFormat="1" applyFont="1" applyAlignment="1">
      <alignment horizontal="center"/>
    </xf>
    <xf numFmtId="37" fontId="48" fillId="0" borderId="0" xfId="95" applyNumberFormat="1" applyFont="1" applyAlignment="1">
      <alignment horizontal="center"/>
    </xf>
    <xf numFmtId="171" fontId="49" fillId="0" borderId="0" xfId="95" applyNumberFormat="1" applyFont="1"/>
    <xf numFmtId="171" fontId="49" fillId="0" borderId="0" xfId="95" applyNumberFormat="1" applyFont="1" applyAlignment="1">
      <alignment horizontal="center"/>
    </xf>
    <xf numFmtId="14" fontId="49" fillId="0" borderId="0" xfId="95" applyNumberFormat="1" applyFont="1" applyAlignment="1">
      <alignment horizontal="center"/>
    </xf>
    <xf numFmtId="171" fontId="50" fillId="0" borderId="0" xfId="95" applyNumberFormat="1" applyFont="1" applyAlignment="1">
      <alignment horizontal="center"/>
    </xf>
    <xf numFmtId="37" fontId="50" fillId="0" borderId="0" xfId="95" applyNumberFormat="1" applyFont="1" applyAlignment="1">
      <alignment horizontal="center"/>
    </xf>
    <xf numFmtId="10" fontId="49" fillId="0" borderId="0" xfId="95" applyNumberFormat="1" applyFont="1"/>
    <xf numFmtId="171" fontId="49" fillId="0" borderId="0" xfId="95" applyNumberFormat="1" applyFont="1" applyAlignment="1">
      <alignment horizontal="left"/>
    </xf>
    <xf numFmtId="10" fontId="49" fillId="0" borderId="0" xfId="95" applyNumberFormat="1" applyFont="1" applyAlignment="1">
      <alignment horizontal="left"/>
    </xf>
    <xf numFmtId="10" fontId="49" fillId="0" borderId="0" xfId="95" applyNumberFormat="1" applyFont="1" applyAlignment="1">
      <alignment horizontal="center"/>
    </xf>
    <xf numFmtId="171" fontId="48" fillId="0" borderId="0" xfId="95" applyNumberFormat="1" applyFont="1"/>
    <xf numFmtId="0" fontId="49" fillId="0" borderId="0" xfId="95" applyFont="1" applyAlignment="1">
      <alignment horizontal="fill"/>
    </xf>
    <xf numFmtId="37" fontId="49" fillId="0" borderId="0" xfId="95" applyNumberFormat="1" applyFont="1" applyProtection="1">
      <protection locked="0"/>
    </xf>
    <xf numFmtId="37" fontId="49" fillId="0" borderId="0" xfId="95" applyNumberFormat="1" applyFont="1"/>
    <xf numFmtId="0" fontId="49" fillId="0" borderId="0" xfId="95" quotePrefix="1" applyFont="1" applyAlignment="1">
      <alignment horizontal="right"/>
    </xf>
    <xf numFmtId="0" fontId="48" fillId="0" borderId="25" xfId="95" applyFont="1" applyBorder="1"/>
    <xf numFmtId="171" fontId="48" fillId="0" borderId="26" xfId="95" applyNumberFormat="1" applyFont="1" applyBorder="1" applyAlignment="1">
      <alignment horizontal="center"/>
    </xf>
    <xf numFmtId="0" fontId="48" fillId="0" borderId="27" xfId="95" applyFont="1" applyBorder="1"/>
    <xf numFmtId="171" fontId="48" fillId="0" borderId="25" xfId="95" applyNumberFormat="1" applyFont="1" applyBorder="1" applyAlignment="1">
      <alignment horizontal="center"/>
    </xf>
    <xf numFmtId="0" fontId="48" fillId="0" borderId="28" xfId="95" applyFont="1" applyBorder="1"/>
    <xf numFmtId="171" fontId="48" fillId="0" borderId="29" xfId="95" applyNumberFormat="1" applyFont="1" applyBorder="1" applyAlignment="1">
      <alignment horizontal="right"/>
    </xf>
    <xf numFmtId="0" fontId="48" fillId="0" borderId="30" xfId="95" applyFont="1" applyBorder="1"/>
    <xf numFmtId="171" fontId="48" fillId="0" borderId="28" xfId="95" applyNumberFormat="1" applyFont="1" applyBorder="1" applyAlignment="1">
      <alignment horizontal="center"/>
    </xf>
    <xf numFmtId="43" fontId="49" fillId="0" borderId="0" xfId="96" applyFont="1" applyFill="1"/>
    <xf numFmtId="4" fontId="54" fillId="0" borderId="0" xfId="95" applyNumberFormat="1" applyFont="1"/>
    <xf numFmtId="14" fontId="50" fillId="0" borderId="0" xfId="95" quotePrefix="1" applyNumberFormat="1" applyFont="1" applyAlignment="1">
      <alignment horizontal="center"/>
    </xf>
    <xf numFmtId="167" fontId="49" fillId="0" borderId="0" xfId="95" applyNumberFormat="1" applyFont="1"/>
    <xf numFmtId="0" fontId="49" fillId="0" borderId="1" xfId="95" applyFont="1" applyBorder="1"/>
    <xf numFmtId="167" fontId="49" fillId="0" borderId="1" xfId="95" applyNumberFormat="1" applyFont="1" applyBorder="1"/>
    <xf numFmtId="37" fontId="49" fillId="0" borderId="1" xfId="95" applyNumberFormat="1" applyFont="1" applyBorder="1"/>
    <xf numFmtId="10" fontId="49" fillId="0" borderId="0" xfId="99" applyNumberFormat="1" applyFont="1" applyFill="1"/>
    <xf numFmtId="166" fontId="51" fillId="0" borderId="0" xfId="97" applyNumberFormat="1" applyFont="1" applyFill="1"/>
    <xf numFmtId="166" fontId="48" fillId="0" borderId="18" xfId="95" applyNumberFormat="1" applyFont="1" applyBorder="1"/>
    <xf numFmtId="166" fontId="54" fillId="0" borderId="0" xfId="97" applyNumberFormat="1" applyFont="1" applyFill="1"/>
    <xf numFmtId="0" fontId="3" fillId="0" borderId="0" xfId="95" applyFont="1" applyFill="1"/>
    <xf numFmtId="172" fontId="3" fillId="0" borderId="0" xfId="95" applyNumberFormat="1" applyFont="1" applyFill="1"/>
    <xf numFmtId="41" fontId="3" fillId="0" borderId="0" xfId="95" applyNumberFormat="1" applyFont="1" applyFill="1"/>
    <xf numFmtId="14" fontId="3" fillId="0" borderId="0" xfId="95" applyNumberFormat="1" applyFont="1" applyFill="1" applyAlignment="1">
      <alignment horizontal="center"/>
    </xf>
    <xf numFmtId="0" fontId="55" fillId="0" borderId="0" xfId="95" applyFont="1" applyFill="1" applyAlignment="1">
      <alignment horizontal="center" wrapText="1"/>
    </xf>
    <xf numFmtId="1" fontId="3" fillId="0" borderId="0" xfId="95" applyNumberFormat="1" applyFont="1" applyFill="1" applyAlignment="1">
      <alignment horizontal="center"/>
    </xf>
    <xf numFmtId="0" fontId="55" fillId="0" borderId="0" xfId="95" applyFont="1" applyFill="1" applyAlignment="1">
      <alignment horizontal="center"/>
    </xf>
    <xf numFmtId="0" fontId="3" fillId="0" borderId="0" xfId="95" applyFont="1" applyFill="1" applyAlignment="1">
      <alignment horizontal="center"/>
    </xf>
    <xf numFmtId="172" fontId="3" fillId="0" borderId="0" xfId="95" quotePrefix="1" applyNumberFormat="1" applyFont="1" applyFill="1" applyAlignment="1">
      <alignment horizontal="center"/>
    </xf>
    <xf numFmtId="41" fontId="3" fillId="0" borderId="0" xfId="95" applyNumberFormat="1" applyFont="1" applyFill="1" applyAlignment="1">
      <alignment horizontal="center" wrapText="1"/>
    </xf>
    <xf numFmtId="0" fontId="3" fillId="0" borderId="0" xfId="95" applyFont="1" applyFill="1" applyAlignment="1">
      <alignment horizontal="center" wrapText="1"/>
    </xf>
    <xf numFmtId="1" fontId="55" fillId="0" borderId="0" xfId="95" applyNumberFormat="1" applyFont="1" applyFill="1" applyAlignment="1">
      <alignment horizontal="center"/>
    </xf>
    <xf numFmtId="14" fontId="55" fillId="0" borderId="0" xfId="95" applyNumberFormat="1" applyFont="1" applyFill="1" applyAlignment="1">
      <alignment horizontal="center"/>
    </xf>
    <xf numFmtId="172" fontId="55" fillId="0" borderId="0" xfId="95" applyNumberFormat="1" applyFont="1" applyFill="1" applyAlignment="1">
      <alignment horizontal="center"/>
    </xf>
    <xf numFmtId="41" fontId="55" fillId="0" borderId="0" xfId="95" applyNumberFormat="1" applyFont="1" applyFill="1" applyAlignment="1">
      <alignment horizontal="center"/>
    </xf>
    <xf numFmtId="0" fontId="3" fillId="0" borderId="0" xfId="95" applyFont="1" applyFill="1" applyAlignment="1">
      <alignment horizontal="left"/>
    </xf>
    <xf numFmtId="1" fontId="3" fillId="0" borderId="0" xfId="95" applyNumberFormat="1" applyFont="1" applyFill="1"/>
    <xf numFmtId="37" fontId="3" fillId="0" borderId="0" xfId="95" applyNumberFormat="1" applyFont="1" applyFill="1" applyAlignment="1">
      <alignment horizontal="right"/>
    </xf>
    <xf numFmtId="1" fontId="3" fillId="0" borderId="0" xfId="95" applyNumberFormat="1" applyFont="1" applyFill="1" applyAlignment="1">
      <alignment horizontal="right"/>
    </xf>
    <xf numFmtId="14" fontId="3" fillId="0" borderId="0" xfId="95" quotePrefix="1" applyNumberFormat="1" applyFont="1" applyFill="1" applyAlignment="1">
      <alignment horizontal="center"/>
    </xf>
    <xf numFmtId="37" fontId="3" fillId="0" borderId="0" xfId="95" applyNumberFormat="1" applyFont="1" applyFill="1" applyAlignment="1">
      <alignment horizontal="center"/>
    </xf>
    <xf numFmtId="39" fontId="3" fillId="0" borderId="0" xfId="95" applyNumberFormat="1" applyFont="1" applyFill="1"/>
    <xf numFmtId="43" fontId="3" fillId="0" borderId="0" xfId="96" applyFont="1" applyFill="1"/>
    <xf numFmtId="169" fontId="3" fillId="0" borderId="0" xfId="95" applyNumberFormat="1" applyFont="1" applyFill="1"/>
    <xf numFmtId="41" fontId="3" fillId="0" borderId="0" xfId="95" applyNumberFormat="1" applyFont="1" applyFill="1" applyProtection="1">
      <protection locked="0"/>
    </xf>
    <xf numFmtId="43" fontId="3" fillId="0" borderId="0" xfId="96" applyFont="1" applyFill="1" applyProtection="1">
      <protection locked="0"/>
    </xf>
    <xf numFmtId="172" fontId="3" fillId="0" borderId="1" xfId="95" applyNumberFormat="1" applyFont="1" applyFill="1" applyBorder="1"/>
    <xf numFmtId="41" fontId="3" fillId="0" borderId="1" xfId="95" applyNumberFormat="1" applyFont="1" applyFill="1" applyBorder="1" applyProtection="1">
      <protection locked="0"/>
    </xf>
    <xf numFmtId="0" fontId="56" fillId="0" borderId="0" xfId="100" applyFont="1" applyFill="1"/>
    <xf numFmtId="0" fontId="6" fillId="0" borderId="0" xfId="100" applyFont="1" applyFill="1"/>
    <xf numFmtId="14" fontId="56" fillId="0" borderId="0" xfId="100" applyNumberFormat="1" applyFont="1" applyFill="1"/>
    <xf numFmtId="0" fontId="6" fillId="0" borderId="0" xfId="100" applyFont="1" applyFill="1" applyAlignment="1">
      <alignment horizontal="center"/>
    </xf>
    <xf numFmtId="0" fontId="56" fillId="0" borderId="0" xfId="100" applyFont="1" applyFill="1" applyAlignment="1">
      <alignment horizontal="center"/>
    </xf>
    <xf numFmtId="0" fontId="56" fillId="0" borderId="0" xfId="100" applyFont="1" applyFill="1" applyAlignment="1">
      <alignment horizontal="left"/>
    </xf>
    <xf numFmtId="167" fontId="6" fillId="0" borderId="0" xfId="101" applyNumberFormat="1" applyFont="1" applyFill="1"/>
    <xf numFmtId="167" fontId="6" fillId="0" borderId="0" xfId="100" applyNumberFormat="1" applyFont="1" applyFill="1"/>
    <xf numFmtId="0" fontId="37" fillId="0" borderId="0" xfId="100" applyFont="1" applyFill="1"/>
    <xf numFmtId="167" fontId="6" fillId="0" borderId="1" xfId="101" applyNumberFormat="1" applyFont="1" applyFill="1" applyBorder="1"/>
    <xf numFmtId="167" fontId="6" fillId="0" borderId="1" xfId="100" applyNumberFormat="1" applyFont="1" applyFill="1" applyBorder="1"/>
    <xf numFmtId="167" fontId="6" fillId="0" borderId="0" xfId="101" applyNumberFormat="1" applyFont="1" applyFill="1" applyBorder="1"/>
    <xf numFmtId="167" fontId="6" fillId="0" borderId="2" xfId="100" applyNumberFormat="1" applyFont="1" applyFill="1" applyBorder="1"/>
    <xf numFmtId="167" fontId="45" fillId="0" borderId="18" xfId="100" applyNumberFormat="1" applyFont="1" applyFill="1" applyBorder="1"/>
    <xf numFmtId="0" fontId="56" fillId="0" borderId="0" xfId="100" applyFont="1" applyFill="1" applyAlignment="1">
      <alignment horizontal="right"/>
    </xf>
    <xf numFmtId="166" fontId="6" fillId="0" borderId="0" xfId="100" applyNumberFormat="1" applyFont="1" applyFill="1"/>
    <xf numFmtId="0" fontId="57" fillId="0" borderId="0" xfId="100" applyFont="1" applyFill="1" applyAlignment="1">
      <alignment horizontal="center"/>
    </xf>
    <xf numFmtId="166" fontId="56" fillId="0" borderId="0" xfId="100" applyNumberFormat="1" applyFont="1" applyFill="1"/>
    <xf numFmtId="166" fontId="40" fillId="0" borderId="0" xfId="97" applyNumberFormat="1" applyFont="1" applyFill="1"/>
    <xf numFmtId="166" fontId="58" fillId="0" borderId="0" xfId="100" applyNumberFormat="1" applyFont="1" applyFill="1"/>
    <xf numFmtId="167" fontId="56" fillId="0" borderId="0" xfId="100" applyNumberFormat="1" applyFont="1" applyFill="1"/>
    <xf numFmtId="167" fontId="58" fillId="0" borderId="0" xfId="100" applyNumberFormat="1" applyFont="1" applyFill="1"/>
    <xf numFmtId="0" fontId="59" fillId="0" borderId="0" xfId="100" applyFont="1" applyFill="1"/>
    <xf numFmtId="167" fontId="30" fillId="0" borderId="0" xfId="101" applyNumberFormat="1" applyFont="1" applyFill="1"/>
    <xf numFmtId="167" fontId="30" fillId="0" borderId="1" xfId="101" applyNumberFormat="1" applyFont="1" applyFill="1" applyBorder="1"/>
    <xf numFmtId="167" fontId="30" fillId="0" borderId="0" xfId="101" applyNumberFormat="1" applyFont="1" applyFill="1" applyBorder="1"/>
    <xf numFmtId="166" fontId="30" fillId="0" borderId="0" xfId="97" applyNumberFormat="1" applyFont="1" applyFill="1"/>
    <xf numFmtId="0" fontId="0" fillId="0" borderId="0" xfId="0" applyAlignment="1">
      <alignment horizontal="center"/>
    </xf>
    <xf numFmtId="0" fontId="28" fillId="56" borderId="11" xfId="0" applyFont="1" applyFill="1" applyBorder="1" applyAlignment="1">
      <alignment wrapText="1"/>
    </xf>
    <xf numFmtId="167" fontId="28" fillId="56" borderId="11" xfId="96" applyNumberFormat="1" applyFont="1" applyFill="1" applyBorder="1" applyAlignment="1">
      <alignment wrapText="1"/>
    </xf>
    <xf numFmtId="49" fontId="28" fillId="54" borderId="31" xfId="0" applyNumberFormat="1" applyFont="1" applyFill="1" applyBorder="1"/>
    <xf numFmtId="49" fontId="28" fillId="53" borderId="31" xfId="0" applyNumberFormat="1" applyFont="1" applyFill="1" applyBorder="1"/>
    <xf numFmtId="167" fontId="28" fillId="54" borderId="31" xfId="96" quotePrefix="1" applyNumberFormat="1" applyFont="1" applyFill="1" applyBorder="1" applyAlignment="1">
      <alignment horizontal="center"/>
    </xf>
    <xf numFmtId="167" fontId="28" fillId="54" borderId="31" xfId="96" applyNumberFormat="1" applyFont="1" applyFill="1" applyBorder="1"/>
    <xf numFmtId="49" fontId="28" fillId="54" borderId="32" xfId="0" applyNumberFormat="1" applyFont="1" applyFill="1" applyBorder="1"/>
    <xf numFmtId="167" fontId="28" fillId="54" borderId="31" xfId="96" quotePrefix="1" applyNumberFormat="1" applyFont="1" applyFill="1" applyBorder="1"/>
    <xf numFmtId="49" fontId="28" fillId="54" borderId="11" xfId="0" applyNumberFormat="1" applyFont="1" applyFill="1" applyBorder="1"/>
    <xf numFmtId="167" fontId="28" fillId="54" borderId="11" xfId="96" applyNumberFormat="1" applyFont="1" applyFill="1" applyBorder="1"/>
    <xf numFmtId="49" fontId="28" fillId="54" borderId="33" xfId="0" applyNumberFormat="1" applyFont="1" applyFill="1" applyBorder="1"/>
    <xf numFmtId="49" fontId="28" fillId="28" borderId="11" xfId="0" applyNumberFormat="1" applyFont="1" applyFill="1" applyBorder="1"/>
    <xf numFmtId="167" fontId="28" fillId="28" borderId="11" xfId="96" applyNumberFormat="1" applyFont="1" applyFill="1" applyBorder="1"/>
    <xf numFmtId="49" fontId="28" fillId="28" borderId="33" xfId="0" applyNumberFormat="1" applyFont="1" applyFill="1" applyBorder="1"/>
    <xf numFmtId="167" fontId="0" fillId="0" borderId="0" xfId="0" applyNumberFormat="1"/>
    <xf numFmtId="167" fontId="40" fillId="0" borderId="0" xfId="0" applyNumberFormat="1" applyFont="1"/>
    <xf numFmtId="49" fontId="28" fillId="28" borderId="34" xfId="0" applyNumberFormat="1" applyFont="1" applyFill="1" applyBorder="1"/>
    <xf numFmtId="49" fontId="28" fillId="53" borderId="34" xfId="0" applyNumberFormat="1" applyFont="1" applyFill="1" applyBorder="1"/>
    <xf numFmtId="167" fontId="28" fillId="28" borderId="34" xfId="96" applyNumberFormat="1" applyFont="1" applyFill="1" applyBorder="1"/>
    <xf numFmtId="49" fontId="28" fillId="28" borderId="35" xfId="0" applyNumberFormat="1" applyFont="1" applyFill="1" applyBorder="1"/>
    <xf numFmtId="167" fontId="0" fillId="0" borderId="0" xfId="96" applyNumberFormat="1" applyFont="1"/>
    <xf numFmtId="166" fontId="0" fillId="0" borderId="0" xfId="1" applyNumberFormat="1" applyFont="1"/>
    <xf numFmtId="167" fontId="28" fillId="55" borderId="11" xfId="96" applyNumberFormat="1" applyFont="1" applyFill="1" applyBorder="1"/>
    <xf numFmtId="167" fontId="60" fillId="0" borderId="0" xfId="96" applyNumberFormat="1" applyFont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8" fillId="0" borderId="22" xfId="95" applyFont="1" applyBorder="1" applyAlignment="1">
      <alignment horizontal="center"/>
    </xf>
    <xf numFmtId="0" fontId="48" fillId="0" borderId="23" xfId="95" applyFont="1" applyBorder="1" applyAlignment="1">
      <alignment horizontal="center"/>
    </xf>
    <xf numFmtId="0" fontId="48" fillId="0" borderId="24" xfId="95" applyFont="1" applyBorder="1" applyAlignment="1">
      <alignment horizontal="center"/>
    </xf>
    <xf numFmtId="167" fontId="43" fillId="0" borderId="0" xfId="95" applyNumberFormat="1" applyFont="1"/>
    <xf numFmtId="0" fontId="31" fillId="0" borderId="0" xfId="0" applyFont="1"/>
    <xf numFmtId="167" fontId="6" fillId="52" borderId="0" xfId="96" applyNumberFormat="1" applyFont="1" applyFill="1" applyAlignment="1">
      <alignment horizontal="center"/>
    </xf>
    <xf numFmtId="0" fontId="31" fillId="57" borderId="0" xfId="0" applyFont="1" applyFill="1" applyAlignment="1">
      <alignment horizontal="center"/>
    </xf>
    <xf numFmtId="167" fontId="31" fillId="52" borderId="0" xfId="96" applyNumberFormat="1" applyFont="1" applyFill="1"/>
    <xf numFmtId="0" fontId="32" fillId="0" borderId="0" xfId="0" applyFont="1"/>
    <xf numFmtId="0" fontId="31" fillId="0" borderId="0" xfId="0" applyFont="1" applyAlignment="1">
      <alignment horizontal="center"/>
    </xf>
    <xf numFmtId="167" fontId="31" fillId="0" borderId="0" xfId="96" applyNumberFormat="1" applyFont="1"/>
    <xf numFmtId="0" fontId="32" fillId="0" borderId="0" xfId="0" applyFont="1" applyAlignment="1">
      <alignment horizontal="right"/>
    </xf>
    <xf numFmtId="0" fontId="31" fillId="52" borderId="0" xfId="0" applyFont="1" applyFill="1"/>
    <xf numFmtId="0" fontId="32" fillId="52" borderId="0" xfId="0" applyFont="1" applyFill="1" applyAlignment="1">
      <alignment horizontal="center"/>
    </xf>
    <xf numFmtId="168" fontId="33" fillId="0" borderId="0" xfId="0" applyNumberFormat="1" applyFont="1" applyAlignment="1">
      <alignment horizontal="center"/>
    </xf>
    <xf numFmtId="14" fontId="31" fillId="52" borderId="0" xfId="0" applyNumberFormat="1" applyFont="1" applyFill="1" applyAlignment="1">
      <alignment horizontal="center"/>
    </xf>
    <xf numFmtId="168" fontId="34" fillId="0" borderId="0" xfId="96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7" fontId="35" fillId="52" borderId="0" xfId="96" applyNumberFormat="1" applyFont="1" applyFill="1"/>
    <xf numFmtId="167" fontId="62" fillId="0" borderId="0" xfId="96" applyNumberFormat="1" applyFont="1"/>
    <xf numFmtId="167" fontId="32" fillId="52" borderId="0" xfId="96" applyNumberFormat="1" applyFont="1" applyFill="1"/>
    <xf numFmtId="167" fontId="32" fillId="0" borderId="0" xfId="96" applyNumberFormat="1" applyFont="1"/>
    <xf numFmtId="167" fontId="63" fillId="57" borderId="0" xfId="96" applyNumberFormat="1" applyFont="1" applyFill="1"/>
    <xf numFmtId="167" fontId="64" fillId="0" borderId="0" xfId="96" applyNumberFormat="1" applyFont="1" applyFill="1"/>
    <xf numFmtId="0" fontId="31" fillId="57" borderId="0" xfId="0" applyFont="1" applyFill="1"/>
    <xf numFmtId="167" fontId="62" fillId="52" borderId="0" xfId="96" applyNumberFormat="1" applyFont="1" applyFill="1"/>
    <xf numFmtId="167" fontId="62" fillId="0" borderId="0" xfId="96" applyNumberFormat="1" applyFont="1" applyFill="1"/>
    <xf numFmtId="167" fontId="65" fillId="0" borderId="0" xfId="96" applyNumberFormat="1" applyFont="1" applyFill="1"/>
    <xf numFmtId="3" fontId="31" fillId="57" borderId="0" xfId="0" applyNumberFormat="1" applyFont="1" applyFill="1"/>
    <xf numFmtId="44" fontId="31" fillId="0" borderId="0" xfId="97" applyFont="1"/>
    <xf numFmtId="3" fontId="66" fillId="57" borderId="0" xfId="0" applyNumberFormat="1" applyFont="1" applyFill="1"/>
    <xf numFmtId="167" fontId="36" fillId="52" borderId="0" xfId="96" applyNumberFormat="1" applyFont="1" applyFill="1"/>
    <xf numFmtId="3" fontId="66" fillId="0" borderId="0" xfId="0" applyNumberFormat="1" applyFont="1"/>
    <xf numFmtId="167" fontId="36" fillId="0" borderId="0" xfId="96" applyNumberFormat="1" applyFont="1"/>
    <xf numFmtId="173" fontId="34" fillId="52" borderId="0" xfId="99" applyNumberFormat="1" applyFont="1" applyFill="1"/>
    <xf numFmtId="10" fontId="34" fillId="52" borderId="0" xfId="99" applyNumberFormat="1" applyFont="1" applyFill="1"/>
    <xf numFmtId="10" fontId="34" fillId="0" borderId="0" xfId="99" applyNumberFormat="1" applyFont="1" applyFill="1"/>
    <xf numFmtId="0" fontId="67" fillId="0" borderId="0" xfId="0" applyFont="1"/>
    <xf numFmtId="167" fontId="64" fillId="57" borderId="0" xfId="96" applyNumberFormat="1" applyFont="1" applyFill="1"/>
    <xf numFmtId="167" fontId="68" fillId="0" borderId="0" xfId="96" applyNumberFormat="1" applyFont="1" applyFill="1"/>
    <xf numFmtId="167" fontId="35" fillId="0" borderId="0" xfId="96" applyNumberFormat="1" applyFont="1"/>
    <xf numFmtId="167" fontId="69" fillId="0" borderId="0" xfId="96" applyNumberFormat="1" applyFont="1" applyFill="1"/>
    <xf numFmtId="167" fontId="35" fillId="57" borderId="0" xfId="96" applyNumberFormat="1" applyFont="1" applyFill="1"/>
    <xf numFmtId="167" fontId="70" fillId="52" borderId="0" xfId="96" applyNumberFormat="1" applyFont="1" applyFill="1"/>
    <xf numFmtId="167" fontId="71" fillId="52" borderId="0" xfId="96" applyNumberFormat="1" applyFont="1" applyFill="1"/>
    <xf numFmtId="167" fontId="71" fillId="0" borderId="0" xfId="96" applyNumberFormat="1" applyFont="1"/>
    <xf numFmtId="167" fontId="72" fillId="0" borderId="0" xfId="96" applyNumberFormat="1" applyFont="1" applyFill="1"/>
    <xf numFmtId="167" fontId="73" fillId="0" borderId="0" xfId="96" applyNumberFormat="1" applyFont="1" applyFill="1"/>
    <xf numFmtId="167" fontId="63" fillId="0" borderId="0" xfId="96" applyNumberFormat="1" applyFont="1"/>
    <xf numFmtId="167" fontId="63" fillId="52" borderId="0" xfId="96" applyNumberFormat="1" applyFont="1" applyFill="1"/>
    <xf numFmtId="167" fontId="74" fillId="52" borderId="0" xfId="96" applyNumberFormat="1" applyFont="1" applyFill="1"/>
    <xf numFmtId="167" fontId="74" fillId="0" borderId="0" xfId="96" applyNumberFormat="1" applyFont="1"/>
    <xf numFmtId="167" fontId="75" fillId="0" borderId="0" xfId="96" applyNumberFormat="1" applyFont="1" applyFill="1"/>
    <xf numFmtId="167" fontId="36" fillId="55" borderId="0" xfId="96" applyNumberFormat="1" applyFont="1" applyFill="1"/>
    <xf numFmtId="3" fontId="31" fillId="0" borderId="0" xfId="0" applyNumberFormat="1" applyFont="1"/>
    <xf numFmtId="167" fontId="70" fillId="0" borderId="0" xfId="96" applyNumberFormat="1" applyFont="1" applyFill="1"/>
    <xf numFmtId="43" fontId="32" fillId="0" borderId="0" xfId="96" applyFont="1"/>
    <xf numFmtId="167" fontId="28" fillId="58" borderId="11" xfId="96" applyNumberFormat="1" applyFont="1" applyFill="1" applyBorder="1"/>
    <xf numFmtId="167" fontId="28" fillId="58" borderId="31" xfId="96" quotePrefix="1" applyNumberFormat="1" applyFont="1" applyFill="1" applyBorder="1" applyAlignment="1">
      <alignment horizontal="center"/>
    </xf>
    <xf numFmtId="167" fontId="28" fillId="52" borderId="11" xfId="96" applyNumberFormat="1" applyFont="1" applyFill="1" applyBorder="1"/>
    <xf numFmtId="167" fontId="62" fillId="58" borderId="0" xfId="96" applyNumberFormat="1" applyFont="1" applyFill="1"/>
    <xf numFmtId="0" fontId="43" fillId="0" borderId="0" xfId="95" applyFont="1" applyAlignment="1">
      <alignment horizontal="center"/>
    </xf>
    <xf numFmtId="0" fontId="4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6" fontId="40" fillId="0" borderId="0" xfId="97" applyNumberFormat="1" applyFont="1"/>
    <xf numFmtId="167" fontId="44" fillId="0" borderId="0" xfId="96" applyNumberFormat="1" applyFont="1"/>
    <xf numFmtId="167" fontId="64" fillId="58" borderId="0" xfId="96" applyNumberFormat="1" applyFont="1" applyFill="1"/>
    <xf numFmtId="0" fontId="76" fillId="0" borderId="0" xfId="0" applyFont="1"/>
    <xf numFmtId="167" fontId="43" fillId="0" borderId="0" xfId="96" applyNumberFormat="1" applyFont="1" applyAlignment="1">
      <alignment horizontal="center"/>
    </xf>
    <xf numFmtId="166" fontId="1" fillId="0" borderId="0" xfId="1" applyNumberFormat="1" applyFont="1"/>
    <xf numFmtId="166" fontId="61" fillId="0" borderId="0" xfId="1" applyNumberFormat="1" applyFont="1"/>
    <xf numFmtId="166" fontId="61" fillId="0" borderId="0" xfId="97" applyNumberFormat="1" applyFont="1"/>
    <xf numFmtId="0" fontId="77" fillId="0" borderId="0" xfId="0" applyFont="1" applyAlignment="1">
      <alignment horizontal="center"/>
    </xf>
  </cellXfs>
  <cellStyles count="102">
    <cellStyle name="Accent1 - 20%" xfId="4" xr:uid="{00000000-0005-0000-0000-000001000000}"/>
    <cellStyle name="Accent1 - 40%" xfId="5" xr:uid="{00000000-0005-0000-0000-000002000000}"/>
    <cellStyle name="Accent1 - 60%" xfId="6" xr:uid="{00000000-0005-0000-0000-000003000000}"/>
    <cellStyle name="Accent1 2" xfId="3" xr:uid="{00000000-0005-0000-0000-00002F000000}"/>
    <cellStyle name="Accent1 3" xfId="88" xr:uid="{00000000-0005-0000-0000-000084000000}"/>
    <cellStyle name="Accent2 - 20%" xfId="8" xr:uid="{00000000-0005-0000-0000-000005000000}"/>
    <cellStyle name="Accent2 - 40%" xfId="9" xr:uid="{00000000-0005-0000-0000-000006000000}"/>
    <cellStyle name="Accent2 - 60%" xfId="10" xr:uid="{00000000-0005-0000-0000-000007000000}"/>
    <cellStyle name="Accent2 2" xfId="7" xr:uid="{00000000-0005-0000-0000-000033000000}"/>
    <cellStyle name="Accent2 3" xfId="89" xr:uid="{00000000-0005-0000-0000-000085000000}"/>
    <cellStyle name="Accent3 - 20%" xfId="12" xr:uid="{00000000-0005-0000-0000-000009000000}"/>
    <cellStyle name="Accent3 - 40%" xfId="13" xr:uid="{00000000-0005-0000-0000-00000A000000}"/>
    <cellStyle name="Accent3 - 60%" xfId="14" xr:uid="{00000000-0005-0000-0000-00000B000000}"/>
    <cellStyle name="Accent3 2" xfId="11" xr:uid="{00000000-0005-0000-0000-000037000000}"/>
    <cellStyle name="Accent3 3" xfId="90" xr:uid="{00000000-0005-0000-0000-000086000000}"/>
    <cellStyle name="Accent4 - 20%" xfId="16" xr:uid="{00000000-0005-0000-0000-00000D000000}"/>
    <cellStyle name="Accent4 - 40%" xfId="17" xr:uid="{00000000-0005-0000-0000-00000E000000}"/>
    <cellStyle name="Accent4 - 60%" xfId="18" xr:uid="{00000000-0005-0000-0000-00000F000000}"/>
    <cellStyle name="Accent4 2" xfId="15" xr:uid="{00000000-0005-0000-0000-00003B000000}"/>
    <cellStyle name="Accent4 3" xfId="91" xr:uid="{00000000-0005-0000-0000-000087000000}"/>
    <cellStyle name="Accent5 - 20%" xfId="20" xr:uid="{00000000-0005-0000-0000-000011000000}"/>
    <cellStyle name="Accent5 - 40%" xfId="21" xr:uid="{00000000-0005-0000-0000-000012000000}"/>
    <cellStyle name="Accent5 - 60%" xfId="22" xr:uid="{00000000-0005-0000-0000-000013000000}"/>
    <cellStyle name="Accent5 2" xfId="19" xr:uid="{00000000-0005-0000-0000-00003F000000}"/>
    <cellStyle name="Accent5 3" xfId="92" xr:uid="{00000000-0005-0000-0000-000088000000}"/>
    <cellStyle name="Accent6 - 20%" xfId="24" xr:uid="{00000000-0005-0000-0000-000015000000}"/>
    <cellStyle name="Accent6 - 40%" xfId="25" xr:uid="{00000000-0005-0000-0000-000016000000}"/>
    <cellStyle name="Accent6 - 60%" xfId="26" xr:uid="{00000000-0005-0000-0000-000017000000}"/>
    <cellStyle name="Accent6 2" xfId="23" xr:uid="{00000000-0005-0000-0000-000043000000}"/>
    <cellStyle name="Accent6 3" xfId="93" xr:uid="{00000000-0005-0000-0000-000089000000}"/>
    <cellStyle name="Bad 2" xfId="27" xr:uid="{00000000-0005-0000-0000-000047000000}"/>
    <cellStyle name="Calculation 2" xfId="28" xr:uid="{00000000-0005-0000-0000-000048000000}"/>
    <cellStyle name="Check Cell 2" xfId="29" xr:uid="{00000000-0005-0000-0000-000049000000}"/>
    <cellStyle name="Comma" xfId="94" builtinId="3"/>
    <cellStyle name="Comma 2" xfId="96" xr:uid="{47C3E519-FE1A-486A-ABDC-910EF40D1760}"/>
    <cellStyle name="Comma 2 2" xfId="101" xr:uid="{14A368F5-DC40-4877-8219-2495BD17F0A5}"/>
    <cellStyle name="Currency" xfId="1" builtinId="4"/>
    <cellStyle name="Currency 2" xfId="97" xr:uid="{2E69878C-5BE5-4117-A2F8-CA9E8703BD12}"/>
    <cellStyle name="Emphasis 1" xfId="30" xr:uid="{00000000-0005-0000-0000-00001B000000}"/>
    <cellStyle name="Emphasis 2" xfId="31" xr:uid="{00000000-0005-0000-0000-00001C000000}"/>
    <cellStyle name="Emphasis 3" xfId="32" xr:uid="{00000000-0005-0000-0000-00001D000000}"/>
    <cellStyle name="Good 2" xfId="33" xr:uid="{00000000-0005-0000-0000-00004D000000}"/>
    <cellStyle name="Heading 1 2" xfId="34" xr:uid="{00000000-0005-0000-0000-00004E000000}"/>
    <cellStyle name="Heading 2 2" xfId="35" xr:uid="{00000000-0005-0000-0000-00004F000000}"/>
    <cellStyle name="Heading 3 2" xfId="36" xr:uid="{00000000-0005-0000-0000-000050000000}"/>
    <cellStyle name="Heading 4 2" xfId="37" xr:uid="{00000000-0005-0000-0000-000051000000}"/>
    <cellStyle name="Input 2" xfId="38" xr:uid="{00000000-0005-0000-0000-000052000000}"/>
    <cellStyle name="Linked Cell 2" xfId="39" xr:uid="{00000000-0005-0000-0000-000053000000}"/>
    <cellStyle name="Neutral 2" xfId="40" xr:uid="{00000000-0005-0000-0000-000054000000}"/>
    <cellStyle name="Normal" xfId="0" builtinId="0"/>
    <cellStyle name="Normal 2" xfId="2" xr:uid="{00000000-0005-0000-0000-000055000000}"/>
    <cellStyle name="Normal 3" xfId="87" xr:uid="{00000000-0005-0000-0000-00008A000000}"/>
    <cellStyle name="Normal 4" xfId="95" xr:uid="{83B24440-716E-407B-B83A-6FBA1BE97929}"/>
    <cellStyle name="Normal 6" xfId="100" xr:uid="{BB38B11B-A6A8-4DE3-A6EB-293B88A1AF96}"/>
    <cellStyle name="Normal_2006 Depreciation Expense Adjustment" xfId="98" xr:uid="{80186462-B5ED-4AE8-8B82-1650BA8F83E0}"/>
    <cellStyle name="Note 2" xfId="41" xr:uid="{00000000-0005-0000-0000-000056000000}"/>
    <cellStyle name="Output 2" xfId="42" xr:uid="{00000000-0005-0000-0000-000057000000}"/>
    <cellStyle name="Percent 2" xfId="99" xr:uid="{4F659330-498C-4E35-B91E-AF1BDDD5E55B}"/>
    <cellStyle name="SAPBEXaggData" xfId="43" xr:uid="{00000000-0005-0000-0000-000029000000}"/>
    <cellStyle name="SAPBEXaggDataEmph" xfId="44" xr:uid="{00000000-0005-0000-0000-00002A000000}"/>
    <cellStyle name="SAPBEXaggItem" xfId="45" xr:uid="{00000000-0005-0000-0000-00002B000000}"/>
    <cellStyle name="SAPBEXaggItemX" xfId="46" xr:uid="{00000000-0005-0000-0000-00002C000000}"/>
    <cellStyle name="SAPBEXchaText" xfId="47" xr:uid="{00000000-0005-0000-0000-00002D000000}"/>
    <cellStyle name="SAPBEXexcBad7" xfId="48" xr:uid="{00000000-0005-0000-0000-00002E000000}"/>
    <cellStyle name="SAPBEXexcBad8" xfId="49" xr:uid="{00000000-0005-0000-0000-00002F000000}"/>
    <cellStyle name="SAPBEXexcBad9" xfId="50" xr:uid="{00000000-0005-0000-0000-000030000000}"/>
    <cellStyle name="SAPBEXexcCritical4" xfId="51" xr:uid="{00000000-0005-0000-0000-000031000000}"/>
    <cellStyle name="SAPBEXexcCritical5" xfId="52" xr:uid="{00000000-0005-0000-0000-000032000000}"/>
    <cellStyle name="SAPBEXexcCritical6" xfId="53" xr:uid="{00000000-0005-0000-0000-000033000000}"/>
    <cellStyle name="SAPBEXexcGood1" xfId="54" xr:uid="{00000000-0005-0000-0000-000034000000}"/>
    <cellStyle name="SAPBEXexcGood2" xfId="55" xr:uid="{00000000-0005-0000-0000-000035000000}"/>
    <cellStyle name="SAPBEXexcGood3" xfId="56" xr:uid="{00000000-0005-0000-0000-000036000000}"/>
    <cellStyle name="SAPBEXfilterDrill" xfId="57" xr:uid="{00000000-0005-0000-0000-000037000000}"/>
    <cellStyle name="SAPBEXfilterItem" xfId="58" xr:uid="{00000000-0005-0000-0000-000038000000}"/>
    <cellStyle name="SAPBEXfilterText" xfId="59" xr:uid="{00000000-0005-0000-0000-000039000000}"/>
    <cellStyle name="SAPBEXformats" xfId="60" xr:uid="{00000000-0005-0000-0000-00003A000000}"/>
    <cellStyle name="SAPBEXheaderItem" xfId="61" xr:uid="{00000000-0005-0000-0000-00003B000000}"/>
    <cellStyle name="SAPBEXheaderText" xfId="62" xr:uid="{00000000-0005-0000-0000-00003C000000}"/>
    <cellStyle name="SAPBEXHLevel0" xfId="63" xr:uid="{00000000-0005-0000-0000-00003D000000}"/>
    <cellStyle name="SAPBEXHLevel0X" xfId="64" xr:uid="{00000000-0005-0000-0000-00003E000000}"/>
    <cellStyle name="SAPBEXHLevel1" xfId="65" xr:uid="{00000000-0005-0000-0000-00003F000000}"/>
    <cellStyle name="SAPBEXHLevel1X" xfId="66" xr:uid="{00000000-0005-0000-0000-000040000000}"/>
    <cellStyle name="SAPBEXHLevel2" xfId="67" xr:uid="{00000000-0005-0000-0000-000041000000}"/>
    <cellStyle name="SAPBEXHLevel2X" xfId="68" xr:uid="{00000000-0005-0000-0000-000042000000}"/>
    <cellStyle name="SAPBEXHLevel3" xfId="69" xr:uid="{00000000-0005-0000-0000-000043000000}"/>
    <cellStyle name="SAPBEXHLevel3X" xfId="70" xr:uid="{00000000-0005-0000-0000-000044000000}"/>
    <cellStyle name="SAPBEXinputData" xfId="71" xr:uid="{00000000-0005-0000-0000-000045000000}"/>
    <cellStyle name="SAPBEXItemHeader" xfId="72" xr:uid="{00000000-0005-0000-0000-000046000000}"/>
    <cellStyle name="SAPBEXresData" xfId="73" xr:uid="{00000000-0005-0000-0000-000047000000}"/>
    <cellStyle name="SAPBEXresDataEmph" xfId="74" xr:uid="{00000000-0005-0000-0000-000048000000}"/>
    <cellStyle name="SAPBEXresItem" xfId="75" xr:uid="{00000000-0005-0000-0000-000049000000}"/>
    <cellStyle name="SAPBEXresItemX" xfId="76" xr:uid="{00000000-0005-0000-0000-00004A000000}"/>
    <cellStyle name="SAPBEXstdData" xfId="77" xr:uid="{00000000-0005-0000-0000-00004B000000}"/>
    <cellStyle name="SAPBEXstdDataEmph" xfId="78" xr:uid="{00000000-0005-0000-0000-00004C000000}"/>
    <cellStyle name="SAPBEXstdItem" xfId="79" xr:uid="{00000000-0005-0000-0000-00004D000000}"/>
    <cellStyle name="SAPBEXstdItemX" xfId="80" xr:uid="{00000000-0005-0000-0000-00004E000000}"/>
    <cellStyle name="SAPBEXtitle" xfId="81" xr:uid="{00000000-0005-0000-0000-00004F000000}"/>
    <cellStyle name="SAPBEXunassignedItem" xfId="82" xr:uid="{00000000-0005-0000-0000-000050000000}"/>
    <cellStyle name="SAPBEXundefined" xfId="83" xr:uid="{00000000-0005-0000-0000-000051000000}"/>
    <cellStyle name="Sheet Title" xfId="84" xr:uid="{00000000-0005-0000-0000-000052000000}"/>
    <cellStyle name="Total 2" xfId="85" xr:uid="{00000000-0005-0000-0000-000082000000}"/>
    <cellStyle name="Warning Text 2" xfId="86" xr:uid="{00000000-0005-0000-0000-000083000000}"/>
  </cellStyles>
  <dxfs count="0"/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42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61" Type="http://schemas.openxmlformats.org/officeDocument/2006/relationships/externalLink" Target="externalLinks/externalLink4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Rate%20Case/2008/Class%20Cost%20of%20Service/Sep%2012.%202008/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rate/CMD/ratecase/1995/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ischerRCC/Documents/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65791/Local%20Settings/Temporary%20Internet%20Files/Content.Outlook/PQT8T9TM/Schedule%20C%20&amp;%20D%20-%20Operating%20Income/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09/Rate%20Case%20Schedules/Base/Schedule%20C%20-%20Operating%20Income/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aylor/LOCALS~1/Temp/notesC9812B/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SV01\Home$\eri1151\Documents\WORK\Finance%20Dept\Delta%202021%20RC%20Support\Copy%20of%202021%20Kentucky%20Consol%20Rate%20Model%20at%205%2027%2021%20_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Kentucky/Delta/2021%20Rate%20Case/CAPEX/Capital%20Budget%20with%202021%20&amp;%202022%20monthly%20spreads%203%2015%202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rown/AppData/Roaming/Microsoft/Excel/2021%20Kentucky%20Consol%20Rate%20Model%20at%205%2024%2021%20%20%20(version%201).xlsb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Kentucky/Taxes/DNG%20Estimated%20Rate%20Base%20A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21726/AppData/Local/Temp/notesC9812B/CMD%202013%20Rate%20Case%20-%20Cost%20of%20Servi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Kentucky/Taxes/DNG%20Estimated%20Rate%20Base%20ADIT%2012-31-2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ulatedconsultants.sharepoint.com/sites/RCC_Client_Share-Clients/Shared%20Documents/Clients/Delta%20Natural%20Gas/2021%20Rate%20Case/RCC%20Files/2021%20Kentucky%20Consol%20Rate%20Model%20at%204%2028%2021%20_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A%20TEMP/Kentucky/Models/2021%20Kentucky%20Consol%20Rate%20Model%20at%205%2027%2021%20%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Kentucky/Delta/2021%20Rate%20Case/Rate%20Models/Old%20Models/2021%20Rate%20Mod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CASE/2006%20Rate%20Case%20TME%2012-31-05,%20Proforma%209-30-06/Revenue/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</v>
          </cell>
          <cell r="B6">
            <v>76</v>
          </cell>
          <cell r="C6">
            <v>-96</v>
          </cell>
          <cell r="D6">
            <v>0</v>
          </cell>
          <cell r="E6">
            <v>-191</v>
          </cell>
          <cell r="F6">
            <v>0</v>
          </cell>
          <cell r="G6">
            <v>-89</v>
          </cell>
          <cell r="H6">
            <v>-104</v>
          </cell>
          <cell r="I6">
            <v>-49</v>
          </cell>
          <cell r="J6">
            <v>-100</v>
          </cell>
          <cell r="K6">
            <v>-32</v>
          </cell>
          <cell r="L6">
            <v>-16</v>
          </cell>
          <cell r="M6">
            <v>-414</v>
          </cell>
          <cell r="P6">
            <v>-1015</v>
          </cell>
          <cell r="S6">
            <v>-601.89285714285711</v>
          </cell>
          <cell r="T6">
            <v>-1015</v>
          </cell>
          <cell r="U6">
            <v>-750</v>
          </cell>
          <cell r="V6">
            <v>-601.89285714285711</v>
          </cell>
          <cell r="W6">
            <v>-374</v>
          </cell>
          <cell r="X6">
            <v>-405</v>
          </cell>
          <cell r="Y6">
            <v>-317.07142857142856</v>
          </cell>
          <cell r="AA6">
            <v>0</v>
          </cell>
          <cell r="AB6">
            <v>-12.178571428571429</v>
          </cell>
          <cell r="AF6">
            <v>0</v>
          </cell>
          <cell r="AG6">
            <v>2.6428571428571428</v>
          </cell>
          <cell r="AL6">
            <v>-287</v>
          </cell>
          <cell r="AM6">
            <v>-345</v>
          </cell>
          <cell r="AN6">
            <v>-275.28571428571428</v>
          </cell>
          <cell r="AR6">
            <v>-661</v>
          </cell>
          <cell r="AS6">
            <v>-750</v>
          </cell>
          <cell r="AT6">
            <v>-592.35714285714289</v>
          </cell>
          <cell r="AV6">
            <v>-16.321428571428573</v>
          </cell>
          <cell r="AW6">
            <v>-74.857142857142861</v>
          </cell>
          <cell r="AX6">
            <v>-90.678571428571431</v>
          </cell>
          <cell r="AY6">
            <v>-73.642857142857139</v>
          </cell>
          <cell r="AZ6">
            <v>-27.071428571428573</v>
          </cell>
          <cell r="BA6">
            <v>-34.5</v>
          </cell>
          <cell r="BB6">
            <v>-212.03571428571428</v>
          </cell>
          <cell r="BC6">
            <v>1.5</v>
          </cell>
          <cell r="BD6">
            <v>-59.5</v>
          </cell>
          <cell r="BE6">
            <v>-5.25</v>
          </cell>
          <cell r="BJ6">
            <v>-15</v>
          </cell>
          <cell r="BK6">
            <v>-110</v>
          </cell>
          <cell r="BL6">
            <v>-100</v>
          </cell>
          <cell r="BM6">
            <v>-100</v>
          </cell>
          <cell r="BN6">
            <v>-35</v>
          </cell>
          <cell r="BO6">
            <v>-45</v>
          </cell>
          <cell r="BP6">
            <v>-225</v>
          </cell>
          <cell r="BQ6">
            <v>-40</v>
          </cell>
          <cell r="BR6">
            <v>-80</v>
          </cell>
          <cell r="BS6">
            <v>0</v>
          </cell>
          <cell r="BY6">
            <v>-0.60189285714285712</v>
          </cell>
          <cell r="CB6">
            <v>-1.0149999999999999</v>
          </cell>
          <cell r="CD6">
            <v>-0.60189285714285712</v>
          </cell>
        </row>
        <row r="7">
          <cell r="A7">
            <v>2</v>
          </cell>
          <cell r="B7">
            <v>-33</v>
          </cell>
          <cell r="C7">
            <v>-90</v>
          </cell>
          <cell r="D7">
            <v>-17</v>
          </cell>
          <cell r="E7">
            <v>-151</v>
          </cell>
          <cell r="F7">
            <v>0</v>
          </cell>
          <cell r="G7">
            <v>-111</v>
          </cell>
          <cell r="H7">
            <v>-105</v>
          </cell>
          <cell r="I7">
            <v>-45</v>
          </cell>
          <cell r="J7">
            <v>-97</v>
          </cell>
          <cell r="K7">
            <v>-37</v>
          </cell>
          <cell r="L7">
            <v>-33</v>
          </cell>
          <cell r="M7">
            <v>-706</v>
          </cell>
          <cell r="P7">
            <v>-1425</v>
          </cell>
          <cell r="S7">
            <v>-601.89285714285711</v>
          </cell>
          <cell r="T7">
            <v>-1425</v>
          </cell>
          <cell r="U7">
            <v>-750</v>
          </cell>
          <cell r="V7">
            <v>-601.89285714285711</v>
          </cell>
          <cell r="W7">
            <v>-395</v>
          </cell>
          <cell r="X7">
            <v>-405</v>
          </cell>
          <cell r="Y7">
            <v>-317.07142857142856</v>
          </cell>
          <cell r="AA7">
            <v>0</v>
          </cell>
          <cell r="AB7">
            <v>-12.178571428571429</v>
          </cell>
          <cell r="AF7">
            <v>0</v>
          </cell>
          <cell r="AG7">
            <v>2.6428571428571428</v>
          </cell>
          <cell r="AL7">
            <v>-258</v>
          </cell>
          <cell r="AM7">
            <v>-345</v>
          </cell>
          <cell r="AN7">
            <v>-275.28571428571428</v>
          </cell>
          <cell r="AR7">
            <v>-653</v>
          </cell>
          <cell r="AS7">
            <v>-750</v>
          </cell>
          <cell r="AT7">
            <v>-592.35714285714289</v>
          </cell>
          <cell r="AV7">
            <v>-16.321428571428573</v>
          </cell>
          <cell r="AW7">
            <v>-74.857142857142861</v>
          </cell>
          <cell r="AX7">
            <v>-90.678571428571431</v>
          </cell>
          <cell r="AY7">
            <v>-73.642857142857139</v>
          </cell>
          <cell r="AZ7">
            <v>-27.071428571428573</v>
          </cell>
          <cell r="BA7">
            <v>-34.5</v>
          </cell>
          <cell r="BB7">
            <v>-212.03571428571428</v>
          </cell>
          <cell r="BC7">
            <v>1.5</v>
          </cell>
          <cell r="BD7">
            <v>-59.5</v>
          </cell>
          <cell r="BE7">
            <v>-5.25</v>
          </cell>
          <cell r="BJ7">
            <v>-15</v>
          </cell>
          <cell r="BK7">
            <v>-110</v>
          </cell>
          <cell r="BL7">
            <v>-100</v>
          </cell>
          <cell r="BM7">
            <v>-100</v>
          </cell>
          <cell r="BN7">
            <v>-35</v>
          </cell>
          <cell r="BO7">
            <v>-45</v>
          </cell>
          <cell r="BP7">
            <v>-225</v>
          </cell>
          <cell r="BQ7">
            <v>-40</v>
          </cell>
          <cell r="BR7">
            <v>-80</v>
          </cell>
          <cell r="BS7">
            <v>0</v>
          </cell>
          <cell r="BY7">
            <v>-1.2037857142857142</v>
          </cell>
          <cell r="CB7">
            <v>-2.44</v>
          </cell>
          <cell r="CD7">
            <v>-1.2037857142857142</v>
          </cell>
        </row>
        <row r="8">
          <cell r="A8">
            <v>3</v>
          </cell>
          <cell r="B8">
            <v>-30</v>
          </cell>
          <cell r="C8">
            <v>-84</v>
          </cell>
          <cell r="D8">
            <v>0</v>
          </cell>
          <cell r="E8">
            <v>-163</v>
          </cell>
          <cell r="F8">
            <v>0</v>
          </cell>
          <cell r="G8">
            <v>-33</v>
          </cell>
          <cell r="H8">
            <v>-105</v>
          </cell>
          <cell r="I8">
            <v>-28</v>
          </cell>
          <cell r="J8">
            <v>-86</v>
          </cell>
          <cell r="K8">
            <v>-11</v>
          </cell>
          <cell r="L8">
            <v>0</v>
          </cell>
          <cell r="M8">
            <v>-528</v>
          </cell>
          <cell r="P8">
            <v>-1068</v>
          </cell>
          <cell r="S8">
            <v>-601.89285714285711</v>
          </cell>
          <cell r="T8">
            <v>-1068</v>
          </cell>
          <cell r="U8">
            <v>-750</v>
          </cell>
          <cell r="V8">
            <v>-601.89285714285711</v>
          </cell>
          <cell r="W8">
            <v>-263</v>
          </cell>
          <cell r="X8">
            <v>-405</v>
          </cell>
          <cell r="Y8">
            <v>-317.07142857142856</v>
          </cell>
          <cell r="AA8">
            <v>0</v>
          </cell>
          <cell r="AB8">
            <v>-12.178571428571429</v>
          </cell>
          <cell r="AF8">
            <v>0</v>
          </cell>
          <cell r="AG8">
            <v>2.6428571428571428</v>
          </cell>
          <cell r="AL8">
            <v>-247</v>
          </cell>
          <cell r="AM8">
            <v>-345</v>
          </cell>
          <cell r="AN8">
            <v>-275.28571428571428</v>
          </cell>
          <cell r="AR8">
            <v>-510</v>
          </cell>
          <cell r="AS8">
            <v>-750</v>
          </cell>
          <cell r="AT8">
            <v>-592.35714285714289</v>
          </cell>
          <cell r="AV8">
            <v>-16.321428571428573</v>
          </cell>
          <cell r="AW8">
            <v>-74.857142857142861</v>
          </cell>
          <cell r="AX8">
            <v>-90.678571428571431</v>
          </cell>
          <cell r="AY8">
            <v>-73.642857142857139</v>
          </cell>
          <cell r="AZ8">
            <v>-27.071428571428573</v>
          </cell>
          <cell r="BA8">
            <v>-34.5</v>
          </cell>
          <cell r="BB8">
            <v>-212.03571428571428</v>
          </cell>
          <cell r="BC8">
            <v>1.5</v>
          </cell>
          <cell r="BD8">
            <v>-59.5</v>
          </cell>
          <cell r="BE8">
            <v>-5.25</v>
          </cell>
          <cell r="BJ8">
            <v>-15</v>
          </cell>
          <cell r="BK8">
            <v>-110</v>
          </cell>
          <cell r="BL8">
            <v>-100</v>
          </cell>
          <cell r="BM8">
            <v>-100</v>
          </cell>
          <cell r="BN8">
            <v>-35</v>
          </cell>
          <cell r="BO8">
            <v>-45</v>
          </cell>
          <cell r="BP8">
            <v>-225</v>
          </cell>
          <cell r="BQ8">
            <v>-40</v>
          </cell>
          <cell r="BR8">
            <v>-80</v>
          </cell>
          <cell r="BS8">
            <v>0</v>
          </cell>
          <cell r="BY8">
            <v>-1.8056785714285715</v>
          </cell>
          <cell r="CB8">
            <v>-3.508</v>
          </cell>
          <cell r="CD8">
            <v>-1.8056785714285715</v>
          </cell>
        </row>
        <row r="9">
          <cell r="A9">
            <v>4</v>
          </cell>
          <cell r="B9">
            <v>-60</v>
          </cell>
          <cell r="C9">
            <v>-52</v>
          </cell>
          <cell r="D9">
            <v>0</v>
          </cell>
          <cell r="E9">
            <v>0</v>
          </cell>
          <cell r="F9">
            <v>0</v>
          </cell>
          <cell r="G9">
            <v>-12</v>
          </cell>
          <cell r="H9">
            <v>-105</v>
          </cell>
          <cell r="I9">
            <v>0</v>
          </cell>
          <cell r="J9">
            <v>-98</v>
          </cell>
          <cell r="K9">
            <v>-4</v>
          </cell>
          <cell r="L9">
            <v>90</v>
          </cell>
          <cell r="M9">
            <v>-67</v>
          </cell>
          <cell r="P9">
            <v>-308</v>
          </cell>
          <cell r="S9">
            <v>-601.89285714285711</v>
          </cell>
          <cell r="T9">
            <v>-308</v>
          </cell>
          <cell r="U9">
            <v>-750</v>
          </cell>
          <cell r="V9">
            <v>-601.89285714285711</v>
          </cell>
          <cell r="W9">
            <v>-219</v>
          </cell>
          <cell r="X9">
            <v>-405</v>
          </cell>
          <cell r="Y9">
            <v>-317.07142857142856</v>
          </cell>
          <cell r="AA9">
            <v>0</v>
          </cell>
          <cell r="AB9">
            <v>-12.178571428571429</v>
          </cell>
          <cell r="AF9">
            <v>0</v>
          </cell>
          <cell r="AG9">
            <v>2.6428571428571428</v>
          </cell>
          <cell r="AL9">
            <v>-52</v>
          </cell>
          <cell r="AM9">
            <v>-345</v>
          </cell>
          <cell r="AN9">
            <v>-275.28571428571428</v>
          </cell>
          <cell r="AR9">
            <v>-271</v>
          </cell>
          <cell r="AS9">
            <v>-750</v>
          </cell>
          <cell r="AT9">
            <v>-592.35714285714289</v>
          </cell>
          <cell r="AV9">
            <v>-16.321428571428573</v>
          </cell>
          <cell r="AW9">
            <v>-74.857142857142861</v>
          </cell>
          <cell r="AX9">
            <v>-90.678571428571431</v>
          </cell>
          <cell r="AY9">
            <v>-73.642857142857139</v>
          </cell>
          <cell r="AZ9">
            <v>-27.071428571428573</v>
          </cell>
          <cell r="BA9">
            <v>-34.5</v>
          </cell>
          <cell r="BB9">
            <v>-212.03571428571428</v>
          </cell>
          <cell r="BC9">
            <v>1.5</v>
          </cell>
          <cell r="BD9">
            <v>-59.5</v>
          </cell>
          <cell r="BE9">
            <v>-5.25</v>
          </cell>
          <cell r="BJ9">
            <v>-15</v>
          </cell>
          <cell r="BK9">
            <v>-110</v>
          </cell>
          <cell r="BL9">
            <v>-100</v>
          </cell>
          <cell r="BM9">
            <v>-100</v>
          </cell>
          <cell r="BN9">
            <v>-35</v>
          </cell>
          <cell r="BO9">
            <v>-45</v>
          </cell>
          <cell r="BP9">
            <v>-225</v>
          </cell>
          <cell r="BQ9">
            <v>-40</v>
          </cell>
          <cell r="BR9">
            <v>-80</v>
          </cell>
          <cell r="BS9">
            <v>0</v>
          </cell>
          <cell r="BY9">
            <v>-2.4075714285714285</v>
          </cell>
          <cell r="CB9">
            <v>-3.8159999999999998</v>
          </cell>
          <cell r="CD9">
            <v>-2.4075714285714285</v>
          </cell>
        </row>
        <row r="10">
          <cell r="A10">
            <v>5</v>
          </cell>
          <cell r="B10">
            <v>12</v>
          </cell>
          <cell r="C10">
            <v>-28</v>
          </cell>
          <cell r="D10">
            <v>46</v>
          </cell>
          <cell r="E10">
            <v>0</v>
          </cell>
          <cell r="F10">
            <v>0</v>
          </cell>
          <cell r="G10">
            <v>0</v>
          </cell>
          <cell r="H10">
            <v>-105</v>
          </cell>
          <cell r="I10">
            <v>-1</v>
          </cell>
          <cell r="J10">
            <v>-38</v>
          </cell>
          <cell r="K10">
            <v>0</v>
          </cell>
          <cell r="L10">
            <v>225</v>
          </cell>
          <cell r="M10">
            <v>129</v>
          </cell>
          <cell r="P10">
            <v>240</v>
          </cell>
          <cell r="S10">
            <v>-601.89285714285711</v>
          </cell>
          <cell r="T10">
            <v>240</v>
          </cell>
          <cell r="U10">
            <v>-750</v>
          </cell>
          <cell r="V10">
            <v>-601.89285714285711</v>
          </cell>
          <cell r="W10">
            <v>-144</v>
          </cell>
          <cell r="X10">
            <v>-405</v>
          </cell>
          <cell r="Y10">
            <v>-317.07142857142856</v>
          </cell>
          <cell r="AA10">
            <v>0</v>
          </cell>
          <cell r="AB10">
            <v>-12.178571428571429</v>
          </cell>
          <cell r="AF10">
            <v>0</v>
          </cell>
          <cell r="AG10">
            <v>2.6428571428571428</v>
          </cell>
          <cell r="AL10">
            <v>18</v>
          </cell>
          <cell r="AM10">
            <v>-345</v>
          </cell>
          <cell r="AN10">
            <v>-275.28571428571428</v>
          </cell>
          <cell r="AR10">
            <v>-126</v>
          </cell>
          <cell r="AS10">
            <v>-750</v>
          </cell>
          <cell r="AT10">
            <v>-592.35714285714289</v>
          </cell>
          <cell r="AV10">
            <v>-16.321428571428573</v>
          </cell>
          <cell r="AW10">
            <v>-74.857142857142861</v>
          </cell>
          <cell r="AX10">
            <v>-90.678571428571431</v>
          </cell>
          <cell r="AY10">
            <v>-73.642857142857139</v>
          </cell>
          <cell r="AZ10">
            <v>-27.071428571428573</v>
          </cell>
          <cell r="BA10">
            <v>-34.5</v>
          </cell>
          <cell r="BB10">
            <v>-212.03571428571428</v>
          </cell>
          <cell r="BC10">
            <v>1.5</v>
          </cell>
          <cell r="BD10">
            <v>-59.5</v>
          </cell>
          <cell r="BE10">
            <v>-5.25</v>
          </cell>
          <cell r="BJ10">
            <v>-15</v>
          </cell>
          <cell r="BK10">
            <v>-110</v>
          </cell>
          <cell r="BL10">
            <v>-100</v>
          </cell>
          <cell r="BM10">
            <v>-100</v>
          </cell>
          <cell r="BN10">
            <v>-35</v>
          </cell>
          <cell r="BO10">
            <v>-45</v>
          </cell>
          <cell r="BP10">
            <v>-225</v>
          </cell>
          <cell r="BQ10">
            <v>-40</v>
          </cell>
          <cell r="BR10">
            <v>-80</v>
          </cell>
          <cell r="BS10">
            <v>0</v>
          </cell>
          <cell r="BY10">
            <v>-3.0094642857142855</v>
          </cell>
          <cell r="CD10">
            <v>-3.0094642857142855</v>
          </cell>
        </row>
        <row r="11">
          <cell r="A11">
            <v>6</v>
          </cell>
          <cell r="B11">
            <v>48</v>
          </cell>
          <cell r="C11">
            <v>-30</v>
          </cell>
          <cell r="D11">
            <v>30</v>
          </cell>
          <cell r="E11">
            <v>-10</v>
          </cell>
          <cell r="F11">
            <v>0</v>
          </cell>
          <cell r="G11">
            <v>-28</v>
          </cell>
          <cell r="H11">
            <v>-105</v>
          </cell>
          <cell r="I11">
            <v>-2</v>
          </cell>
          <cell r="J11">
            <v>-80</v>
          </cell>
          <cell r="K11">
            <v>-10</v>
          </cell>
          <cell r="L11">
            <v>179</v>
          </cell>
          <cell r="M11">
            <v>48</v>
          </cell>
          <cell r="P11">
            <v>40</v>
          </cell>
          <cell r="S11">
            <v>-601.89285714285711</v>
          </cell>
          <cell r="T11">
            <v>40</v>
          </cell>
          <cell r="U11">
            <v>-750</v>
          </cell>
          <cell r="V11">
            <v>-601.89285714285711</v>
          </cell>
          <cell r="W11">
            <v>-225</v>
          </cell>
          <cell r="X11">
            <v>-405</v>
          </cell>
          <cell r="Y11">
            <v>-317.07142857142856</v>
          </cell>
          <cell r="AA11">
            <v>0</v>
          </cell>
          <cell r="AB11">
            <v>-12.178571428571429</v>
          </cell>
          <cell r="AF11">
            <v>0</v>
          </cell>
          <cell r="AG11">
            <v>2.6428571428571428</v>
          </cell>
          <cell r="AL11">
            <v>-10</v>
          </cell>
          <cell r="AM11">
            <v>-345</v>
          </cell>
          <cell r="AN11">
            <v>-275.28571428571428</v>
          </cell>
          <cell r="AR11">
            <v>-235</v>
          </cell>
          <cell r="AS11">
            <v>-750</v>
          </cell>
          <cell r="AT11">
            <v>-592.35714285714289</v>
          </cell>
          <cell r="AV11">
            <v>-16.321428571428573</v>
          </cell>
          <cell r="AW11">
            <v>-74.857142857142861</v>
          </cell>
          <cell r="AX11">
            <v>-90.678571428571431</v>
          </cell>
          <cell r="AY11">
            <v>-73.642857142857139</v>
          </cell>
          <cell r="AZ11">
            <v>-27.071428571428573</v>
          </cell>
          <cell r="BA11">
            <v>-34.5</v>
          </cell>
          <cell r="BB11">
            <v>-212.03571428571428</v>
          </cell>
          <cell r="BC11">
            <v>1.5</v>
          </cell>
          <cell r="BD11">
            <v>-59.5</v>
          </cell>
          <cell r="BE11">
            <v>-5.25</v>
          </cell>
          <cell r="BJ11">
            <v>-15</v>
          </cell>
          <cell r="BK11">
            <v>-110</v>
          </cell>
          <cell r="BL11">
            <v>-100</v>
          </cell>
          <cell r="BM11">
            <v>-100</v>
          </cell>
          <cell r="BN11">
            <v>-35</v>
          </cell>
          <cell r="BO11">
            <v>-45</v>
          </cell>
          <cell r="BP11">
            <v>-225</v>
          </cell>
          <cell r="BQ11">
            <v>-40</v>
          </cell>
          <cell r="BR11">
            <v>-80</v>
          </cell>
          <cell r="BS11">
            <v>0</v>
          </cell>
          <cell r="BY11">
            <v>-3.6113571428571425</v>
          </cell>
          <cell r="CD11">
            <v>-3.6113571428571425</v>
          </cell>
        </row>
        <row r="12">
          <cell r="A12">
            <v>7</v>
          </cell>
          <cell r="B12">
            <v>0</v>
          </cell>
          <cell r="C12">
            <v>-60</v>
          </cell>
          <cell r="D12">
            <v>0</v>
          </cell>
          <cell r="E12">
            <v>-88</v>
          </cell>
          <cell r="F12">
            <v>0</v>
          </cell>
          <cell r="G12">
            <v>-125</v>
          </cell>
          <cell r="H12">
            <v>-105</v>
          </cell>
          <cell r="I12">
            <v>-45</v>
          </cell>
          <cell r="J12">
            <v>-98</v>
          </cell>
          <cell r="K12">
            <v>-40</v>
          </cell>
          <cell r="L12">
            <v>-53</v>
          </cell>
          <cell r="M12">
            <v>-153</v>
          </cell>
          <cell r="P12">
            <v>-767</v>
          </cell>
          <cell r="S12">
            <v>-601.89285714285711</v>
          </cell>
          <cell r="T12">
            <v>-767</v>
          </cell>
          <cell r="U12">
            <v>-750</v>
          </cell>
          <cell r="V12">
            <v>-601.89285714285711</v>
          </cell>
          <cell r="W12">
            <v>-413</v>
          </cell>
          <cell r="X12">
            <v>-405</v>
          </cell>
          <cell r="Y12">
            <v>-317.07142857142856</v>
          </cell>
          <cell r="AA12">
            <v>0</v>
          </cell>
          <cell r="AB12">
            <v>-12.178571428571429</v>
          </cell>
          <cell r="AF12">
            <v>0</v>
          </cell>
          <cell r="AG12">
            <v>2.6428571428571428</v>
          </cell>
          <cell r="AL12">
            <v>-148</v>
          </cell>
          <cell r="AM12">
            <v>-345</v>
          </cell>
          <cell r="AN12">
            <v>-275.28571428571428</v>
          </cell>
          <cell r="AR12">
            <v>-561</v>
          </cell>
          <cell r="AS12">
            <v>-750</v>
          </cell>
          <cell r="AT12">
            <v>-592.35714285714289</v>
          </cell>
          <cell r="AV12">
            <v>-16.321428571428573</v>
          </cell>
          <cell r="AW12">
            <v>-74.857142857142861</v>
          </cell>
          <cell r="AX12">
            <v>-90.678571428571431</v>
          </cell>
          <cell r="AY12">
            <v>-73.642857142857139</v>
          </cell>
          <cell r="AZ12">
            <v>-27.071428571428573</v>
          </cell>
          <cell r="BA12">
            <v>-34.5</v>
          </cell>
          <cell r="BB12">
            <v>-212.03571428571428</v>
          </cell>
          <cell r="BC12">
            <v>1.5</v>
          </cell>
          <cell r="BD12">
            <v>-59.5</v>
          </cell>
          <cell r="BE12">
            <v>-5.25</v>
          </cell>
          <cell r="BJ12">
            <v>-15</v>
          </cell>
          <cell r="BK12">
            <v>-110</v>
          </cell>
          <cell r="BL12">
            <v>-100</v>
          </cell>
          <cell r="BM12">
            <v>-100</v>
          </cell>
          <cell r="BN12">
            <v>-35</v>
          </cell>
          <cell r="BO12">
            <v>-45</v>
          </cell>
          <cell r="BP12">
            <v>-225</v>
          </cell>
          <cell r="BQ12">
            <v>-40</v>
          </cell>
          <cell r="BR12">
            <v>-80</v>
          </cell>
          <cell r="BS12">
            <v>0</v>
          </cell>
          <cell r="BY12">
            <v>-4.2132499999999995</v>
          </cell>
          <cell r="CD12">
            <v>-4.2132499999999995</v>
          </cell>
        </row>
        <row r="13">
          <cell r="A13">
            <v>8</v>
          </cell>
          <cell r="B13">
            <v>0</v>
          </cell>
          <cell r="C13">
            <v>-78</v>
          </cell>
          <cell r="D13">
            <v>-37</v>
          </cell>
          <cell r="E13">
            <v>-294</v>
          </cell>
          <cell r="F13">
            <v>-18</v>
          </cell>
          <cell r="G13">
            <v>-121</v>
          </cell>
          <cell r="H13">
            <v>-105</v>
          </cell>
          <cell r="I13">
            <v>-46</v>
          </cell>
          <cell r="J13">
            <v>-99</v>
          </cell>
          <cell r="K13">
            <v>-40</v>
          </cell>
          <cell r="L13">
            <v>-131</v>
          </cell>
          <cell r="M13">
            <v>-331</v>
          </cell>
          <cell r="P13">
            <v>-1300</v>
          </cell>
          <cell r="S13">
            <v>-601.89285714285711</v>
          </cell>
          <cell r="T13">
            <v>-1300</v>
          </cell>
          <cell r="U13">
            <v>-750</v>
          </cell>
          <cell r="V13">
            <v>-601.89285714285711</v>
          </cell>
          <cell r="W13">
            <v>-429</v>
          </cell>
          <cell r="X13">
            <v>-405</v>
          </cell>
          <cell r="Y13">
            <v>-317.07142857142856</v>
          </cell>
          <cell r="AA13">
            <v>0</v>
          </cell>
          <cell r="AB13">
            <v>-12.178571428571429</v>
          </cell>
          <cell r="AF13">
            <v>0</v>
          </cell>
          <cell r="AG13">
            <v>2.6428571428571428</v>
          </cell>
          <cell r="AL13">
            <v>-409</v>
          </cell>
          <cell r="AM13">
            <v>-345</v>
          </cell>
          <cell r="AN13">
            <v>-275.28571428571428</v>
          </cell>
          <cell r="AR13">
            <v>-838</v>
          </cell>
          <cell r="AS13">
            <v>-750</v>
          </cell>
          <cell r="AT13">
            <v>-592.35714285714289</v>
          </cell>
          <cell r="AV13">
            <v>-16.321428571428573</v>
          </cell>
          <cell r="AW13">
            <v>-74.857142857142861</v>
          </cell>
          <cell r="AX13">
            <v>-90.678571428571431</v>
          </cell>
          <cell r="AY13">
            <v>-73.642857142857139</v>
          </cell>
          <cell r="AZ13">
            <v>-27.071428571428573</v>
          </cell>
          <cell r="BA13">
            <v>-34.5</v>
          </cell>
          <cell r="BB13">
            <v>-212.03571428571428</v>
          </cell>
          <cell r="BC13">
            <v>1.5</v>
          </cell>
          <cell r="BD13">
            <v>-59.5</v>
          </cell>
          <cell r="BE13">
            <v>-5.25</v>
          </cell>
          <cell r="BJ13">
            <v>-15</v>
          </cell>
          <cell r="BK13">
            <v>-110</v>
          </cell>
          <cell r="BL13">
            <v>-100</v>
          </cell>
          <cell r="BM13">
            <v>-100</v>
          </cell>
          <cell r="BN13">
            <v>-35</v>
          </cell>
          <cell r="BO13">
            <v>-45</v>
          </cell>
          <cell r="BP13">
            <v>-225</v>
          </cell>
          <cell r="BQ13">
            <v>-40</v>
          </cell>
          <cell r="BR13">
            <v>-80</v>
          </cell>
          <cell r="BS13">
            <v>0</v>
          </cell>
          <cell r="BY13">
            <v>-4.8151428571428569</v>
          </cell>
          <cell r="CD13">
            <v>-4.8151428571428569</v>
          </cell>
        </row>
        <row r="14">
          <cell r="A14">
            <v>9</v>
          </cell>
          <cell r="B14">
            <v>0</v>
          </cell>
          <cell r="C14">
            <v>-74</v>
          </cell>
          <cell r="D14">
            <v>-44</v>
          </cell>
          <cell r="E14">
            <v>-413</v>
          </cell>
          <cell r="F14">
            <v>-20</v>
          </cell>
          <cell r="G14">
            <v>-120</v>
          </cell>
          <cell r="H14">
            <v>-105</v>
          </cell>
          <cell r="I14">
            <v>-46</v>
          </cell>
          <cell r="J14">
            <v>-100</v>
          </cell>
          <cell r="K14">
            <v>-40</v>
          </cell>
          <cell r="L14">
            <v>-181</v>
          </cell>
          <cell r="M14">
            <v>-219</v>
          </cell>
          <cell r="P14">
            <v>-1362</v>
          </cell>
          <cell r="S14">
            <v>-601.89285714285711</v>
          </cell>
          <cell r="T14">
            <v>-1362</v>
          </cell>
          <cell r="U14">
            <v>-750</v>
          </cell>
          <cell r="V14">
            <v>-601.89285714285711</v>
          </cell>
          <cell r="W14">
            <v>-431</v>
          </cell>
          <cell r="X14">
            <v>-405</v>
          </cell>
          <cell r="Y14">
            <v>-317.07142857142856</v>
          </cell>
          <cell r="AA14">
            <v>0</v>
          </cell>
          <cell r="AB14">
            <v>-12.178571428571429</v>
          </cell>
          <cell r="AF14">
            <v>0</v>
          </cell>
          <cell r="AG14">
            <v>2.6428571428571428</v>
          </cell>
          <cell r="AL14">
            <v>-531</v>
          </cell>
          <cell r="AM14">
            <v>-345</v>
          </cell>
          <cell r="AN14">
            <v>-275.28571428571428</v>
          </cell>
          <cell r="AR14">
            <v>-962</v>
          </cell>
          <cell r="AS14">
            <v>-750</v>
          </cell>
          <cell r="AT14">
            <v>-592.35714285714289</v>
          </cell>
          <cell r="AV14">
            <v>-16.321428571428573</v>
          </cell>
          <cell r="AW14">
            <v>-74.857142857142861</v>
          </cell>
          <cell r="AX14">
            <v>-90.678571428571431</v>
          </cell>
          <cell r="AY14">
            <v>-73.642857142857139</v>
          </cell>
          <cell r="AZ14">
            <v>-27.071428571428573</v>
          </cell>
          <cell r="BA14">
            <v>-34.5</v>
          </cell>
          <cell r="BB14">
            <v>-212.03571428571428</v>
          </cell>
          <cell r="BC14">
            <v>1.5</v>
          </cell>
          <cell r="BD14">
            <v>-59.5</v>
          </cell>
          <cell r="BE14">
            <v>-5.25</v>
          </cell>
          <cell r="BJ14">
            <v>-15</v>
          </cell>
          <cell r="BK14">
            <v>-110</v>
          </cell>
          <cell r="BL14">
            <v>-100</v>
          </cell>
          <cell r="BM14">
            <v>-100</v>
          </cell>
          <cell r="BN14">
            <v>-35</v>
          </cell>
          <cell r="BO14">
            <v>-45</v>
          </cell>
          <cell r="BP14">
            <v>-225</v>
          </cell>
          <cell r="BQ14">
            <v>-40</v>
          </cell>
          <cell r="BR14">
            <v>-80</v>
          </cell>
          <cell r="BS14">
            <v>0</v>
          </cell>
          <cell r="BY14">
            <v>-5.4170357142857144</v>
          </cell>
          <cell r="CD14">
            <v>-5.4170357142857144</v>
          </cell>
        </row>
        <row r="15">
          <cell r="A15">
            <v>10</v>
          </cell>
          <cell r="B15">
            <v>0</v>
          </cell>
          <cell r="C15">
            <v>-71</v>
          </cell>
          <cell r="D15">
            <v>-14</v>
          </cell>
          <cell r="E15">
            <v>-286</v>
          </cell>
          <cell r="F15">
            <v>-18</v>
          </cell>
          <cell r="G15">
            <v>-86</v>
          </cell>
          <cell r="H15">
            <v>-105</v>
          </cell>
          <cell r="I15">
            <v>-38</v>
          </cell>
          <cell r="J15">
            <v>-80</v>
          </cell>
          <cell r="K15">
            <v>-35</v>
          </cell>
          <cell r="L15">
            <v>-87</v>
          </cell>
          <cell r="M15">
            <v>-203</v>
          </cell>
          <cell r="P15">
            <v>-1023</v>
          </cell>
          <cell r="S15">
            <v>-601.89285714285711</v>
          </cell>
          <cell r="T15">
            <v>-1023</v>
          </cell>
          <cell r="U15">
            <v>-750</v>
          </cell>
          <cell r="V15">
            <v>-601.89285714285711</v>
          </cell>
          <cell r="W15">
            <v>-362</v>
          </cell>
          <cell r="X15">
            <v>-405</v>
          </cell>
          <cell r="Y15">
            <v>-317.07142857142856</v>
          </cell>
          <cell r="AA15">
            <v>0</v>
          </cell>
          <cell r="AB15">
            <v>-12.178571428571429</v>
          </cell>
          <cell r="AF15">
            <v>0</v>
          </cell>
          <cell r="AG15">
            <v>2.6428571428571428</v>
          </cell>
          <cell r="AL15">
            <v>-371</v>
          </cell>
          <cell r="AM15">
            <v>-345</v>
          </cell>
          <cell r="AN15">
            <v>-275.28571428571428</v>
          </cell>
          <cell r="AR15">
            <v>-733</v>
          </cell>
          <cell r="AS15">
            <v>-750</v>
          </cell>
          <cell r="AT15">
            <v>-592.35714285714289</v>
          </cell>
          <cell r="AV15">
            <v>-16.321428571428573</v>
          </cell>
          <cell r="AW15">
            <v>-74.857142857142861</v>
          </cell>
          <cell r="AX15">
            <v>-90.678571428571431</v>
          </cell>
          <cell r="AY15">
            <v>-73.642857142857139</v>
          </cell>
          <cell r="AZ15">
            <v>-27.071428571428573</v>
          </cell>
          <cell r="BA15">
            <v>-34.5</v>
          </cell>
          <cell r="BB15">
            <v>-212.03571428571428</v>
          </cell>
          <cell r="BC15">
            <v>1.5</v>
          </cell>
          <cell r="BD15">
            <v>-59.5</v>
          </cell>
          <cell r="BE15">
            <v>-5.25</v>
          </cell>
          <cell r="BJ15">
            <v>-15</v>
          </cell>
          <cell r="BK15">
            <v>-110</v>
          </cell>
          <cell r="BL15">
            <v>-100</v>
          </cell>
          <cell r="BM15">
            <v>-100</v>
          </cell>
          <cell r="BN15">
            <v>-35</v>
          </cell>
          <cell r="BO15">
            <v>-45</v>
          </cell>
          <cell r="BP15">
            <v>-225</v>
          </cell>
          <cell r="BQ15">
            <v>-40</v>
          </cell>
          <cell r="BR15">
            <v>-80</v>
          </cell>
          <cell r="BS15">
            <v>0</v>
          </cell>
          <cell r="BY15">
            <v>-6.0189285714285718</v>
          </cell>
          <cell r="CD15">
            <v>-6.0189285714285718</v>
          </cell>
        </row>
        <row r="16">
          <cell r="A16">
            <v>11</v>
          </cell>
          <cell r="B16">
            <v>0</v>
          </cell>
          <cell r="C16">
            <v>-54</v>
          </cell>
          <cell r="D16">
            <v>2</v>
          </cell>
          <cell r="E16">
            <v>-269</v>
          </cell>
          <cell r="F16">
            <v>-18</v>
          </cell>
          <cell r="G16">
            <v>-101</v>
          </cell>
          <cell r="H16">
            <v>-105</v>
          </cell>
          <cell r="I16">
            <v>-40</v>
          </cell>
          <cell r="J16">
            <v>-77</v>
          </cell>
          <cell r="K16">
            <v>-38</v>
          </cell>
          <cell r="L16">
            <v>-8</v>
          </cell>
          <cell r="M16">
            <v>-100</v>
          </cell>
          <cell r="P16">
            <v>-808</v>
          </cell>
          <cell r="S16">
            <v>-601.89285714285711</v>
          </cell>
          <cell r="T16">
            <v>-808</v>
          </cell>
          <cell r="U16">
            <v>-750</v>
          </cell>
          <cell r="V16">
            <v>-601.89285714285711</v>
          </cell>
          <cell r="W16">
            <v>-379</v>
          </cell>
          <cell r="X16">
            <v>-405</v>
          </cell>
          <cell r="Y16">
            <v>-317.07142857142856</v>
          </cell>
          <cell r="AA16">
            <v>0</v>
          </cell>
          <cell r="AB16">
            <v>-12.178571428571429</v>
          </cell>
          <cell r="AF16">
            <v>0</v>
          </cell>
          <cell r="AG16">
            <v>2.6428571428571428</v>
          </cell>
          <cell r="AL16">
            <v>-321</v>
          </cell>
          <cell r="AM16">
            <v>-345</v>
          </cell>
          <cell r="AN16">
            <v>-275.28571428571428</v>
          </cell>
          <cell r="AR16">
            <v>-700</v>
          </cell>
          <cell r="AS16">
            <v>-750</v>
          </cell>
          <cell r="AT16">
            <v>-592.35714285714289</v>
          </cell>
          <cell r="AV16">
            <v>-16.321428571428573</v>
          </cell>
          <cell r="AW16">
            <v>-74.857142857142861</v>
          </cell>
          <cell r="AX16">
            <v>-90.678571428571431</v>
          </cell>
          <cell r="AY16">
            <v>-73.642857142857139</v>
          </cell>
          <cell r="AZ16">
            <v>-27.071428571428573</v>
          </cell>
          <cell r="BA16">
            <v>-34.5</v>
          </cell>
          <cell r="BB16">
            <v>-212.03571428571428</v>
          </cell>
          <cell r="BC16">
            <v>1.5</v>
          </cell>
          <cell r="BD16">
            <v>-59.5</v>
          </cell>
          <cell r="BE16">
            <v>-5.25</v>
          </cell>
          <cell r="BJ16">
            <v>-15</v>
          </cell>
          <cell r="BK16">
            <v>-110</v>
          </cell>
          <cell r="BL16">
            <v>-100</v>
          </cell>
          <cell r="BM16">
            <v>-100</v>
          </cell>
          <cell r="BN16">
            <v>-35</v>
          </cell>
          <cell r="BO16">
            <v>-45</v>
          </cell>
          <cell r="BP16">
            <v>-225</v>
          </cell>
          <cell r="BQ16">
            <v>-40</v>
          </cell>
          <cell r="BR16">
            <v>-80</v>
          </cell>
          <cell r="BS16">
            <v>0</v>
          </cell>
          <cell r="BY16">
            <v>-6.6208214285714293</v>
          </cell>
          <cell r="CD16">
            <v>-6.6208214285714293</v>
          </cell>
        </row>
        <row r="17">
          <cell r="A17">
            <v>12</v>
          </cell>
          <cell r="B17">
            <v>46</v>
          </cell>
          <cell r="C17">
            <v>-25</v>
          </cell>
          <cell r="D17">
            <v>0</v>
          </cell>
          <cell r="E17">
            <v>-48</v>
          </cell>
          <cell r="F17">
            <v>-18</v>
          </cell>
          <cell r="G17">
            <v>-9</v>
          </cell>
          <cell r="H17">
            <v>-105</v>
          </cell>
          <cell r="I17">
            <v>-4</v>
          </cell>
          <cell r="J17">
            <v>-96</v>
          </cell>
          <cell r="K17">
            <v>-3</v>
          </cell>
          <cell r="L17">
            <v>0</v>
          </cell>
          <cell r="M17">
            <v>192</v>
          </cell>
          <cell r="P17">
            <v>-70</v>
          </cell>
          <cell r="S17">
            <v>-601.89285714285711</v>
          </cell>
          <cell r="T17">
            <v>-70</v>
          </cell>
          <cell r="U17">
            <v>-750</v>
          </cell>
          <cell r="V17">
            <v>-601.89285714285711</v>
          </cell>
          <cell r="W17">
            <v>-235</v>
          </cell>
          <cell r="X17">
            <v>-405</v>
          </cell>
          <cell r="Y17">
            <v>-317.07142857142856</v>
          </cell>
          <cell r="AA17">
            <v>0</v>
          </cell>
          <cell r="AB17">
            <v>-12.178571428571429</v>
          </cell>
          <cell r="AF17">
            <v>0</v>
          </cell>
          <cell r="AG17">
            <v>2.6428571428571428</v>
          </cell>
          <cell r="AL17">
            <v>-73</v>
          </cell>
          <cell r="AM17">
            <v>-345</v>
          </cell>
          <cell r="AN17">
            <v>-275.28571428571428</v>
          </cell>
          <cell r="AR17">
            <v>-308</v>
          </cell>
          <cell r="AS17">
            <v>-750</v>
          </cell>
          <cell r="AT17">
            <v>-592.35714285714289</v>
          </cell>
          <cell r="AV17">
            <v>-16.321428571428573</v>
          </cell>
          <cell r="AW17">
            <v>-74.857142857142861</v>
          </cell>
          <cell r="AX17">
            <v>-90.678571428571431</v>
          </cell>
          <cell r="AY17">
            <v>-73.642857142857139</v>
          </cell>
          <cell r="AZ17">
            <v>-27.071428571428573</v>
          </cell>
          <cell r="BA17">
            <v>-34.5</v>
          </cell>
          <cell r="BB17">
            <v>-212.03571428571428</v>
          </cell>
          <cell r="BC17">
            <v>1.5</v>
          </cell>
          <cell r="BD17">
            <v>-59.5</v>
          </cell>
          <cell r="BE17">
            <v>-5.25</v>
          </cell>
          <cell r="BJ17">
            <v>-15</v>
          </cell>
          <cell r="BK17">
            <v>-110</v>
          </cell>
          <cell r="BL17">
            <v>-100</v>
          </cell>
          <cell r="BM17">
            <v>-100</v>
          </cell>
          <cell r="BN17">
            <v>-35</v>
          </cell>
          <cell r="BO17">
            <v>-45</v>
          </cell>
          <cell r="BP17">
            <v>-225</v>
          </cell>
          <cell r="BQ17">
            <v>-40</v>
          </cell>
          <cell r="BR17">
            <v>-80</v>
          </cell>
          <cell r="BS17">
            <v>0</v>
          </cell>
          <cell r="BY17">
            <v>-7.2227142857142868</v>
          </cell>
          <cell r="CD17">
            <v>-7.2227142857142868</v>
          </cell>
        </row>
        <row r="18">
          <cell r="A18">
            <v>13</v>
          </cell>
          <cell r="B18">
            <v>38</v>
          </cell>
          <cell r="C18">
            <v>-69</v>
          </cell>
          <cell r="D18">
            <v>39</v>
          </cell>
          <cell r="E18">
            <v>-136</v>
          </cell>
          <cell r="F18">
            <v>-17</v>
          </cell>
          <cell r="G18">
            <v>0</v>
          </cell>
          <cell r="H18">
            <v>-105</v>
          </cell>
          <cell r="I18">
            <v>0</v>
          </cell>
          <cell r="J18">
            <v>-87</v>
          </cell>
          <cell r="K18">
            <v>0</v>
          </cell>
          <cell r="L18">
            <v>0</v>
          </cell>
          <cell r="M18">
            <v>233</v>
          </cell>
          <cell r="P18">
            <v>-104</v>
          </cell>
          <cell r="S18">
            <v>-601.89285714285711</v>
          </cell>
          <cell r="T18">
            <v>-104</v>
          </cell>
          <cell r="U18">
            <v>-750</v>
          </cell>
          <cell r="V18">
            <v>-601.89285714285711</v>
          </cell>
          <cell r="W18">
            <v>-209</v>
          </cell>
          <cell r="X18">
            <v>-405</v>
          </cell>
          <cell r="Y18">
            <v>-317.07142857142856</v>
          </cell>
          <cell r="AA18">
            <v>0</v>
          </cell>
          <cell r="AB18">
            <v>-12.178571428571429</v>
          </cell>
          <cell r="AF18">
            <v>0</v>
          </cell>
          <cell r="AG18">
            <v>2.6428571428571428</v>
          </cell>
          <cell r="AL18">
            <v>-166</v>
          </cell>
          <cell r="AM18">
            <v>-345</v>
          </cell>
          <cell r="AN18">
            <v>-275.28571428571428</v>
          </cell>
          <cell r="AR18">
            <v>-375</v>
          </cell>
          <cell r="AS18">
            <v>-750</v>
          </cell>
          <cell r="AT18">
            <v>-592.35714285714289</v>
          </cell>
          <cell r="AV18">
            <v>-16.321428571428573</v>
          </cell>
          <cell r="AW18">
            <v>-74.857142857142861</v>
          </cell>
          <cell r="AX18">
            <v>-90.678571428571431</v>
          </cell>
          <cell r="AY18">
            <v>-73.642857142857139</v>
          </cell>
          <cell r="AZ18">
            <v>-27.071428571428573</v>
          </cell>
          <cell r="BA18">
            <v>-34.5</v>
          </cell>
          <cell r="BB18">
            <v>-212.03571428571428</v>
          </cell>
          <cell r="BC18">
            <v>1.5</v>
          </cell>
          <cell r="BD18">
            <v>-59.5</v>
          </cell>
          <cell r="BE18">
            <v>-5.25</v>
          </cell>
          <cell r="BJ18">
            <v>-15</v>
          </cell>
          <cell r="BK18">
            <v>-110</v>
          </cell>
          <cell r="BL18">
            <v>-100</v>
          </cell>
          <cell r="BM18">
            <v>-100</v>
          </cell>
          <cell r="BN18">
            <v>-35</v>
          </cell>
          <cell r="BO18">
            <v>-45</v>
          </cell>
          <cell r="BP18">
            <v>-225</v>
          </cell>
          <cell r="BQ18">
            <v>-40</v>
          </cell>
          <cell r="BR18">
            <v>-80</v>
          </cell>
          <cell r="BS18">
            <v>0</v>
          </cell>
          <cell r="BY18">
            <v>-7.8246071428571442</v>
          </cell>
          <cell r="CD18">
            <v>-7.8246071428571442</v>
          </cell>
        </row>
        <row r="19">
          <cell r="A19">
            <v>14</v>
          </cell>
          <cell r="B19">
            <v>-15</v>
          </cell>
          <cell r="C19">
            <v>-71</v>
          </cell>
          <cell r="D19">
            <v>4</v>
          </cell>
          <cell r="E19">
            <v>-250</v>
          </cell>
          <cell r="F19">
            <v>-17</v>
          </cell>
          <cell r="G19">
            <v>0</v>
          </cell>
          <cell r="H19">
            <v>-91</v>
          </cell>
          <cell r="I19">
            <v>0</v>
          </cell>
          <cell r="J19">
            <v>-85</v>
          </cell>
          <cell r="K19">
            <v>0</v>
          </cell>
          <cell r="L19">
            <v>0</v>
          </cell>
          <cell r="M19">
            <v>23</v>
          </cell>
          <cell r="P19">
            <v>-502</v>
          </cell>
          <cell r="S19">
            <v>-601.89285714285711</v>
          </cell>
          <cell r="T19">
            <v>-502</v>
          </cell>
          <cell r="U19">
            <v>-750</v>
          </cell>
          <cell r="V19">
            <v>-601.89285714285711</v>
          </cell>
          <cell r="W19">
            <v>-193</v>
          </cell>
          <cell r="X19">
            <v>-405</v>
          </cell>
          <cell r="Y19">
            <v>-317.07142857142856</v>
          </cell>
          <cell r="AA19">
            <v>0</v>
          </cell>
          <cell r="AB19">
            <v>-12.178571428571429</v>
          </cell>
          <cell r="AF19">
            <v>0</v>
          </cell>
          <cell r="AG19">
            <v>2.6428571428571428</v>
          </cell>
          <cell r="AL19">
            <v>-317</v>
          </cell>
          <cell r="AM19">
            <v>-345</v>
          </cell>
          <cell r="AN19">
            <v>-275.28571428571428</v>
          </cell>
          <cell r="AR19">
            <v>-510</v>
          </cell>
          <cell r="AS19">
            <v>-750</v>
          </cell>
          <cell r="AT19">
            <v>-592.35714285714289</v>
          </cell>
          <cell r="AV19">
            <v>-16.321428571428573</v>
          </cell>
          <cell r="AW19">
            <v>-74.857142857142861</v>
          </cell>
          <cell r="AX19">
            <v>-90.678571428571431</v>
          </cell>
          <cell r="AY19">
            <v>-73.642857142857139</v>
          </cell>
          <cell r="AZ19">
            <v>-27.071428571428573</v>
          </cell>
          <cell r="BA19">
            <v>-34.5</v>
          </cell>
          <cell r="BB19">
            <v>-212.03571428571428</v>
          </cell>
          <cell r="BC19">
            <v>1.5</v>
          </cell>
          <cell r="BD19">
            <v>-59.5</v>
          </cell>
          <cell r="BE19">
            <v>-5.25</v>
          </cell>
          <cell r="BJ19">
            <v>-15</v>
          </cell>
          <cell r="BK19">
            <v>-110</v>
          </cell>
          <cell r="BL19">
            <v>-100</v>
          </cell>
          <cell r="BM19">
            <v>-100</v>
          </cell>
          <cell r="BN19">
            <v>-35</v>
          </cell>
          <cell r="BO19">
            <v>-45</v>
          </cell>
          <cell r="BP19">
            <v>-225</v>
          </cell>
          <cell r="BQ19">
            <v>-40</v>
          </cell>
          <cell r="BR19">
            <v>-80</v>
          </cell>
          <cell r="BS19">
            <v>0</v>
          </cell>
          <cell r="BY19">
            <v>-8.4265000000000008</v>
          </cell>
          <cell r="CD19">
            <v>-8.4265000000000008</v>
          </cell>
        </row>
        <row r="20">
          <cell r="A20">
            <v>15</v>
          </cell>
          <cell r="B20">
            <v>-33</v>
          </cell>
          <cell r="C20">
            <v>-38</v>
          </cell>
          <cell r="D20">
            <v>81</v>
          </cell>
          <cell r="E20">
            <v>-256</v>
          </cell>
          <cell r="F20">
            <v>-17</v>
          </cell>
          <cell r="G20">
            <v>-87</v>
          </cell>
          <cell r="H20">
            <v>-92</v>
          </cell>
          <cell r="I20">
            <v>-28</v>
          </cell>
          <cell r="J20">
            <v>-78</v>
          </cell>
          <cell r="K20">
            <v>-29</v>
          </cell>
          <cell r="L20">
            <v>0</v>
          </cell>
          <cell r="M20">
            <v>290</v>
          </cell>
          <cell r="P20">
            <v>-287</v>
          </cell>
          <cell r="S20">
            <v>-601.89285714285711</v>
          </cell>
          <cell r="T20">
            <v>-287</v>
          </cell>
          <cell r="U20">
            <v>-750</v>
          </cell>
          <cell r="V20">
            <v>-601.89285714285711</v>
          </cell>
          <cell r="W20">
            <v>-331</v>
          </cell>
          <cell r="X20">
            <v>-405</v>
          </cell>
          <cell r="Y20">
            <v>-317.07142857142856</v>
          </cell>
          <cell r="AA20">
            <v>0</v>
          </cell>
          <cell r="AB20">
            <v>-12.178571428571429</v>
          </cell>
          <cell r="AF20">
            <v>0</v>
          </cell>
          <cell r="AG20">
            <v>2.6428571428571428</v>
          </cell>
          <cell r="AL20">
            <v>-213</v>
          </cell>
          <cell r="AM20">
            <v>-345</v>
          </cell>
          <cell r="AN20">
            <v>-275.28571428571428</v>
          </cell>
          <cell r="AR20">
            <v>-544</v>
          </cell>
          <cell r="AS20">
            <v>-750</v>
          </cell>
          <cell r="AT20">
            <v>-592.35714285714289</v>
          </cell>
          <cell r="AV20">
            <v>-16.321428571428573</v>
          </cell>
          <cell r="AW20">
            <v>-74.857142857142861</v>
          </cell>
          <cell r="AX20">
            <v>-90.678571428571431</v>
          </cell>
          <cell r="AY20">
            <v>-73.642857142857139</v>
          </cell>
          <cell r="AZ20">
            <v>-27.071428571428573</v>
          </cell>
          <cell r="BA20">
            <v>-34.5</v>
          </cell>
          <cell r="BB20">
            <v>-212.03571428571428</v>
          </cell>
          <cell r="BC20">
            <v>1.5</v>
          </cell>
          <cell r="BD20">
            <v>-59.5</v>
          </cell>
          <cell r="BE20">
            <v>-5.25</v>
          </cell>
          <cell r="BJ20">
            <v>-15</v>
          </cell>
          <cell r="BK20">
            <v>-110</v>
          </cell>
          <cell r="BL20">
            <v>-100</v>
          </cell>
          <cell r="BM20">
            <v>-100</v>
          </cell>
          <cell r="BN20">
            <v>-35</v>
          </cell>
          <cell r="BO20">
            <v>-45</v>
          </cell>
          <cell r="BP20">
            <v>-225</v>
          </cell>
          <cell r="BQ20">
            <v>-40</v>
          </cell>
          <cell r="BR20">
            <v>-80</v>
          </cell>
          <cell r="BS20">
            <v>0</v>
          </cell>
          <cell r="BY20">
            <v>-9.0283928571428582</v>
          </cell>
          <cell r="CD20">
            <v>-9.0283928571428582</v>
          </cell>
        </row>
        <row r="21">
          <cell r="A21">
            <v>16</v>
          </cell>
          <cell r="B21">
            <v>-77</v>
          </cell>
          <cell r="C21">
            <v>-22</v>
          </cell>
          <cell r="D21">
            <v>-18</v>
          </cell>
          <cell r="E21">
            <v>-260</v>
          </cell>
          <cell r="F21">
            <v>-17</v>
          </cell>
          <cell r="G21">
            <v>-118</v>
          </cell>
          <cell r="H21">
            <v>-93</v>
          </cell>
          <cell r="I21">
            <v>-45</v>
          </cell>
          <cell r="J21">
            <v>-78</v>
          </cell>
          <cell r="K21">
            <v>-41</v>
          </cell>
          <cell r="L21">
            <v>0</v>
          </cell>
          <cell r="M21">
            <v>271</v>
          </cell>
          <cell r="P21">
            <v>-498</v>
          </cell>
          <cell r="S21">
            <v>-601.89285714285711</v>
          </cell>
          <cell r="T21">
            <v>-498</v>
          </cell>
          <cell r="U21">
            <v>-750</v>
          </cell>
          <cell r="V21">
            <v>-601.89285714285711</v>
          </cell>
          <cell r="W21">
            <v>-392</v>
          </cell>
          <cell r="X21">
            <v>-405</v>
          </cell>
          <cell r="Y21">
            <v>-317.07142857142856</v>
          </cell>
          <cell r="AA21">
            <v>0</v>
          </cell>
          <cell r="AB21">
            <v>-12.178571428571429</v>
          </cell>
          <cell r="AF21">
            <v>0</v>
          </cell>
          <cell r="AG21">
            <v>2.6428571428571428</v>
          </cell>
          <cell r="AL21">
            <v>-300</v>
          </cell>
          <cell r="AM21">
            <v>-345</v>
          </cell>
          <cell r="AN21">
            <v>-275.28571428571428</v>
          </cell>
          <cell r="AR21">
            <v>-692</v>
          </cell>
          <cell r="AS21">
            <v>-750</v>
          </cell>
          <cell r="AT21">
            <v>-592.35714285714289</v>
          </cell>
          <cell r="AV21">
            <v>-16.321428571428573</v>
          </cell>
          <cell r="AW21">
            <v>-74.857142857142861</v>
          </cell>
          <cell r="AX21">
            <v>-90.678571428571431</v>
          </cell>
          <cell r="AY21">
            <v>-73.642857142857139</v>
          </cell>
          <cell r="AZ21">
            <v>-27.071428571428573</v>
          </cell>
          <cell r="BA21">
            <v>-34.5</v>
          </cell>
          <cell r="BB21">
            <v>-212.03571428571428</v>
          </cell>
          <cell r="BC21">
            <v>1.5</v>
          </cell>
          <cell r="BD21">
            <v>-59.5</v>
          </cell>
          <cell r="BE21">
            <v>-5.25</v>
          </cell>
          <cell r="BJ21">
            <v>-15</v>
          </cell>
          <cell r="BK21">
            <v>-110</v>
          </cell>
          <cell r="BL21">
            <v>-100</v>
          </cell>
          <cell r="BM21">
            <v>-100</v>
          </cell>
          <cell r="BN21">
            <v>-35</v>
          </cell>
          <cell r="BO21">
            <v>-45</v>
          </cell>
          <cell r="BP21">
            <v>-225</v>
          </cell>
          <cell r="BQ21">
            <v>-40</v>
          </cell>
          <cell r="BR21">
            <v>-80</v>
          </cell>
          <cell r="BS21">
            <v>0</v>
          </cell>
          <cell r="BY21">
            <v>-9.6302857142857157</v>
          </cell>
          <cell r="CD21">
            <v>-9.6302857142857157</v>
          </cell>
        </row>
        <row r="22">
          <cell r="A22">
            <v>17</v>
          </cell>
          <cell r="B22">
            <v>-129</v>
          </cell>
          <cell r="C22">
            <v>-75</v>
          </cell>
          <cell r="D22">
            <v>-46</v>
          </cell>
          <cell r="E22">
            <v>-500</v>
          </cell>
          <cell r="F22">
            <v>-29</v>
          </cell>
          <cell r="G22">
            <v>-113</v>
          </cell>
          <cell r="H22">
            <v>-119</v>
          </cell>
          <cell r="I22">
            <v>-46</v>
          </cell>
          <cell r="J22">
            <v>-80</v>
          </cell>
          <cell r="K22">
            <v>-40</v>
          </cell>
          <cell r="L22">
            <v>0</v>
          </cell>
          <cell r="M22">
            <v>-244</v>
          </cell>
          <cell r="P22">
            <v>-1421</v>
          </cell>
          <cell r="S22">
            <v>-601.89285714285711</v>
          </cell>
          <cell r="T22">
            <v>-1421</v>
          </cell>
          <cell r="U22">
            <v>-750</v>
          </cell>
          <cell r="V22">
            <v>-601.89285714285711</v>
          </cell>
          <cell r="W22">
            <v>-427</v>
          </cell>
          <cell r="X22">
            <v>-405</v>
          </cell>
          <cell r="Y22">
            <v>-317.07142857142856</v>
          </cell>
          <cell r="AA22">
            <v>0</v>
          </cell>
          <cell r="AB22">
            <v>-12.178571428571429</v>
          </cell>
          <cell r="AF22">
            <v>0</v>
          </cell>
          <cell r="AG22">
            <v>2.6428571428571428</v>
          </cell>
          <cell r="AL22">
            <v>-621</v>
          </cell>
          <cell r="AM22">
            <v>-345</v>
          </cell>
          <cell r="AN22">
            <v>-275.28571428571428</v>
          </cell>
          <cell r="AR22">
            <v>-1048</v>
          </cell>
          <cell r="AS22">
            <v>-750</v>
          </cell>
          <cell r="AT22">
            <v>-592.35714285714289</v>
          </cell>
          <cell r="AV22">
            <v>-16.321428571428573</v>
          </cell>
          <cell r="AW22">
            <v>-74.857142857142861</v>
          </cell>
          <cell r="AX22">
            <v>-90.678571428571431</v>
          </cell>
          <cell r="AY22">
            <v>-73.642857142857139</v>
          </cell>
          <cell r="AZ22">
            <v>-27.071428571428573</v>
          </cell>
          <cell r="BA22">
            <v>-34.5</v>
          </cell>
          <cell r="BB22">
            <v>-212.03571428571428</v>
          </cell>
          <cell r="BC22">
            <v>1.5</v>
          </cell>
          <cell r="BD22">
            <v>-59.5</v>
          </cell>
          <cell r="BE22">
            <v>-5.25</v>
          </cell>
          <cell r="BJ22">
            <v>-15</v>
          </cell>
          <cell r="BK22">
            <v>-110</v>
          </cell>
          <cell r="BL22">
            <v>-100</v>
          </cell>
          <cell r="BM22">
            <v>-100</v>
          </cell>
          <cell r="BN22">
            <v>-35</v>
          </cell>
          <cell r="BO22">
            <v>-45</v>
          </cell>
          <cell r="BP22">
            <v>-225</v>
          </cell>
          <cell r="BQ22">
            <v>-40</v>
          </cell>
          <cell r="BR22">
            <v>-80</v>
          </cell>
          <cell r="BS22">
            <v>0</v>
          </cell>
          <cell r="BY22">
            <v>-10.232178571428573</v>
          </cell>
          <cell r="CD22">
            <v>-10.232178571428573</v>
          </cell>
        </row>
        <row r="23">
          <cell r="A23">
            <v>18</v>
          </cell>
          <cell r="B23">
            <v>-55</v>
          </cell>
          <cell r="C23">
            <v>-71</v>
          </cell>
          <cell r="D23">
            <v>-51</v>
          </cell>
          <cell r="E23">
            <v>-397</v>
          </cell>
          <cell r="F23">
            <v>-29</v>
          </cell>
          <cell r="G23">
            <v>-122</v>
          </cell>
          <cell r="H23">
            <v>-113</v>
          </cell>
          <cell r="I23">
            <v>-46</v>
          </cell>
          <cell r="J23">
            <v>-80</v>
          </cell>
          <cell r="K23">
            <v>-43</v>
          </cell>
          <cell r="L23">
            <v>0</v>
          </cell>
          <cell r="M23">
            <v>-44</v>
          </cell>
          <cell r="P23">
            <v>-1051</v>
          </cell>
          <cell r="S23">
            <v>-601.89285714285711</v>
          </cell>
          <cell r="T23">
            <v>-1051</v>
          </cell>
          <cell r="U23">
            <v>-750</v>
          </cell>
          <cell r="V23">
            <v>-601.89285714285711</v>
          </cell>
          <cell r="W23">
            <v>-433</v>
          </cell>
          <cell r="X23">
            <v>-405</v>
          </cell>
          <cell r="Y23">
            <v>-317.07142857142856</v>
          </cell>
          <cell r="AA23">
            <v>0</v>
          </cell>
          <cell r="AB23">
            <v>-12.178571428571429</v>
          </cell>
          <cell r="AF23">
            <v>0</v>
          </cell>
          <cell r="AG23">
            <v>2.6428571428571428</v>
          </cell>
          <cell r="AL23">
            <v>-519</v>
          </cell>
          <cell r="AM23">
            <v>-345</v>
          </cell>
          <cell r="AN23">
            <v>-275.28571428571428</v>
          </cell>
          <cell r="AR23">
            <v>-952</v>
          </cell>
          <cell r="AS23">
            <v>-750</v>
          </cell>
          <cell r="AT23">
            <v>-592.35714285714289</v>
          </cell>
          <cell r="AV23">
            <v>-16.321428571428573</v>
          </cell>
          <cell r="AW23">
            <v>-74.857142857142861</v>
          </cell>
          <cell r="AX23">
            <v>-90.678571428571431</v>
          </cell>
          <cell r="AY23">
            <v>-73.642857142857139</v>
          </cell>
          <cell r="AZ23">
            <v>-27.071428571428573</v>
          </cell>
          <cell r="BA23">
            <v>-34.5</v>
          </cell>
          <cell r="BB23">
            <v>-212.03571428571428</v>
          </cell>
          <cell r="BC23">
            <v>1.5</v>
          </cell>
          <cell r="BD23">
            <v>-59.5</v>
          </cell>
          <cell r="BE23">
            <v>-5.25</v>
          </cell>
          <cell r="BJ23">
            <v>-15</v>
          </cell>
          <cell r="BK23">
            <v>-110</v>
          </cell>
          <cell r="BL23">
            <v>-100</v>
          </cell>
          <cell r="BM23">
            <v>-100</v>
          </cell>
          <cell r="BN23">
            <v>-35</v>
          </cell>
          <cell r="BO23">
            <v>-45</v>
          </cell>
          <cell r="BP23">
            <v>-225</v>
          </cell>
          <cell r="BQ23">
            <v>-40</v>
          </cell>
          <cell r="BR23">
            <v>-80</v>
          </cell>
          <cell r="BS23">
            <v>0</v>
          </cell>
          <cell r="BY23">
            <v>-10.834071428571431</v>
          </cell>
          <cell r="CD23">
            <v>-10.834071428571431</v>
          </cell>
        </row>
        <row r="24">
          <cell r="A24">
            <v>19</v>
          </cell>
          <cell r="B24">
            <v>88</v>
          </cell>
          <cell r="C24">
            <v>-68</v>
          </cell>
          <cell r="D24">
            <v>-5</v>
          </cell>
          <cell r="E24">
            <v>-225</v>
          </cell>
          <cell r="F24">
            <v>-29</v>
          </cell>
          <cell r="G24">
            <v>-88</v>
          </cell>
          <cell r="H24">
            <v>-9</v>
          </cell>
          <cell r="I24">
            <v>-50</v>
          </cell>
          <cell r="J24">
            <v>-6</v>
          </cell>
          <cell r="K24">
            <v>-37</v>
          </cell>
          <cell r="L24">
            <v>0</v>
          </cell>
          <cell r="M24">
            <v>114</v>
          </cell>
          <cell r="P24">
            <v>-315</v>
          </cell>
          <cell r="U24">
            <v>-750</v>
          </cell>
          <cell r="W24">
            <v>-219</v>
          </cell>
          <cell r="X24">
            <v>-405</v>
          </cell>
          <cell r="Y24">
            <v>-317.07142857142856</v>
          </cell>
          <cell r="AA24">
            <v>0</v>
          </cell>
          <cell r="AB24">
            <v>-12.178571428571429</v>
          </cell>
          <cell r="AF24">
            <v>0</v>
          </cell>
          <cell r="AG24">
            <v>2.6428571428571428</v>
          </cell>
          <cell r="AM24">
            <v>-345</v>
          </cell>
          <cell r="AS24">
            <v>-750</v>
          </cell>
          <cell r="AV24">
            <v>-16.321428571428573</v>
          </cell>
          <cell r="AW24">
            <v>-74.857142857142861</v>
          </cell>
          <cell r="AX24">
            <v>-90.678571428571431</v>
          </cell>
          <cell r="AY24">
            <v>-73.642857142857139</v>
          </cell>
          <cell r="AZ24">
            <v>-27.071428571428573</v>
          </cell>
          <cell r="BA24">
            <v>-34.5</v>
          </cell>
          <cell r="BB24">
            <v>-212.03571428571428</v>
          </cell>
          <cell r="BC24">
            <v>1.5</v>
          </cell>
          <cell r="BD24">
            <v>-59.5</v>
          </cell>
          <cell r="BE24">
            <v>-5.25</v>
          </cell>
          <cell r="BJ24">
            <v>-15</v>
          </cell>
          <cell r="BK24">
            <v>-110</v>
          </cell>
          <cell r="BL24">
            <v>-100</v>
          </cell>
          <cell r="BM24">
            <v>-100</v>
          </cell>
          <cell r="BN24">
            <v>-35</v>
          </cell>
          <cell r="BO24">
            <v>-45</v>
          </cell>
          <cell r="BP24">
            <v>-225</v>
          </cell>
          <cell r="BQ24">
            <v>-40</v>
          </cell>
          <cell r="BR24">
            <v>-80</v>
          </cell>
          <cell r="BS24">
            <v>0</v>
          </cell>
          <cell r="BY24">
            <v>-11.435964285714288</v>
          </cell>
          <cell r="CD24">
            <v>-11.435964285714288</v>
          </cell>
        </row>
        <row r="25">
          <cell r="A25">
            <v>20</v>
          </cell>
          <cell r="B25">
            <v>52</v>
          </cell>
          <cell r="C25">
            <v>-70</v>
          </cell>
          <cell r="D25">
            <v>36</v>
          </cell>
          <cell r="E25">
            <v>-221</v>
          </cell>
          <cell r="F25">
            <v>-27</v>
          </cell>
          <cell r="G25">
            <v>-117</v>
          </cell>
          <cell r="H25">
            <v>0</v>
          </cell>
          <cell r="I25">
            <v>-50</v>
          </cell>
          <cell r="J25">
            <v>0</v>
          </cell>
          <cell r="K25">
            <v>-42</v>
          </cell>
          <cell r="L25">
            <v>0</v>
          </cell>
          <cell r="M25">
            <v>79</v>
          </cell>
          <cell r="P25">
            <v>-360</v>
          </cell>
          <cell r="U25">
            <v>-750</v>
          </cell>
          <cell r="W25">
            <v>-236</v>
          </cell>
          <cell r="X25">
            <v>-405</v>
          </cell>
          <cell r="Y25">
            <v>-317.07142857142856</v>
          </cell>
          <cell r="AA25">
            <v>0</v>
          </cell>
          <cell r="AB25">
            <v>-12.178571428571429</v>
          </cell>
          <cell r="AF25">
            <v>0</v>
          </cell>
          <cell r="AG25">
            <v>2.6428571428571428</v>
          </cell>
          <cell r="AM25">
            <v>-345</v>
          </cell>
          <cell r="AS25">
            <v>-750</v>
          </cell>
          <cell r="AV25">
            <v>-16.321428571428573</v>
          </cell>
          <cell r="AW25">
            <v>-74.857142857142861</v>
          </cell>
          <cell r="AX25">
            <v>-90.678571428571431</v>
          </cell>
          <cell r="AY25">
            <v>-73.642857142857139</v>
          </cell>
          <cell r="AZ25">
            <v>-27.071428571428573</v>
          </cell>
          <cell r="BA25">
            <v>-34.5</v>
          </cell>
          <cell r="BB25">
            <v>-212.03571428571428</v>
          </cell>
          <cell r="BC25">
            <v>1.5</v>
          </cell>
          <cell r="BD25">
            <v>-59.5</v>
          </cell>
          <cell r="BE25">
            <v>-5.25</v>
          </cell>
          <cell r="BJ25">
            <v>-15</v>
          </cell>
          <cell r="BK25">
            <v>-110</v>
          </cell>
          <cell r="BL25">
            <v>-100</v>
          </cell>
          <cell r="BM25">
            <v>-100</v>
          </cell>
          <cell r="BN25">
            <v>-35</v>
          </cell>
          <cell r="BO25">
            <v>-45</v>
          </cell>
          <cell r="BP25">
            <v>-225</v>
          </cell>
          <cell r="BQ25">
            <v>-40</v>
          </cell>
          <cell r="BR25">
            <v>-80</v>
          </cell>
          <cell r="BS25">
            <v>0</v>
          </cell>
          <cell r="BY25">
            <v>-12.037857142857145</v>
          </cell>
          <cell r="CD25">
            <v>-12.037857142857145</v>
          </cell>
        </row>
        <row r="26">
          <cell r="A26">
            <v>21</v>
          </cell>
          <cell r="B26">
            <v>3</v>
          </cell>
          <cell r="C26">
            <v>-70</v>
          </cell>
          <cell r="D26">
            <v>103</v>
          </cell>
          <cell r="E26">
            <v>-225</v>
          </cell>
          <cell r="F26">
            <v>-26</v>
          </cell>
          <cell r="G26">
            <v>-120</v>
          </cell>
          <cell r="H26">
            <v>0</v>
          </cell>
          <cell r="I26">
            <v>-50</v>
          </cell>
          <cell r="J26">
            <v>0</v>
          </cell>
          <cell r="K26">
            <v>-44</v>
          </cell>
          <cell r="L26">
            <v>0</v>
          </cell>
          <cell r="M26">
            <v>114</v>
          </cell>
          <cell r="P26">
            <v>-315</v>
          </cell>
          <cell r="U26">
            <v>-750</v>
          </cell>
          <cell r="W26">
            <v>-240</v>
          </cell>
          <cell r="X26">
            <v>-405</v>
          </cell>
          <cell r="Y26">
            <v>-317.07142857142856</v>
          </cell>
          <cell r="AA26">
            <v>0</v>
          </cell>
          <cell r="AB26">
            <v>-12.178571428571429</v>
          </cell>
          <cell r="AF26">
            <v>0</v>
          </cell>
          <cell r="AG26">
            <v>2.6428571428571428</v>
          </cell>
          <cell r="AM26">
            <v>-345</v>
          </cell>
          <cell r="AS26">
            <v>-750</v>
          </cell>
          <cell r="AV26">
            <v>-16.321428571428573</v>
          </cell>
          <cell r="AW26">
            <v>-74.857142857142861</v>
          </cell>
          <cell r="AX26">
            <v>-90.678571428571431</v>
          </cell>
          <cell r="AY26">
            <v>-73.642857142857139</v>
          </cell>
          <cell r="AZ26">
            <v>-27.071428571428573</v>
          </cell>
          <cell r="BA26">
            <v>-34.5</v>
          </cell>
          <cell r="BB26">
            <v>-212.03571428571428</v>
          </cell>
          <cell r="BC26">
            <v>1.5</v>
          </cell>
          <cell r="BD26">
            <v>-59.5</v>
          </cell>
          <cell r="BE26">
            <v>-5.25</v>
          </cell>
          <cell r="BJ26">
            <v>-15</v>
          </cell>
          <cell r="BK26">
            <v>-110</v>
          </cell>
          <cell r="BL26">
            <v>-100</v>
          </cell>
          <cell r="BM26">
            <v>-100</v>
          </cell>
          <cell r="BN26">
            <v>-35</v>
          </cell>
          <cell r="BO26">
            <v>-45</v>
          </cell>
          <cell r="BP26">
            <v>-225</v>
          </cell>
          <cell r="BQ26">
            <v>-40</v>
          </cell>
          <cell r="BR26">
            <v>-80</v>
          </cell>
          <cell r="BS26">
            <v>0</v>
          </cell>
          <cell r="BY26">
            <v>-12.639750000000003</v>
          </cell>
          <cell r="CD26">
            <v>-12.639750000000003</v>
          </cell>
        </row>
        <row r="27">
          <cell r="A27">
            <v>22</v>
          </cell>
          <cell r="B27">
            <v>4</v>
          </cell>
          <cell r="C27">
            <v>-62</v>
          </cell>
          <cell r="D27">
            <v>3</v>
          </cell>
          <cell r="E27">
            <v>-225</v>
          </cell>
          <cell r="F27">
            <v>-27</v>
          </cell>
          <cell r="G27">
            <v>-116</v>
          </cell>
          <cell r="H27">
            <v>-92</v>
          </cell>
          <cell r="I27">
            <v>-48</v>
          </cell>
          <cell r="J27">
            <v>-68</v>
          </cell>
          <cell r="K27">
            <v>-43</v>
          </cell>
          <cell r="L27">
            <v>0</v>
          </cell>
          <cell r="M27">
            <v>225</v>
          </cell>
          <cell r="P27">
            <v>-449</v>
          </cell>
          <cell r="U27">
            <v>-750</v>
          </cell>
          <cell r="W27">
            <v>-394</v>
          </cell>
          <cell r="X27">
            <v>-405</v>
          </cell>
          <cell r="Y27">
            <v>-317.07142857142856</v>
          </cell>
          <cell r="AA27">
            <v>0</v>
          </cell>
          <cell r="AB27">
            <v>-12.178571428571429</v>
          </cell>
          <cell r="AF27">
            <v>0</v>
          </cell>
          <cell r="AG27">
            <v>2.6428571428571428</v>
          </cell>
          <cell r="AM27">
            <v>-345</v>
          </cell>
          <cell r="AS27">
            <v>-750</v>
          </cell>
          <cell r="AV27">
            <v>-16.321428571428573</v>
          </cell>
          <cell r="AW27">
            <v>-74.857142857142861</v>
          </cell>
          <cell r="AX27">
            <v>-90.678571428571431</v>
          </cell>
          <cell r="AY27">
            <v>-73.642857142857139</v>
          </cell>
          <cell r="AZ27">
            <v>-27.071428571428573</v>
          </cell>
          <cell r="BA27">
            <v>-34.5</v>
          </cell>
          <cell r="BB27">
            <v>-212.03571428571428</v>
          </cell>
          <cell r="BC27">
            <v>1.5</v>
          </cell>
          <cell r="BD27">
            <v>-59.5</v>
          </cell>
          <cell r="BE27">
            <v>-5.25</v>
          </cell>
          <cell r="BJ27">
            <v>-15</v>
          </cell>
          <cell r="BK27">
            <v>-110</v>
          </cell>
          <cell r="BL27">
            <v>-100</v>
          </cell>
          <cell r="BM27">
            <v>-100</v>
          </cell>
          <cell r="BN27">
            <v>-35</v>
          </cell>
          <cell r="BO27">
            <v>-45</v>
          </cell>
          <cell r="BP27">
            <v>-225</v>
          </cell>
          <cell r="BQ27">
            <v>-40</v>
          </cell>
          <cell r="BR27">
            <v>-80</v>
          </cell>
          <cell r="BS27">
            <v>0</v>
          </cell>
          <cell r="BY27">
            <v>-13.24164285714286</v>
          </cell>
          <cell r="CD27">
            <v>-13.24164285714286</v>
          </cell>
        </row>
        <row r="28">
          <cell r="A28">
            <v>23</v>
          </cell>
          <cell r="B28">
            <v>0</v>
          </cell>
          <cell r="C28">
            <v>-55</v>
          </cell>
          <cell r="D28">
            <v>-21</v>
          </cell>
          <cell r="E28">
            <v>-225</v>
          </cell>
          <cell r="F28">
            <v>-26</v>
          </cell>
          <cell r="G28">
            <v>-81</v>
          </cell>
          <cell r="H28">
            <v>-95</v>
          </cell>
          <cell r="I28">
            <v>-46</v>
          </cell>
          <cell r="J28">
            <v>-75</v>
          </cell>
          <cell r="K28">
            <v>-37</v>
          </cell>
          <cell r="L28">
            <v>-39</v>
          </cell>
          <cell r="M28">
            <v>69</v>
          </cell>
          <cell r="P28">
            <v>-631</v>
          </cell>
          <cell r="U28">
            <v>-750</v>
          </cell>
          <cell r="W28">
            <v>-360</v>
          </cell>
          <cell r="X28">
            <v>-405</v>
          </cell>
          <cell r="Y28">
            <v>-317.07142857142856</v>
          </cell>
          <cell r="AA28">
            <v>0</v>
          </cell>
          <cell r="AB28">
            <v>-12.178571428571429</v>
          </cell>
          <cell r="AF28">
            <v>0</v>
          </cell>
          <cell r="AG28">
            <v>2.6428571428571428</v>
          </cell>
          <cell r="AM28">
            <v>-345</v>
          </cell>
          <cell r="AS28">
            <v>-750</v>
          </cell>
          <cell r="AV28">
            <v>-16.321428571428573</v>
          </cell>
          <cell r="AW28">
            <v>-74.857142857142861</v>
          </cell>
          <cell r="AX28">
            <v>-90.678571428571431</v>
          </cell>
          <cell r="AY28">
            <v>-73.642857142857139</v>
          </cell>
          <cell r="AZ28">
            <v>-27.071428571428573</v>
          </cell>
          <cell r="BA28">
            <v>-34.5</v>
          </cell>
          <cell r="BB28">
            <v>-212.03571428571428</v>
          </cell>
          <cell r="BC28">
            <v>1.5</v>
          </cell>
          <cell r="BD28">
            <v>-59.5</v>
          </cell>
          <cell r="BE28">
            <v>-5.25</v>
          </cell>
          <cell r="BJ28">
            <v>-15</v>
          </cell>
          <cell r="BK28">
            <v>-110</v>
          </cell>
          <cell r="BL28">
            <v>-100</v>
          </cell>
          <cell r="BM28">
            <v>-100</v>
          </cell>
          <cell r="BN28">
            <v>-35</v>
          </cell>
          <cell r="BO28">
            <v>-45</v>
          </cell>
          <cell r="BP28">
            <v>-225</v>
          </cell>
          <cell r="BQ28">
            <v>-40</v>
          </cell>
          <cell r="BR28">
            <v>-80</v>
          </cell>
          <cell r="BS28">
            <v>0</v>
          </cell>
          <cell r="BY28">
            <v>-13.843535714285718</v>
          </cell>
          <cell r="CD28">
            <v>-13.843535714285718</v>
          </cell>
        </row>
        <row r="29">
          <cell r="A29">
            <v>24</v>
          </cell>
          <cell r="B29">
            <v>0</v>
          </cell>
          <cell r="C29">
            <v>-54</v>
          </cell>
          <cell r="D29">
            <v>33</v>
          </cell>
          <cell r="E29">
            <v>-225</v>
          </cell>
          <cell r="F29">
            <v>-26</v>
          </cell>
          <cell r="G29">
            <v>-111</v>
          </cell>
          <cell r="H29">
            <v>-95</v>
          </cell>
          <cell r="I29">
            <v>-44</v>
          </cell>
          <cell r="J29">
            <v>-75</v>
          </cell>
          <cell r="K29">
            <v>-43</v>
          </cell>
          <cell r="L29">
            <v>0</v>
          </cell>
          <cell r="M29">
            <v>297</v>
          </cell>
          <cell r="P29">
            <v>-343</v>
          </cell>
          <cell r="U29">
            <v>-750</v>
          </cell>
          <cell r="W29">
            <v>-394</v>
          </cell>
          <cell r="X29">
            <v>-405</v>
          </cell>
          <cell r="Y29">
            <v>-317.07142857142856</v>
          </cell>
          <cell r="AA29">
            <v>0</v>
          </cell>
          <cell r="AB29">
            <v>-12.178571428571429</v>
          </cell>
          <cell r="AF29">
            <v>0</v>
          </cell>
          <cell r="AG29">
            <v>2.6428571428571428</v>
          </cell>
          <cell r="AM29">
            <v>-345</v>
          </cell>
          <cell r="AS29">
            <v>-750</v>
          </cell>
          <cell r="AV29">
            <v>-16.321428571428573</v>
          </cell>
          <cell r="AW29">
            <v>-74.857142857142861</v>
          </cell>
          <cell r="AX29">
            <v>-90.678571428571431</v>
          </cell>
          <cell r="AY29">
            <v>-73.642857142857139</v>
          </cell>
          <cell r="AZ29">
            <v>-27.071428571428573</v>
          </cell>
          <cell r="BA29">
            <v>-34.5</v>
          </cell>
          <cell r="BB29">
            <v>-212.03571428571428</v>
          </cell>
          <cell r="BC29">
            <v>1.5</v>
          </cell>
          <cell r="BD29">
            <v>-59.5</v>
          </cell>
          <cell r="BE29">
            <v>-5.25</v>
          </cell>
          <cell r="BJ29">
            <v>-15</v>
          </cell>
          <cell r="BK29">
            <v>-110</v>
          </cell>
          <cell r="BL29">
            <v>-100</v>
          </cell>
          <cell r="BM29">
            <v>-100</v>
          </cell>
          <cell r="BN29">
            <v>-35</v>
          </cell>
          <cell r="BO29">
            <v>-45</v>
          </cell>
          <cell r="BP29">
            <v>-225</v>
          </cell>
          <cell r="BQ29">
            <v>-40</v>
          </cell>
          <cell r="BR29">
            <v>-80</v>
          </cell>
          <cell r="BS29">
            <v>0</v>
          </cell>
          <cell r="BY29">
            <v>-14.445428571428575</v>
          </cell>
          <cell r="CD29">
            <v>-14.445428571428575</v>
          </cell>
        </row>
        <row r="30">
          <cell r="A30">
            <v>25</v>
          </cell>
          <cell r="B30">
            <v>0</v>
          </cell>
          <cell r="C30">
            <v>-57</v>
          </cell>
          <cell r="D30">
            <v>0</v>
          </cell>
          <cell r="E30">
            <v>-225</v>
          </cell>
          <cell r="F30">
            <v>-20</v>
          </cell>
          <cell r="G30">
            <v>-109</v>
          </cell>
          <cell r="H30">
            <v>-95</v>
          </cell>
          <cell r="I30">
            <v>-43</v>
          </cell>
          <cell r="J30">
            <v>-75</v>
          </cell>
          <cell r="K30">
            <v>-43</v>
          </cell>
          <cell r="L30">
            <v>0</v>
          </cell>
          <cell r="M30">
            <v>152</v>
          </cell>
          <cell r="P30">
            <v>-515</v>
          </cell>
          <cell r="U30">
            <v>-750</v>
          </cell>
          <cell r="W30">
            <v>-385</v>
          </cell>
          <cell r="X30">
            <v>-405</v>
          </cell>
          <cell r="Y30">
            <v>-317.07142857142856</v>
          </cell>
          <cell r="AA30">
            <v>0</v>
          </cell>
          <cell r="AB30">
            <v>-12.178571428571429</v>
          </cell>
          <cell r="AF30">
            <v>0</v>
          </cell>
          <cell r="AG30">
            <v>2.6428571428571428</v>
          </cell>
          <cell r="AM30">
            <v>-345</v>
          </cell>
          <cell r="AS30">
            <v>-750</v>
          </cell>
          <cell r="AV30">
            <v>-16.321428571428573</v>
          </cell>
          <cell r="AW30">
            <v>-74.857142857142861</v>
          </cell>
          <cell r="AX30">
            <v>-90.678571428571431</v>
          </cell>
          <cell r="BC30">
            <v>1.5</v>
          </cell>
          <cell r="BJ30">
            <v>-15</v>
          </cell>
          <cell r="BK30">
            <v>-110</v>
          </cell>
          <cell r="BL30">
            <v>-100</v>
          </cell>
          <cell r="BM30">
            <v>-100</v>
          </cell>
          <cell r="BN30">
            <v>-35</v>
          </cell>
          <cell r="BO30">
            <v>-45</v>
          </cell>
          <cell r="BP30">
            <v>-225</v>
          </cell>
          <cell r="BQ30">
            <v>-40</v>
          </cell>
          <cell r="BR30">
            <v>-80</v>
          </cell>
          <cell r="BS30">
            <v>0</v>
          </cell>
          <cell r="BY30">
            <v>-15.047321428571433</v>
          </cell>
          <cell r="CD30">
            <v>-15.047321428571433</v>
          </cell>
        </row>
        <row r="31">
          <cell r="A31">
            <v>26</v>
          </cell>
          <cell r="B31">
            <v>0</v>
          </cell>
          <cell r="C31">
            <v>-27</v>
          </cell>
          <cell r="D31">
            <v>1</v>
          </cell>
          <cell r="E31">
            <v>-138</v>
          </cell>
          <cell r="F31">
            <v>-20</v>
          </cell>
          <cell r="G31">
            <v>0</v>
          </cell>
          <cell r="H31">
            <v>-94</v>
          </cell>
          <cell r="I31">
            <v>-42</v>
          </cell>
          <cell r="J31">
            <v>-75</v>
          </cell>
          <cell r="K31">
            <v>0</v>
          </cell>
          <cell r="L31">
            <v>36</v>
          </cell>
          <cell r="M31">
            <v>290</v>
          </cell>
          <cell r="P31">
            <v>-69</v>
          </cell>
          <cell r="U31">
            <v>-750</v>
          </cell>
          <cell r="W31">
            <v>-231</v>
          </cell>
          <cell r="X31">
            <v>-405</v>
          </cell>
          <cell r="Y31">
            <v>-317.07142857142856</v>
          </cell>
          <cell r="AA31">
            <v>0</v>
          </cell>
          <cell r="AF31">
            <v>0</v>
          </cell>
          <cell r="AM31">
            <v>-345</v>
          </cell>
          <cell r="AS31">
            <v>-750</v>
          </cell>
          <cell r="AV31">
            <v>-16.321428571428573</v>
          </cell>
          <cell r="AW31">
            <v>-74.857142857142861</v>
          </cell>
          <cell r="AX31">
            <v>-90.678571428571431</v>
          </cell>
          <cell r="BC31">
            <v>1.5</v>
          </cell>
          <cell r="BJ31">
            <v>-15</v>
          </cell>
          <cell r="BK31">
            <v>-110</v>
          </cell>
          <cell r="BL31">
            <v>-100</v>
          </cell>
          <cell r="BM31">
            <v>-100</v>
          </cell>
          <cell r="BN31">
            <v>-35</v>
          </cell>
          <cell r="BO31">
            <v>-45</v>
          </cell>
          <cell r="BP31">
            <v>-225</v>
          </cell>
          <cell r="BQ31">
            <v>-40</v>
          </cell>
          <cell r="BR31">
            <v>-80</v>
          </cell>
          <cell r="BS31">
            <v>0</v>
          </cell>
          <cell r="BY31">
            <v>-15.64921428571429</v>
          </cell>
          <cell r="CD31">
            <v>-15.64921428571429</v>
          </cell>
        </row>
        <row r="32">
          <cell r="A32">
            <v>27</v>
          </cell>
          <cell r="B32">
            <v>-29</v>
          </cell>
          <cell r="C32">
            <v>-60</v>
          </cell>
          <cell r="D32">
            <v>0</v>
          </cell>
          <cell r="E32">
            <v>-154</v>
          </cell>
          <cell r="F32">
            <v>-19</v>
          </cell>
          <cell r="G32">
            <v>0</v>
          </cell>
          <cell r="H32">
            <v>-93</v>
          </cell>
          <cell r="I32">
            <v>-43</v>
          </cell>
          <cell r="J32">
            <v>-75</v>
          </cell>
          <cell r="K32">
            <v>0</v>
          </cell>
          <cell r="L32">
            <v>93</v>
          </cell>
          <cell r="M32">
            <v>182</v>
          </cell>
          <cell r="P32">
            <v>-198</v>
          </cell>
          <cell r="U32">
            <v>-750</v>
          </cell>
          <cell r="X32">
            <v>-405</v>
          </cell>
          <cell r="AA32">
            <v>0</v>
          </cell>
          <cell r="AF32">
            <v>0</v>
          </cell>
          <cell r="AM32">
            <v>-345</v>
          </cell>
          <cell r="AS32">
            <v>-750</v>
          </cell>
          <cell r="BJ32">
            <v>-15</v>
          </cell>
          <cell r="BK32">
            <v>-110</v>
          </cell>
          <cell r="BL32">
            <v>-100</v>
          </cell>
          <cell r="BM32">
            <v>-100</v>
          </cell>
          <cell r="BN32">
            <v>-35</v>
          </cell>
          <cell r="BO32">
            <v>-45</v>
          </cell>
          <cell r="BP32">
            <v>-225</v>
          </cell>
          <cell r="BQ32">
            <v>-40</v>
          </cell>
          <cell r="BR32">
            <v>-80</v>
          </cell>
          <cell r="BS32">
            <v>0</v>
          </cell>
          <cell r="BY32">
            <v>-16.251107142857148</v>
          </cell>
          <cell r="CD32">
            <v>-16.251107142857148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Yr. Life</v>
          </cell>
          <cell r="B1" t="str">
            <v>Year 1</v>
          </cell>
          <cell r="C1" t="str">
            <v>Year 2</v>
          </cell>
          <cell r="D1" t="str">
            <v>Year 3</v>
          </cell>
          <cell r="E1" t="str">
            <v>Year 4</v>
          </cell>
          <cell r="F1" t="str">
            <v>Description</v>
          </cell>
        </row>
        <row r="2">
          <cell r="A2">
            <v>1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 t="str">
            <v>Transportation Equipment - Duel Fuel Kits &lt;= 2,000</v>
          </cell>
        </row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 t="str">
            <v>Duel Fuel Stations &lt;= 100,000</v>
          </cell>
        </row>
        <row r="4">
          <cell r="A4">
            <v>3</v>
          </cell>
          <cell r="B4">
            <v>0.16666666666666666</v>
          </cell>
          <cell r="C4">
            <v>0.33333333333333331</v>
          </cell>
          <cell r="D4">
            <v>0.33333333333333331</v>
          </cell>
          <cell r="E4">
            <v>0.16666666666666666</v>
          </cell>
          <cell r="F4" t="str">
            <v>Intangible Plant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</v>
          </cell>
          <cell r="F5" t="str">
            <v>Office Furniture &amp; Equipment - Computers</v>
          </cell>
        </row>
        <row r="6">
          <cell r="A6">
            <v>5</v>
          </cell>
          <cell r="B6">
            <v>0.2</v>
          </cell>
          <cell r="C6">
            <v>0.32</v>
          </cell>
          <cell r="D6">
            <v>0.192</v>
          </cell>
          <cell r="E6">
            <v>0.1152</v>
          </cell>
          <cell r="F6" t="str">
            <v>Office Furniture &amp; Equipment - Equipment</v>
          </cell>
        </row>
        <row r="7">
          <cell r="A7">
            <v>5</v>
          </cell>
          <cell r="B7">
            <v>0.2</v>
          </cell>
          <cell r="C7">
            <v>0.32</v>
          </cell>
          <cell r="D7">
            <v>0.192</v>
          </cell>
          <cell r="E7">
            <v>0.1152</v>
          </cell>
          <cell r="F7" t="str">
            <v>Transportation Equipment - Automobiles</v>
          </cell>
        </row>
        <row r="8">
          <cell r="A8">
            <v>5</v>
          </cell>
          <cell r="B8">
            <v>0.2</v>
          </cell>
          <cell r="C8">
            <v>0.32</v>
          </cell>
          <cell r="D8">
            <v>0.192</v>
          </cell>
          <cell r="E8">
            <v>0.1152</v>
          </cell>
          <cell r="F8" t="str">
            <v>Transportation Equipment - Trucks</v>
          </cell>
        </row>
        <row r="9">
          <cell r="A9">
            <v>5</v>
          </cell>
          <cell r="B9">
            <v>0.2</v>
          </cell>
          <cell r="C9">
            <v>0.32</v>
          </cell>
          <cell r="D9">
            <v>0.192</v>
          </cell>
          <cell r="E9">
            <v>0.1152</v>
          </cell>
          <cell r="F9" t="str">
            <v>Transportation Equipment - Trailers</v>
          </cell>
        </row>
        <row r="10">
          <cell r="A10">
            <v>5</v>
          </cell>
          <cell r="B10">
            <v>0.2</v>
          </cell>
          <cell r="C10">
            <v>0.32</v>
          </cell>
          <cell r="D10">
            <v>0.192</v>
          </cell>
          <cell r="E10">
            <v>0.1152</v>
          </cell>
          <cell r="F10" t="str">
            <v>Transportation Equipment - Duel Fuel Kits &gt; 2,000</v>
          </cell>
        </row>
        <row r="11">
          <cell r="A11">
            <v>7</v>
          </cell>
          <cell r="B11">
            <v>0.14285999999999999</v>
          </cell>
          <cell r="C11">
            <v>0.24490000000000001</v>
          </cell>
          <cell r="D11">
            <v>0.17493</v>
          </cell>
          <cell r="E11">
            <v>0.12495000000000001</v>
          </cell>
          <cell r="F11" t="str">
            <v>Production &amp; Gathering</v>
          </cell>
        </row>
        <row r="12">
          <cell r="A12">
            <v>7</v>
          </cell>
          <cell r="B12">
            <v>0.14285999999999999</v>
          </cell>
          <cell r="C12">
            <v>0.24490000000000001</v>
          </cell>
          <cell r="D12">
            <v>0.17493</v>
          </cell>
          <cell r="E12">
            <v>0.12495000000000001</v>
          </cell>
          <cell r="F12" t="str">
            <v>Office Furniture &amp; Equipment - Furniture</v>
          </cell>
        </row>
        <row r="13">
          <cell r="A13">
            <v>7</v>
          </cell>
          <cell r="B13">
            <v>0.14285999999999999</v>
          </cell>
          <cell r="C13">
            <v>0.24490000000000001</v>
          </cell>
          <cell r="D13">
            <v>0.17493</v>
          </cell>
          <cell r="E13">
            <v>0.12495000000000001</v>
          </cell>
          <cell r="F13" t="str">
            <v>Stores Equipment</v>
          </cell>
        </row>
        <row r="14">
          <cell r="A14">
            <v>7</v>
          </cell>
          <cell r="B14">
            <v>0.14285999999999999</v>
          </cell>
          <cell r="C14">
            <v>0.24490000000000001</v>
          </cell>
          <cell r="D14">
            <v>0.17493</v>
          </cell>
          <cell r="E14">
            <v>0.12495000000000001</v>
          </cell>
          <cell r="F14" t="str">
            <v>Tools, Shop &amp; Garage Equipment</v>
          </cell>
        </row>
        <row r="15">
          <cell r="A15">
            <v>7</v>
          </cell>
          <cell r="B15">
            <v>0.14285999999999999</v>
          </cell>
          <cell r="C15">
            <v>0.24490000000000001</v>
          </cell>
          <cell r="D15">
            <v>0.17493</v>
          </cell>
          <cell r="E15">
            <v>0.12495000000000001</v>
          </cell>
          <cell r="F15" t="str">
            <v>Miscellaneous Equipment</v>
          </cell>
        </row>
        <row r="16">
          <cell r="A16">
            <v>7</v>
          </cell>
          <cell r="B16">
            <v>0.14285999999999999</v>
          </cell>
          <cell r="C16">
            <v>0.24490000000000001</v>
          </cell>
          <cell r="D16">
            <v>0.17493</v>
          </cell>
          <cell r="E16">
            <v>0.12495000000000001</v>
          </cell>
          <cell r="F16" t="str">
            <v>Office Furniture &amp; Equipment - Legal Books</v>
          </cell>
        </row>
        <row r="17">
          <cell r="A17">
            <v>15</v>
          </cell>
          <cell r="B17">
            <v>0.05</v>
          </cell>
          <cell r="C17">
            <v>9.5000000000000001E-2</v>
          </cell>
          <cell r="D17">
            <v>8.5500000000000007E-2</v>
          </cell>
          <cell r="E17">
            <v>7.6899999999999996E-2</v>
          </cell>
          <cell r="F17" t="str">
            <v>Storage, Transmission, &amp; Distribution for 08, 09 &amp; 2010 Investments</v>
          </cell>
        </row>
        <row r="18">
          <cell r="A18">
            <v>20</v>
          </cell>
          <cell r="B18">
            <v>3.7499999999999999E-2</v>
          </cell>
          <cell r="C18">
            <v>7.22E-2</v>
          </cell>
          <cell r="D18">
            <v>6.6799999999999998E-2</v>
          </cell>
          <cell r="E18">
            <v>6.1800000000000001E-2</v>
          </cell>
          <cell r="F18" t="str">
            <v>Distribution for 2011 &amp; Beyond Investments</v>
          </cell>
        </row>
        <row r="19">
          <cell r="A19">
            <v>20</v>
          </cell>
          <cell r="B19">
            <v>3.7499999999999999E-2</v>
          </cell>
          <cell r="C19">
            <v>7.22E-2</v>
          </cell>
          <cell r="D19">
            <v>6.6799999999999998E-2</v>
          </cell>
          <cell r="E19">
            <v>6.1800000000000001E-2</v>
          </cell>
          <cell r="F19" t="str">
            <v>Duel Fuel Stations &gt; 100,000</v>
          </cell>
        </row>
        <row r="20">
          <cell r="A20">
            <v>20</v>
          </cell>
          <cell r="B20">
            <v>3.7499999999999999E-2</v>
          </cell>
          <cell r="C20">
            <v>7.22E-2</v>
          </cell>
          <cell r="D20">
            <v>6.6799999999999998E-2</v>
          </cell>
          <cell r="E20">
            <v>6.1800000000000001E-2</v>
          </cell>
          <cell r="F20" t="str">
            <v>Power Operated Equipment</v>
          </cell>
        </row>
        <row r="21">
          <cell r="A21">
            <v>20</v>
          </cell>
          <cell r="B21">
            <v>3.7499999999999999E-2</v>
          </cell>
          <cell r="C21">
            <v>7.22E-2</v>
          </cell>
          <cell r="D21">
            <v>6.6799999999999998E-2</v>
          </cell>
          <cell r="E21">
            <v>6.1800000000000001E-2</v>
          </cell>
          <cell r="F21" t="str">
            <v>Communication Equipment - Radio</v>
          </cell>
        </row>
        <row r="22">
          <cell r="A22">
            <v>20</v>
          </cell>
          <cell r="B22">
            <v>3.7499999999999999E-2</v>
          </cell>
          <cell r="C22">
            <v>7.22E-2</v>
          </cell>
          <cell r="D22">
            <v>6.6799999999999998E-2</v>
          </cell>
          <cell r="E22">
            <v>6.1800000000000001E-2</v>
          </cell>
          <cell r="F22" t="str">
            <v>Communication Equipment - Telephone</v>
          </cell>
        </row>
        <row r="23">
          <cell r="A23">
            <v>20</v>
          </cell>
          <cell r="B23">
            <v>3.7499999999999999E-2</v>
          </cell>
          <cell r="C23">
            <v>7.22E-2</v>
          </cell>
          <cell r="D23">
            <v>6.6799999999999998E-2</v>
          </cell>
          <cell r="E23">
            <v>6.1800000000000001E-2</v>
          </cell>
          <cell r="F23" t="str">
            <v>Rights of Way - Communication</v>
          </cell>
        </row>
        <row r="24">
          <cell r="A24">
            <v>39</v>
          </cell>
          <cell r="B24">
            <v>1.391E-2</v>
          </cell>
          <cell r="C24">
            <v>2.564E-2</v>
          </cell>
          <cell r="D24">
            <v>2.564E-2</v>
          </cell>
          <cell r="E24">
            <v>2.564E-2</v>
          </cell>
          <cell r="F24" t="str">
            <v>Structures and Improvements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way to Filing"/>
      <sheetName val="Tab 54 - Sched A Overall "/>
      <sheetName val="Sch 2 - Op Revenue"/>
      <sheetName val="Bill Analysis Proposed"/>
      <sheetName val="Sch 2 back up"/>
      <sheetName val="Gas Cost"/>
      <sheetName val="Sch 3 - O&amp;M"/>
      <sheetName val="Sch 3.1 - Labor"/>
      <sheetName val="Sch 3.2 - Rate Case Exp"/>
      <sheetName val="Sch 3.2 back up"/>
      <sheetName val="Sch 3.3 - Lobbying"/>
      <sheetName val="Sch 3.4 - Medical and Dental"/>
      <sheetName val="Sch 3.5 - 401k "/>
      <sheetName val="Sch 3.6 - Pensions"/>
      <sheetName val="Sch 3.3 - Bad Debt Exp"/>
      <sheetName val="Sch 4 - Dep Exp"/>
      <sheetName val="State P&amp;L 9 20 - 3 21"/>
      <sheetName val="PKY Dep"/>
      <sheetName val="Sch 5 - Taxes Other"/>
      <sheetName val="Sch 5.1 - Payroll Taxes"/>
      <sheetName val="Sch 5.1 - Prop Taxes"/>
      <sheetName val="Sch 5.2 - Property Taxes"/>
      <sheetName val="Sch 6 Op Inc Adj"/>
      <sheetName val="Sch 7 - Inc Tax Adj"/>
      <sheetName val="Sch 7.1 - Fed &amp; St tax rate"/>
      <sheetName val="Sch 7.2 - Fed &amp; St Income Tax"/>
      <sheetName val="Sch 8 - Interest"/>
      <sheetName val="Sch 9 - Int. Cov"/>
      <sheetName val="Adj Log"/>
      <sheetName val="Adj Log 5 10 21"/>
      <sheetName val="Adj Log 5 11 21"/>
      <sheetName val="Income Statement Detail"/>
      <sheetName val="Income Statement Summary"/>
      <sheetName val="PKY Increase"/>
      <sheetName val="PRP"/>
      <sheetName val="App Harvest"/>
      <sheetName val="PreTax Net Income"/>
      <sheetName val="PKY Return"/>
      <sheetName val="Base Year - FERC"/>
      <sheetName val="Base Year - Natural"/>
      <sheetName val="Return"/>
      <sheetName val="Capital Structure"/>
      <sheetName val="Cap Structure Proj"/>
      <sheetName val="PKY CS"/>
      <sheetName val="Tab 13"/>
      <sheetName val="Tab 22"/>
      <sheetName val="Tab 23"/>
      <sheetName val="Tab 33"/>
      <sheetName val="Tab 55 p1"/>
      <sheetName val="Tab 55 p2"/>
      <sheetName val="Tab 55 p3"/>
      <sheetName val="Tab 55 p4"/>
      <sheetName val="Tab 55 p5"/>
      <sheetName val="Tab 55 p6"/>
      <sheetName val="Tab 55 p7"/>
      <sheetName val="Tab 55 p8"/>
      <sheetName val="Tab 55 p9"/>
      <sheetName val="Tab 55 p10"/>
      <sheetName val="Tab 55 p11"/>
      <sheetName val="Tab 55 p12"/>
      <sheetName val="Tab 55 p13"/>
      <sheetName val="Tab 58 p1"/>
      <sheetName val="Tab 58 p2"/>
      <sheetName val="Tab 63"/>
      <sheetName val="Rate Base"/>
      <sheetName val="PKY RB"/>
      <sheetName val="2021 capex &amp; dep"/>
      <sheetName val="2022 capex &amp; dep"/>
      <sheetName val="PKY 2021 Capex"/>
      <sheetName val="Aug &amp; Sep 2020 BS"/>
      <sheetName val="Oct &amp; Nov 2020 BS"/>
      <sheetName val="Dec 20 &amp; Jan 21 BS"/>
      <sheetName val="Feb &amp; Mar 21 BS"/>
      <sheetName val="3 31 21 Bal Sheet"/>
      <sheetName val="ADIT 12 31 20"/>
      <sheetName val="ADIT 3 31 21"/>
      <sheetName val="12 31 22 ADIT"/>
      <sheetName val="13 mo Avg ADIT"/>
      <sheetName val="Unbilled Reconcil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1">
          <cell r="BD91">
            <v>9473252</v>
          </cell>
        </row>
      </sheetData>
      <sheetData sheetId="16">
        <row r="181">
          <cell r="I181">
            <v>242.64</v>
          </cell>
          <cell r="J181">
            <v>242.64</v>
          </cell>
          <cell r="K181">
            <v>242.63</v>
          </cell>
        </row>
        <row r="188">
          <cell r="I188">
            <v>12639.34</v>
          </cell>
          <cell r="J188">
            <v>12639.34</v>
          </cell>
          <cell r="K188">
            <v>12689.34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1">
          <cell r="I101">
            <v>678018</v>
          </cell>
          <cell r="J101">
            <v>678127</v>
          </cell>
          <cell r="K101">
            <v>678425</v>
          </cell>
          <cell r="L101">
            <v>678584</v>
          </cell>
          <cell r="M101">
            <v>678987</v>
          </cell>
        </row>
      </sheetData>
      <sheetData sheetId="39"/>
      <sheetData sheetId="40">
        <row r="41">
          <cell r="J41">
            <v>0</v>
          </cell>
          <cell r="K41">
            <v>0</v>
          </cell>
        </row>
        <row r="48">
          <cell r="J48">
            <v>16006949.709243715</v>
          </cell>
          <cell r="K48">
            <v>16006949.709243715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G5">
            <v>276048694.57999998</v>
          </cell>
          <cell r="H5">
            <v>277645551.06</v>
          </cell>
        </row>
        <row r="7">
          <cell r="H7">
            <v>604905.27461538452</v>
          </cell>
        </row>
        <row r="8">
          <cell r="H8">
            <v>1072740.6115384614</v>
          </cell>
        </row>
        <row r="9">
          <cell r="H9">
            <v>0</v>
          </cell>
        </row>
        <row r="10">
          <cell r="H10">
            <v>1143702.0207692308</v>
          </cell>
        </row>
        <row r="11">
          <cell r="H11">
            <v>1747660.73</v>
          </cell>
        </row>
        <row r="12">
          <cell r="H12">
            <v>2000868.7136554644</v>
          </cell>
        </row>
        <row r="15">
          <cell r="H15">
            <v>-118940848.98</v>
          </cell>
        </row>
        <row r="16">
          <cell r="H16">
            <v>-457600.2</v>
          </cell>
        </row>
        <row r="17">
          <cell r="H17">
            <v>-42472111</v>
          </cell>
        </row>
      </sheetData>
      <sheetData sheetId="65"/>
      <sheetData sheetId="66">
        <row r="5">
          <cell r="AE5">
            <v>0</v>
          </cell>
        </row>
        <row r="6">
          <cell r="AE6">
            <v>142995.83333333334</v>
          </cell>
        </row>
        <row r="7">
          <cell r="AE7">
            <v>130000</v>
          </cell>
        </row>
        <row r="8">
          <cell r="AE8">
            <v>6250</v>
          </cell>
        </row>
        <row r="9">
          <cell r="AE9">
            <v>41754.166666666664</v>
          </cell>
        </row>
        <row r="10">
          <cell r="AE10">
            <v>162500</v>
          </cell>
        </row>
        <row r="17">
          <cell r="AE17">
            <v>6000</v>
          </cell>
        </row>
        <row r="18">
          <cell r="AE18">
            <v>0</v>
          </cell>
        </row>
        <row r="19">
          <cell r="AE19">
            <v>5300</v>
          </cell>
        </row>
        <row r="20">
          <cell r="AE20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1975</v>
          </cell>
        </row>
        <row r="25">
          <cell r="AE25">
            <v>26875</v>
          </cell>
        </row>
        <row r="26">
          <cell r="AE26">
            <v>113900</v>
          </cell>
        </row>
        <row r="27">
          <cell r="AE27">
            <v>0</v>
          </cell>
        </row>
        <row r="28">
          <cell r="AE28">
            <v>1001600</v>
          </cell>
        </row>
        <row r="29">
          <cell r="AE29">
            <v>99400</v>
          </cell>
        </row>
        <row r="30">
          <cell r="AE30">
            <v>2700</v>
          </cell>
        </row>
        <row r="31">
          <cell r="AE31">
            <v>2300</v>
          </cell>
        </row>
        <row r="32">
          <cell r="AE32">
            <v>1500</v>
          </cell>
        </row>
        <row r="33">
          <cell r="AE33">
            <v>0</v>
          </cell>
        </row>
        <row r="34">
          <cell r="AE34">
            <v>275000</v>
          </cell>
        </row>
        <row r="35">
          <cell r="AE35">
            <v>6000</v>
          </cell>
        </row>
        <row r="36">
          <cell r="AE36">
            <v>3000</v>
          </cell>
        </row>
        <row r="37">
          <cell r="AE37">
            <v>200000</v>
          </cell>
        </row>
        <row r="38">
          <cell r="AE38">
            <v>8400</v>
          </cell>
        </row>
        <row r="39">
          <cell r="AE39">
            <v>25000</v>
          </cell>
        </row>
        <row r="40">
          <cell r="AE40">
            <v>12200</v>
          </cell>
        </row>
        <row r="41">
          <cell r="AE41">
            <v>4700</v>
          </cell>
        </row>
        <row r="42">
          <cell r="AE42">
            <v>2500</v>
          </cell>
        </row>
        <row r="43">
          <cell r="AE43">
            <v>4600</v>
          </cell>
        </row>
        <row r="48">
          <cell r="AE48">
            <v>293472610.56</v>
          </cell>
          <cell r="AG48">
            <v>283854710.06461537</v>
          </cell>
        </row>
        <row r="55">
          <cell r="AE55">
            <v>-123935778.60459518</v>
          </cell>
        </row>
        <row r="57">
          <cell r="AE57">
            <v>604905.27461538452</v>
          </cell>
        </row>
        <row r="58">
          <cell r="AE58">
            <v>1072740.6115384614</v>
          </cell>
        </row>
        <row r="60">
          <cell r="AE60">
            <v>1143702.0207692308</v>
          </cell>
        </row>
        <row r="61">
          <cell r="AE61">
            <v>1747660.73</v>
          </cell>
        </row>
        <row r="62">
          <cell r="AE62">
            <v>2000868.7136554644</v>
          </cell>
        </row>
        <row r="64">
          <cell r="AE64">
            <v>-457600.2</v>
          </cell>
        </row>
        <row r="65">
          <cell r="AE65">
            <v>-42766929.023592241</v>
          </cell>
        </row>
      </sheetData>
      <sheetData sheetId="67">
        <row r="45">
          <cell r="AE45">
            <v>368530</v>
          </cell>
        </row>
      </sheetData>
      <sheetData sheetId="68">
        <row r="35">
          <cell r="D35">
            <v>44258</v>
          </cell>
          <cell r="E35">
            <v>54090</v>
          </cell>
          <cell r="F35">
            <v>35088</v>
          </cell>
          <cell r="G35">
            <v>26211</v>
          </cell>
          <cell r="H35">
            <v>54347</v>
          </cell>
          <cell r="I35">
            <v>56019</v>
          </cell>
          <cell r="J35">
            <v>26569</v>
          </cell>
          <cell r="K35">
            <v>20813</v>
          </cell>
          <cell r="L35">
            <v>24095</v>
          </cell>
          <cell r="M35">
            <v>38800</v>
          </cell>
          <cell r="N35">
            <v>16258</v>
          </cell>
          <cell r="O35">
            <v>58854</v>
          </cell>
        </row>
        <row r="38">
          <cell r="D38">
            <v>35820</v>
          </cell>
          <cell r="E38">
            <v>43770</v>
          </cell>
          <cell r="F38">
            <v>28390</v>
          </cell>
          <cell r="G38">
            <v>21210</v>
          </cell>
          <cell r="H38">
            <v>43980</v>
          </cell>
          <cell r="I38">
            <v>45330</v>
          </cell>
          <cell r="J38">
            <v>21500</v>
          </cell>
          <cell r="K38">
            <v>16840</v>
          </cell>
          <cell r="L38">
            <v>19500</v>
          </cell>
          <cell r="M38">
            <v>31400</v>
          </cell>
          <cell r="N38">
            <v>13160</v>
          </cell>
          <cell r="O38">
            <v>47630</v>
          </cell>
        </row>
      </sheetData>
      <sheetData sheetId="69"/>
      <sheetData sheetId="70"/>
      <sheetData sheetId="71"/>
      <sheetData sheetId="72"/>
      <sheetData sheetId="73">
        <row r="105">
          <cell r="I105">
            <v>-457600.2</v>
          </cell>
        </row>
      </sheetData>
      <sheetData sheetId="74"/>
      <sheetData sheetId="75"/>
      <sheetData sheetId="76"/>
      <sheetData sheetId="77">
        <row r="11">
          <cell r="H11">
            <v>42317500.869288035</v>
          </cell>
        </row>
        <row r="12">
          <cell r="H12">
            <v>42354241.138576061</v>
          </cell>
        </row>
        <row r="13">
          <cell r="H13">
            <v>42390981.407864079</v>
          </cell>
        </row>
        <row r="14">
          <cell r="H14">
            <v>42427721.677152105</v>
          </cell>
        </row>
        <row r="15">
          <cell r="H15">
            <v>42464461.94644013</v>
          </cell>
        </row>
        <row r="16">
          <cell r="H16">
            <v>42501202.215728156</v>
          </cell>
        </row>
        <row r="17">
          <cell r="H17">
            <v>42537942.485016182</v>
          </cell>
        </row>
        <row r="18">
          <cell r="H18">
            <v>42574682.7543042</v>
          </cell>
        </row>
        <row r="19">
          <cell r="H19">
            <v>42766929.023592241</v>
          </cell>
        </row>
        <row r="20">
          <cell r="H20">
            <v>42768266.24359417</v>
          </cell>
        </row>
        <row r="21">
          <cell r="H21">
            <v>42769603.463596106</v>
          </cell>
        </row>
        <row r="22">
          <cell r="H22">
            <v>42770940.683598042</v>
          </cell>
        </row>
        <row r="23">
          <cell r="H23">
            <v>42772277.903599977</v>
          </cell>
        </row>
        <row r="24">
          <cell r="H24">
            <v>42773615.123601913</v>
          </cell>
        </row>
        <row r="25">
          <cell r="H25">
            <v>42774952.343603849</v>
          </cell>
        </row>
        <row r="26">
          <cell r="H26">
            <v>42776289.563605778</v>
          </cell>
        </row>
        <row r="27">
          <cell r="H27">
            <v>42777626.783607714</v>
          </cell>
        </row>
        <row r="28">
          <cell r="H28">
            <v>42778964.00360965</v>
          </cell>
        </row>
        <row r="29">
          <cell r="H29">
            <v>42780301.223611586</v>
          </cell>
        </row>
        <row r="30">
          <cell r="H30">
            <v>42781638.443613514</v>
          </cell>
        </row>
        <row r="31">
          <cell r="H31">
            <v>42782975.66361545</v>
          </cell>
        </row>
      </sheetData>
      <sheetData sheetId="7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021_Capital_Budget_Prep_Query"/>
      <sheetName val="dea update "/>
      <sheetName val="Revised 2021-2025 Summary"/>
      <sheetName val="2021 by month"/>
      <sheetName val="2022 by month"/>
    </sheetNames>
    <sheetDataSet>
      <sheetData sheetId="0"/>
      <sheetData sheetId="1">
        <row r="7">
          <cell r="AL7">
            <v>420000</v>
          </cell>
        </row>
        <row r="8">
          <cell r="AL8">
            <v>79000</v>
          </cell>
        </row>
        <row r="10">
          <cell r="AL10">
            <v>660000</v>
          </cell>
        </row>
      </sheetData>
      <sheetData sheetId="2">
        <row r="5">
          <cell r="R5">
            <v>0</v>
          </cell>
          <cell r="S5">
            <v>0</v>
          </cell>
          <cell r="T5">
            <v>10000</v>
          </cell>
          <cell r="U5">
            <v>10000</v>
          </cell>
          <cell r="V5">
            <v>10000</v>
          </cell>
        </row>
        <row r="6">
          <cell r="R6">
            <v>1715950</v>
          </cell>
          <cell r="S6">
            <v>1343704</v>
          </cell>
          <cell r="T6">
            <v>522400</v>
          </cell>
          <cell r="U6">
            <v>522500</v>
          </cell>
          <cell r="V6">
            <v>397600</v>
          </cell>
        </row>
        <row r="7">
          <cell r="R7">
            <v>520000</v>
          </cell>
          <cell r="S7">
            <v>410000</v>
          </cell>
          <cell r="T7">
            <v>400000</v>
          </cell>
          <cell r="U7">
            <v>430000</v>
          </cell>
          <cell r="V7">
            <v>410000</v>
          </cell>
        </row>
        <row r="8">
          <cell r="R8">
            <v>75000</v>
          </cell>
          <cell r="S8">
            <v>75200</v>
          </cell>
          <cell r="T8">
            <v>75600</v>
          </cell>
          <cell r="U8">
            <v>76000</v>
          </cell>
          <cell r="V8">
            <v>78200</v>
          </cell>
        </row>
        <row r="9">
          <cell r="R9">
            <v>501050</v>
          </cell>
          <cell r="S9">
            <v>1594000</v>
          </cell>
          <cell r="T9">
            <v>150000</v>
          </cell>
          <cell r="U9">
            <v>150000</v>
          </cell>
          <cell r="V9">
            <v>150000</v>
          </cell>
        </row>
        <row r="10">
          <cell r="R10">
            <v>650000</v>
          </cell>
          <cell r="S10">
            <v>650000</v>
          </cell>
          <cell r="T10">
            <v>618000</v>
          </cell>
          <cell r="U10">
            <v>695000</v>
          </cell>
          <cell r="V10">
            <v>636000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R16">
            <v>0</v>
          </cell>
          <cell r="S16">
            <v>0</v>
          </cell>
          <cell r="T16">
            <v>769500</v>
          </cell>
          <cell r="U16">
            <v>804900</v>
          </cell>
          <cell r="V16">
            <v>833100</v>
          </cell>
        </row>
        <row r="17">
          <cell r="R17">
            <v>24000</v>
          </cell>
          <cell r="S17">
            <v>0</v>
          </cell>
          <cell r="T17">
            <v>50000</v>
          </cell>
          <cell r="U17">
            <v>50000</v>
          </cell>
          <cell r="V17">
            <v>50000</v>
          </cell>
          <cell r="W17">
            <v>0</v>
          </cell>
        </row>
        <row r="18">
          <cell r="R18">
            <v>42000</v>
          </cell>
          <cell r="S18">
            <v>48000</v>
          </cell>
          <cell r="T18">
            <v>100000</v>
          </cell>
          <cell r="U18">
            <v>100000</v>
          </cell>
          <cell r="V18">
            <v>100000</v>
          </cell>
        </row>
        <row r="19">
          <cell r="R19">
            <v>28100</v>
          </cell>
          <cell r="S19">
            <v>57700</v>
          </cell>
          <cell r="T19">
            <v>40000</v>
          </cell>
          <cell r="U19">
            <v>40000</v>
          </cell>
          <cell r="V19">
            <v>40000</v>
          </cell>
        </row>
        <row r="20">
          <cell r="R20">
            <v>18000</v>
          </cell>
          <cell r="S20">
            <v>20000</v>
          </cell>
          <cell r="T20">
            <v>30000</v>
          </cell>
          <cell r="U20">
            <v>30000</v>
          </cell>
          <cell r="V20">
            <v>30000</v>
          </cell>
        </row>
        <row r="21">
          <cell r="R21">
            <v>10800</v>
          </cell>
          <cell r="S21">
            <v>240000</v>
          </cell>
          <cell r="T21">
            <v>10000</v>
          </cell>
          <cell r="U21">
            <v>10000</v>
          </cell>
          <cell r="V21">
            <v>10000</v>
          </cell>
        </row>
        <row r="22">
          <cell r="R22">
            <v>10500</v>
          </cell>
          <cell r="S22">
            <v>13000</v>
          </cell>
          <cell r="T22">
            <v>12000</v>
          </cell>
          <cell r="U22">
            <v>12000</v>
          </cell>
          <cell r="V22">
            <v>12000</v>
          </cell>
        </row>
        <row r="23">
          <cell r="R23">
            <v>82500</v>
          </cell>
          <cell r="S23">
            <v>41000</v>
          </cell>
          <cell r="T23">
            <v>60000</v>
          </cell>
          <cell r="U23">
            <v>60000</v>
          </cell>
          <cell r="V23">
            <v>60000</v>
          </cell>
        </row>
        <row r="24">
          <cell r="R24">
            <v>7900</v>
          </cell>
          <cell r="S24">
            <v>11800</v>
          </cell>
          <cell r="T24">
            <v>0</v>
          </cell>
          <cell r="U24">
            <v>0</v>
          </cell>
          <cell r="V24">
            <v>0</v>
          </cell>
        </row>
        <row r="25">
          <cell r="R25">
            <v>107500</v>
          </cell>
          <cell r="S25">
            <v>24000</v>
          </cell>
          <cell r="T25">
            <v>25000</v>
          </cell>
          <cell r="U25">
            <v>25000</v>
          </cell>
          <cell r="V25">
            <v>25000</v>
          </cell>
        </row>
        <row r="26">
          <cell r="R26">
            <v>455600</v>
          </cell>
          <cell r="S26">
            <v>1750300</v>
          </cell>
          <cell r="T26">
            <v>5000</v>
          </cell>
          <cell r="U26">
            <v>5000</v>
          </cell>
          <cell r="V26">
            <v>5000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R28">
            <v>4006400</v>
          </cell>
          <cell r="S28">
            <v>1654300</v>
          </cell>
          <cell r="T28">
            <v>2600000</v>
          </cell>
          <cell r="U28">
            <v>100000</v>
          </cell>
          <cell r="V28">
            <v>100000</v>
          </cell>
        </row>
        <row r="29">
          <cell r="R29">
            <v>397600</v>
          </cell>
          <cell r="S29">
            <v>35000</v>
          </cell>
          <cell r="T29">
            <v>40000</v>
          </cell>
          <cell r="U29">
            <v>45000</v>
          </cell>
          <cell r="V29">
            <v>50000</v>
          </cell>
        </row>
        <row r="30">
          <cell r="R30">
            <v>616200</v>
          </cell>
          <cell r="S30">
            <v>50000</v>
          </cell>
          <cell r="T30">
            <v>60000</v>
          </cell>
          <cell r="U30">
            <v>65000</v>
          </cell>
          <cell r="V30">
            <v>70000</v>
          </cell>
        </row>
        <row r="31">
          <cell r="R31">
            <v>9200</v>
          </cell>
          <cell r="S31">
            <v>9200</v>
          </cell>
          <cell r="T31">
            <v>10000</v>
          </cell>
          <cell r="U31">
            <v>10000</v>
          </cell>
          <cell r="V31">
            <v>10000</v>
          </cell>
        </row>
        <row r="32">
          <cell r="R32">
            <v>6000</v>
          </cell>
          <cell r="S32">
            <v>6000</v>
          </cell>
          <cell r="T32">
            <v>5000</v>
          </cell>
          <cell r="U32">
            <v>5000</v>
          </cell>
          <cell r="V32">
            <v>5000</v>
          </cell>
        </row>
        <row r="33">
          <cell r="R33">
            <v>5000</v>
          </cell>
          <cell r="S33">
            <v>0</v>
          </cell>
          <cell r="T33">
            <v>5000</v>
          </cell>
          <cell r="U33">
            <v>5000</v>
          </cell>
          <cell r="V33">
            <v>5000</v>
          </cell>
        </row>
        <row r="34">
          <cell r="R34">
            <v>5676400</v>
          </cell>
          <cell r="S34">
            <v>6400000</v>
          </cell>
          <cell r="T34">
            <v>7000000</v>
          </cell>
          <cell r="U34">
            <v>7750000</v>
          </cell>
          <cell r="V34">
            <v>8500000</v>
          </cell>
        </row>
        <row r="35">
          <cell r="R35">
            <v>72000</v>
          </cell>
          <cell r="S35">
            <v>70000</v>
          </cell>
          <cell r="T35">
            <v>70000</v>
          </cell>
          <cell r="U35">
            <v>70000</v>
          </cell>
          <cell r="V35">
            <v>70000</v>
          </cell>
        </row>
        <row r="36">
          <cell r="R36">
            <v>25000</v>
          </cell>
          <cell r="S36">
            <v>30000</v>
          </cell>
          <cell r="T36">
            <v>30000</v>
          </cell>
          <cell r="U36">
            <v>30000</v>
          </cell>
          <cell r="V36">
            <v>30000</v>
          </cell>
        </row>
        <row r="37">
          <cell r="R37">
            <v>1800000</v>
          </cell>
          <cell r="S37">
            <v>1440000</v>
          </cell>
          <cell r="T37">
            <v>1600000</v>
          </cell>
          <cell r="U37">
            <v>1750000</v>
          </cell>
          <cell r="V37">
            <v>1900000</v>
          </cell>
        </row>
        <row r="38">
          <cell r="R38">
            <v>477400</v>
          </cell>
          <cell r="S38">
            <v>498000</v>
          </cell>
          <cell r="T38">
            <v>500000</v>
          </cell>
          <cell r="U38">
            <v>500000</v>
          </cell>
          <cell r="V38">
            <v>500000</v>
          </cell>
        </row>
        <row r="39">
          <cell r="R39">
            <v>300000</v>
          </cell>
          <cell r="S39">
            <v>300000</v>
          </cell>
          <cell r="T39">
            <v>200000</v>
          </cell>
          <cell r="U39">
            <v>200000</v>
          </cell>
          <cell r="V39">
            <v>200000</v>
          </cell>
        </row>
        <row r="40">
          <cell r="R40">
            <v>150800</v>
          </cell>
          <cell r="S40">
            <v>179300</v>
          </cell>
          <cell r="T40">
            <v>155000</v>
          </cell>
          <cell r="U40">
            <v>160000</v>
          </cell>
          <cell r="V40">
            <v>160000</v>
          </cell>
        </row>
        <row r="41">
          <cell r="R41">
            <v>52000</v>
          </cell>
          <cell r="S41">
            <v>50000</v>
          </cell>
          <cell r="T41">
            <v>50000</v>
          </cell>
          <cell r="U41">
            <v>50000</v>
          </cell>
          <cell r="V41">
            <v>50000</v>
          </cell>
        </row>
        <row r="42">
          <cell r="R42">
            <v>51200</v>
          </cell>
          <cell r="S42">
            <v>30000</v>
          </cell>
          <cell r="T42">
            <v>60000</v>
          </cell>
          <cell r="U42">
            <v>65000</v>
          </cell>
          <cell r="V42">
            <v>65000</v>
          </cell>
        </row>
        <row r="43">
          <cell r="R43">
            <v>614200</v>
          </cell>
          <cell r="S43">
            <v>213200</v>
          </cell>
          <cell r="T43">
            <v>300000</v>
          </cell>
          <cell r="U43">
            <v>300000</v>
          </cell>
          <cell r="V43">
            <v>300000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way to Filing"/>
      <sheetName val="Tab 54 - Sched A Overall "/>
      <sheetName val="Sch 2 - Op Revenue"/>
      <sheetName val="Bill Analysis Proposed"/>
      <sheetName val="Sch 2 back up"/>
      <sheetName val="Gas Cost"/>
      <sheetName val="Sch 3 - O&amp;M"/>
      <sheetName val="Sch 3.1 - Labor"/>
      <sheetName val="Sch 3.2 - Rate Case Exp"/>
      <sheetName val="Sch 3.2 back up"/>
      <sheetName val="Sch 3.3 - Lobbying"/>
      <sheetName val="Sch 3.4 - Medical and Dental"/>
      <sheetName val="Sch 3.5 - 401k "/>
      <sheetName val="Sch 3.6 - Pensions"/>
      <sheetName val="Sch 3.3 - Bad Debt Exp"/>
      <sheetName val="Sch 4 - Dep Exp"/>
      <sheetName val="State P&amp;L 9 20 - 3 21"/>
      <sheetName val="PKY Dep"/>
      <sheetName val="Sch 5 - Taxes Other"/>
      <sheetName val="Sch 5.1 - Payroll Taxes"/>
      <sheetName val="Sch 5.1 - Prop Taxes"/>
      <sheetName val="Sch 5.2 - Property Taxes"/>
      <sheetName val="Sch 6 Op Inc Adj"/>
      <sheetName val="Sch 7 - Inc Tax Adj"/>
      <sheetName val="Sch 7.1 - Fed &amp; St tax rate"/>
      <sheetName val="Sch 8 - Interest"/>
      <sheetName val="Sch 9 - Int. Cov"/>
      <sheetName val="Adj Log"/>
      <sheetName val="Adj Log 5 10 21"/>
      <sheetName val="Adj Log 5 11 21"/>
      <sheetName val="Income Statement Detail"/>
      <sheetName val="Income Statement Summary"/>
      <sheetName val="PKY Increase"/>
      <sheetName val="PRP"/>
      <sheetName val="App Harvest"/>
      <sheetName val="PreTax Net Income"/>
      <sheetName val="PKY Return"/>
      <sheetName val="Base Year - FERC"/>
      <sheetName val="Base Year - Natural"/>
      <sheetName val="Return"/>
      <sheetName val="Capital Structure"/>
      <sheetName val="Cap Structure Proj"/>
      <sheetName val="PKY CS"/>
      <sheetName val="Tab 13"/>
      <sheetName val="Tab 55 p1"/>
      <sheetName val="Tab 55 p2"/>
      <sheetName val="Tab 55 p3"/>
      <sheetName val="Tab 55 p4"/>
      <sheetName val="Tab 55 p5"/>
      <sheetName val="Tab 55 p6"/>
      <sheetName val="Tab 55 p7"/>
      <sheetName val="Tab 55 p8"/>
      <sheetName val="Tab 55 p9"/>
      <sheetName val="Tab 55 p10"/>
      <sheetName val="Tab 55 p11"/>
      <sheetName val="Tab 55 p12"/>
      <sheetName val="Tab 55 p13"/>
      <sheetName val="Tab 58e"/>
      <sheetName val="Tab 63j"/>
      <sheetName val="Rate Base"/>
      <sheetName val="PKY RB"/>
      <sheetName val="2021 capex &amp; dep"/>
      <sheetName val="2022 capex &amp; dep"/>
      <sheetName val="PKY 2021 Capex"/>
      <sheetName val="Aug &amp; Sep 2020 BS"/>
      <sheetName val="Oct &amp; Nov 2020 BS"/>
      <sheetName val="Dec 20 &amp; Jan 21 BS"/>
      <sheetName val="Feb &amp; Mar 21 BS"/>
      <sheetName val="3 31 21 Bal Sheet"/>
      <sheetName val="ADIT 12 31 20"/>
      <sheetName val="ADIT 3 31 21"/>
      <sheetName val="12 31 22 ADIT"/>
      <sheetName val="13 mo Avg ADIT"/>
      <sheetName val="Unbilled Reconcili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5">
          <cell r="I5">
            <v>301255706.79076922</v>
          </cell>
        </row>
      </sheetData>
      <sheetData sheetId="60" refreshError="1"/>
      <sheetData sheetId="61" refreshError="1">
        <row r="6">
          <cell r="R6">
            <v>1715950</v>
          </cell>
        </row>
        <row r="45">
          <cell r="R45">
            <v>276048694.57999998</v>
          </cell>
        </row>
        <row r="48">
          <cell r="AE48">
            <v>293472610.56</v>
          </cell>
        </row>
      </sheetData>
      <sheetData sheetId="62" refreshError="1">
        <row r="6">
          <cell r="S6">
            <v>40000</v>
          </cell>
        </row>
        <row r="48">
          <cell r="AD48">
            <v>309545058.56</v>
          </cell>
        </row>
      </sheetData>
      <sheetData sheetId="63" refreshError="1"/>
      <sheetData sheetId="64" refreshError="1"/>
      <sheetData sheetId="65" refreshError="1"/>
      <sheetData sheetId="66" refreshError="1">
        <row r="4">
          <cell r="E4">
            <v>267804985.19999999</v>
          </cell>
        </row>
        <row r="9">
          <cell r="E9">
            <v>4585903.09</v>
          </cell>
        </row>
      </sheetData>
      <sheetData sheetId="67" refreshError="1"/>
      <sheetData sheetId="68" refreshError="1">
        <row r="6">
          <cell r="E6">
            <v>91469.88</v>
          </cell>
        </row>
        <row r="7">
          <cell r="E7">
            <v>-580759.07999999996</v>
          </cell>
        </row>
        <row r="10">
          <cell r="E10">
            <v>4585903.09</v>
          </cell>
        </row>
        <row r="19">
          <cell r="E19">
            <v>4208069.49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GCF"/>
      <sheetName val="ADIT Rate Base"/>
      <sheetName val="IRS Norm Adj"/>
      <sheetName val="Balance Sheet"/>
      <sheetName val="PKY Support"/>
      <sheetName val="Delta Support"/>
      <sheetName val="FED Amort"/>
      <sheetName val="KY Amort"/>
      <sheetName val="TCJA Excess"/>
    </sheetNames>
    <sheetDataSet>
      <sheetData sheetId="0"/>
      <sheetData sheetId="1"/>
      <sheetData sheetId="2"/>
      <sheetData sheetId="3"/>
      <sheetData sheetId="4">
        <row r="37">
          <cell r="D37">
            <v>13303189.000000006</v>
          </cell>
        </row>
      </sheetData>
      <sheetData sheetId="5">
        <row r="10">
          <cell r="N10">
            <v>14102</v>
          </cell>
        </row>
        <row r="16">
          <cell r="N16">
            <v>-22822</v>
          </cell>
        </row>
        <row r="17">
          <cell r="N17">
            <v>6070</v>
          </cell>
        </row>
        <row r="18">
          <cell r="N18">
            <v>16752</v>
          </cell>
        </row>
        <row r="48">
          <cell r="N48">
            <v>-6449</v>
          </cell>
        </row>
      </sheetData>
      <sheetData sheetId="6"/>
      <sheetData sheetId="7"/>
      <sheetData sheetId="8">
        <row r="207">
          <cell r="J207">
            <v>-611900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ate"/>
      <sheetName val="GCF"/>
      <sheetName val="ADIT Rate Base 12-31-20"/>
      <sheetName val="ADIT 3 31 21"/>
      <sheetName val="ADIT 12-31-22"/>
      <sheetName val="IRS Norm Adj-DNG"/>
      <sheetName val="IRS Norm Adj-PKY"/>
      <sheetName val="Delta Tax Depr 2021"/>
      <sheetName val="Delta Tax Depr 2022"/>
      <sheetName val="PGK Tax Depr 2021"/>
      <sheetName val="PGKY Tax Depr 2022"/>
      <sheetName val="12 31 20 Bal Sheet"/>
      <sheetName val="3-31-2021 Nat BS"/>
      <sheetName val="3 31 21 Bal Sheet"/>
      <sheetName val="PKY Support"/>
      <sheetName val="Delta Support"/>
      <sheetName val="FED Amort"/>
      <sheetName val="KY Amort"/>
      <sheetName val="TCJA Excess"/>
      <sheetName val="2021 capex &amp; dep"/>
      <sheetName val="2022 capex &amp; dep"/>
      <sheetName val="PKY 2021-22 Capex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C34">
            <v>25737736.979357012</v>
          </cell>
        </row>
        <row r="87">
          <cell r="H87">
            <v>-27044.332533441484</v>
          </cell>
        </row>
      </sheetData>
      <sheetData sheetId="7">
        <row r="34">
          <cell r="C34">
            <v>208999.52173006922</v>
          </cell>
        </row>
        <row r="87">
          <cell r="H87">
            <v>-3250.2674781594251</v>
          </cell>
        </row>
      </sheetData>
      <sheetData sheetId="8"/>
      <sheetData sheetId="9"/>
      <sheetData sheetId="10"/>
      <sheetData sheetId="11"/>
      <sheetData sheetId="12"/>
      <sheetData sheetId="13">
        <row r="24">
          <cell r="E24">
            <v>230617</v>
          </cell>
          <cell r="F24">
            <v>-13409658</v>
          </cell>
        </row>
      </sheetData>
      <sheetData sheetId="14"/>
      <sheetData sheetId="15"/>
      <sheetData sheetId="16"/>
      <sheetData sheetId="17">
        <row r="58">
          <cell r="N58">
            <v>11933551.120000016</v>
          </cell>
        </row>
      </sheetData>
      <sheetData sheetId="18">
        <row r="210">
          <cell r="M210">
            <v>215500</v>
          </cell>
        </row>
        <row r="231">
          <cell r="M231">
            <v>146200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of"/>
      <sheetName val="Sch 1 - Revenue Requirement"/>
      <sheetName val="Sch 2 - Revenue"/>
      <sheetName val="Sch 2 back up"/>
      <sheetName val="Sch 3 - O&amp;M"/>
      <sheetName val="Sch 3 back up"/>
      <sheetName val="Sch 3.1 - Labor"/>
      <sheetName val="Sch 3.2 - Rate Case Exp"/>
      <sheetName val="Sch 3.2 back up"/>
      <sheetName val="Sch 3.3 - Bad Debt Exp"/>
      <sheetName val="Sch 4 - Dep Exp"/>
      <sheetName val="Sch 5 - Taxes Other"/>
      <sheetName val="PR Taxes back up"/>
      <sheetName val="Sch 5.1 - Prop Taxes"/>
      <sheetName val="Sch 5 back up"/>
      <sheetName val="Sch 6 Op Inc Adj"/>
      <sheetName val="Sch 7 - Inc Tax Adj"/>
      <sheetName val="Sch 7.1 - Fed &amp; St tax rate"/>
      <sheetName val="Sch 8 - Interest"/>
      <sheetName val="Sch 9 - Int. Cov"/>
      <sheetName val="Return"/>
      <sheetName val="PKY Increase"/>
      <sheetName val="PRP"/>
      <sheetName val="App Harvest"/>
      <sheetName val="Salaries"/>
      <sheetName val="Lobbying"/>
      <sheetName val="PKY Return"/>
      <sheetName val="Base Year"/>
      <sheetName val="Sept 20 - Mar 21"/>
      <sheetName val="Capital Structure"/>
      <sheetName val="PKY CS"/>
      <sheetName val="Rate Base"/>
      <sheetName val="PKY RB"/>
      <sheetName val="COR"/>
      <sheetName val="Unamort Debt support"/>
      <sheetName val="Current Assets support"/>
      <sheetName val="3 31 21 Bal Sheet"/>
      <sheetName val="ADIT 12 31 20"/>
      <sheetName val="ADIT 3 31 21"/>
      <sheetName val="2021 capex &amp; dep"/>
      <sheetName val="2022 capex &amp; dep"/>
      <sheetName val="PKY 2021 Capex"/>
      <sheetName val="Unbilled Reconcil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H5">
            <v>277645551.06</v>
          </cell>
        </row>
      </sheetData>
      <sheetData sheetId="33"/>
      <sheetData sheetId="34"/>
      <sheetData sheetId="35"/>
      <sheetData sheetId="36"/>
      <sheetData sheetId="37">
        <row r="13">
          <cell r="J13">
            <v>276109668.57999998</v>
          </cell>
        </row>
        <row r="51">
          <cell r="E51">
            <v>2092021.15</v>
          </cell>
        </row>
        <row r="57">
          <cell r="D57">
            <v>4648258</v>
          </cell>
        </row>
        <row r="109">
          <cell r="D109">
            <v>-17587574.34</v>
          </cell>
        </row>
        <row r="110">
          <cell r="D110">
            <v>-28766605.460000001</v>
          </cell>
        </row>
        <row r="111">
          <cell r="D111">
            <v>775873.35</v>
          </cell>
        </row>
      </sheetData>
      <sheetData sheetId="38">
        <row r="54">
          <cell r="E54">
            <v>13303189.000000006</v>
          </cell>
        </row>
      </sheetData>
      <sheetData sheetId="39">
        <row r="55">
          <cell r="E55">
            <v>13409658</v>
          </cell>
        </row>
      </sheetData>
      <sheetData sheetId="40">
        <row r="5">
          <cell r="AE5">
            <v>0</v>
          </cell>
        </row>
      </sheetData>
      <sheetData sheetId="41"/>
      <sheetData sheetId="42">
        <row r="35">
          <cell r="D35">
            <v>44258</v>
          </cell>
        </row>
      </sheetData>
      <sheetData sheetId="4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way to Filing"/>
      <sheetName val="Tab 54 - Sched A Overall "/>
      <sheetName val="Sch 2 - Op Revenue"/>
      <sheetName val="Bill Analysis Proposed"/>
      <sheetName val="Sch 2 back up"/>
      <sheetName val="Gas Cost"/>
      <sheetName val="Sch 3 - O&amp;M"/>
      <sheetName val="Sch 3.1 - Labor"/>
      <sheetName val="Sch 3.2 - Rate Case Exp"/>
      <sheetName val="Sch 3.2 back up"/>
      <sheetName val="Sch 3.3 - Lobbying"/>
      <sheetName val="Sch 3.4 - Medical and Dental"/>
      <sheetName val="Sch 3.5 - 401k "/>
      <sheetName val="Sch 3.6 - Pensions"/>
      <sheetName val="Sch 3.3 - Bad Debt Exp"/>
      <sheetName val="Sch 4 - Dep Exp"/>
      <sheetName val="State P&amp;L 9 20 - 3 21"/>
      <sheetName val="PKY Dep"/>
      <sheetName val="Sch 5 - Taxes Other"/>
      <sheetName val="Sch 5.1 - Payroll Taxes"/>
      <sheetName val="Sch 5.1 - Prop Taxes"/>
      <sheetName val="Sch 5.2 - Property Taxes"/>
      <sheetName val="Sch 6 Op Inc Adj"/>
      <sheetName val="Sch 7 - Inc Tax Adj"/>
      <sheetName val="Sch 7.1 - Fed &amp; St tax rate"/>
      <sheetName val="Sch 7.2 - Fed &amp; St Income Tax"/>
      <sheetName val="Sch 8 - Interest"/>
      <sheetName val="Sch 9 - Int. Cov"/>
      <sheetName val="Adj Log"/>
      <sheetName val="Adj Log 5 10 21"/>
      <sheetName val="Adj Log 5 11 21"/>
      <sheetName val="Income Statement Detail"/>
      <sheetName val="Income Statement Summary"/>
      <sheetName val="PKY Increase"/>
      <sheetName val="PRP"/>
      <sheetName val="App Harvest"/>
      <sheetName val="PreTax Net Income"/>
      <sheetName val="PKY Return"/>
      <sheetName val="Base Year - FERC"/>
      <sheetName val="Base Year - Natural"/>
      <sheetName val="Return"/>
      <sheetName val="Capital Structure"/>
      <sheetName val="Cap Structure Proj"/>
      <sheetName val="PKY CS"/>
      <sheetName val="Tab 13"/>
      <sheetName val="Tab 22"/>
      <sheetName val="Tab 23"/>
      <sheetName val="Tab 33"/>
      <sheetName val="Tab 55 p1"/>
      <sheetName val="Tab 55 p2"/>
      <sheetName val="Tab 55 p3"/>
      <sheetName val="Tab 55 p4"/>
      <sheetName val="Tab 55 p5"/>
      <sheetName val="Tab 55 p6"/>
      <sheetName val="Tab 55 p7"/>
      <sheetName val="Tab 55 p8"/>
      <sheetName val="Tab 55 p9"/>
      <sheetName val="Tab 55 p10"/>
      <sheetName val="Tab 55 p11"/>
      <sheetName val="Tab 55 p12"/>
      <sheetName val="Tab 55 p13"/>
      <sheetName val="Tab 58 p1"/>
      <sheetName val="Tab 58 p2"/>
      <sheetName val="Tab 63"/>
      <sheetName val="Rate Base"/>
      <sheetName val="PKY RB"/>
      <sheetName val="2021 capex &amp; dep"/>
      <sheetName val="2022 capex &amp; dep"/>
      <sheetName val="PKY 2021 Capex"/>
      <sheetName val="Aug &amp; Sep 2020 BS"/>
      <sheetName val="Oct &amp; Nov 2020 BS"/>
      <sheetName val="Dec 20 &amp; Jan 21 BS"/>
      <sheetName val="Feb &amp; Mar 21 BS"/>
      <sheetName val="3 31 21 Bal Sheet"/>
      <sheetName val="ADIT 12 31 20"/>
      <sheetName val="ADIT 3 31 21"/>
      <sheetName val="12 31 22 ADIT"/>
      <sheetName val="13 mo Avg ADIT"/>
      <sheetName val="Unbilled Reconcil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1">
          <cell r="J41">
            <v>0</v>
          </cell>
          <cell r="K41">
            <v>0</v>
          </cell>
        </row>
        <row r="48">
          <cell r="I48">
            <v>15283587.460000005</v>
          </cell>
          <cell r="J48">
            <v>16006949.709243715</v>
          </cell>
          <cell r="K48">
            <v>16006949.709243715</v>
          </cell>
        </row>
      </sheetData>
      <sheetData sheetId="41">
        <row r="18">
          <cell r="O18">
            <v>7.6497723496176007E-2</v>
          </cell>
        </row>
      </sheetData>
      <sheetData sheetId="42">
        <row r="17">
          <cell r="AN17">
            <v>-28412486.250302732</v>
          </cell>
        </row>
        <row r="19">
          <cell r="AS19">
            <v>138921564.79537719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O5">
            <v>604905.27461538452</v>
          </cell>
        </row>
        <row r="6">
          <cell r="O6">
            <v>1143702.0207692308</v>
          </cell>
        </row>
        <row r="7">
          <cell r="O7">
            <v>1072740.6115384614</v>
          </cell>
        </row>
      </sheetData>
      <sheetData sheetId="52">
        <row r="15">
          <cell r="G15">
            <v>1747660.73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8">
          <cell r="AF48">
            <v>301255706.79076922</v>
          </cell>
        </row>
        <row r="57">
          <cell r="AF57">
            <v>-127857042.66777468</v>
          </cell>
        </row>
        <row r="67">
          <cell r="AF67">
            <v>-42774952.343603849</v>
          </cell>
        </row>
      </sheetData>
      <sheetData sheetId="68"/>
      <sheetData sheetId="69"/>
      <sheetData sheetId="70"/>
      <sheetData sheetId="71"/>
      <sheetData sheetId="72"/>
      <sheetData sheetId="73">
        <row r="13">
          <cell r="I13">
            <v>277645551.06</v>
          </cell>
          <cell r="J13">
            <v>276109668.57999998</v>
          </cell>
        </row>
        <row r="15">
          <cell r="I15">
            <v>-118940848.98</v>
          </cell>
          <cell r="J15">
            <v>-116997280.78</v>
          </cell>
        </row>
        <row r="105">
          <cell r="I105">
            <v>-457600.2</v>
          </cell>
          <cell r="J105">
            <v>-115558.91</v>
          </cell>
        </row>
      </sheetData>
      <sheetData sheetId="74">
        <row r="54">
          <cell r="K54">
            <v>13303189.000000006</v>
          </cell>
        </row>
        <row r="55">
          <cell r="K55">
            <v>611900</v>
          </cell>
        </row>
        <row r="57">
          <cell r="K57">
            <v>43195788.000000007</v>
          </cell>
        </row>
      </sheetData>
      <sheetData sheetId="75">
        <row r="56">
          <cell r="K56">
            <v>12963541</v>
          </cell>
        </row>
        <row r="57">
          <cell r="K57">
            <v>215500</v>
          </cell>
        </row>
        <row r="59">
          <cell r="K59">
            <v>42472111</v>
          </cell>
        </row>
      </sheetData>
      <sheetData sheetId="76"/>
      <sheetData sheetId="77"/>
      <sheetData sheetId="7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of"/>
      <sheetName val="Schedule 1"/>
      <sheetName val="Schedule 2"/>
      <sheetName val="Schedule 3"/>
      <sheetName val="Schedule 3.1"/>
      <sheetName val="Schedule 3.2"/>
      <sheetName val="Schedule 3.3"/>
      <sheetName val="Schedule 4"/>
      <sheetName val="Schedule 5"/>
      <sheetName val="Schedule 5.1"/>
      <sheetName val="Schedule 6"/>
      <sheetName val="Schedule 7"/>
      <sheetName val="Schedule 7.1"/>
      <sheetName val="Schedule 8"/>
      <sheetName val="Schedule 9"/>
      <sheetName val="Return"/>
      <sheetName val="Capital Structure"/>
      <sheetName val="Rate Base"/>
      <sheetName val="Unbilled Reconcil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3">
          <cell r="N53">
            <v>13202918.666666666</v>
          </cell>
        </row>
      </sheetData>
      <sheetData sheetId="17">
        <row r="18">
          <cell r="Z18"/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ACEE-B998-441C-BCDB-B323CEBB1983}">
  <sheetPr>
    <tabColor rgb="FF0000FF"/>
    <pageSetUpPr fitToPage="1"/>
  </sheetPr>
  <dimension ref="A1:L40"/>
  <sheetViews>
    <sheetView tabSelected="1" topLeftCell="B1" zoomScale="124" zoomScaleNormal="124" workbookViewId="0">
      <selection activeCell="D35" sqref="D35"/>
    </sheetView>
  </sheetViews>
  <sheetFormatPr defaultRowHeight="14.4" x14ac:dyDescent="0.3"/>
  <cols>
    <col min="10" max="10" width="16" customWidth="1"/>
    <col min="12" max="12" width="16" bestFit="1" customWidth="1"/>
  </cols>
  <sheetData>
    <row r="1" spans="1:12" x14ac:dyDescent="0.3">
      <c r="A1" s="320" t="s">
        <v>140</v>
      </c>
    </row>
    <row r="2" spans="1:12" x14ac:dyDescent="0.3">
      <c r="A2" t="s">
        <v>1026</v>
      </c>
    </row>
    <row r="3" spans="1:12" x14ac:dyDescent="0.3">
      <c r="A3" t="s">
        <v>1027</v>
      </c>
    </row>
    <row r="5" spans="1:12" x14ac:dyDescent="0.3">
      <c r="A5" t="s">
        <v>1030</v>
      </c>
    </row>
    <row r="8" spans="1:12" x14ac:dyDescent="0.3">
      <c r="B8" s="321" t="s">
        <v>30</v>
      </c>
      <c r="J8" s="331" t="s">
        <v>1028</v>
      </c>
      <c r="L8" s="331" t="s">
        <v>1029</v>
      </c>
    </row>
    <row r="10" spans="1:12" x14ac:dyDescent="0.3">
      <c r="B10" s="230">
        <v>1</v>
      </c>
      <c r="D10" s="320" t="s">
        <v>142</v>
      </c>
      <c r="J10" s="329">
        <f>'Rate base'!H20</f>
        <v>122344868.23057854</v>
      </c>
      <c r="L10" s="330">
        <f>'Rate base'!I20</f>
        <v>136735988.92996925</v>
      </c>
    </row>
    <row r="11" spans="1:12" x14ac:dyDescent="0.3">
      <c r="B11" s="230"/>
    </row>
    <row r="12" spans="1:12" x14ac:dyDescent="0.3">
      <c r="B12" s="230"/>
    </row>
    <row r="13" spans="1:12" x14ac:dyDescent="0.3">
      <c r="B13" s="230">
        <v>2</v>
      </c>
      <c r="D13" t="s">
        <v>1041</v>
      </c>
    </row>
    <row r="14" spans="1:12" x14ac:dyDescent="0.3">
      <c r="B14" s="230"/>
    </row>
    <row r="15" spans="1:12" x14ac:dyDescent="0.3">
      <c r="B15" s="230">
        <v>3</v>
      </c>
      <c r="D15" t="s">
        <v>1035</v>
      </c>
      <c r="J15" s="252">
        <f>Differences!P10</f>
        <v>-1931352.3769230768</v>
      </c>
    </row>
    <row r="16" spans="1:12" x14ac:dyDescent="0.3">
      <c r="B16" s="230"/>
    </row>
    <row r="17" spans="2:10" x14ac:dyDescent="0.3">
      <c r="B17" s="230">
        <v>4</v>
      </c>
      <c r="D17" t="s">
        <v>1045</v>
      </c>
      <c r="J17" s="252">
        <f>Differences!P32</f>
        <v>2101506.75</v>
      </c>
    </row>
    <row r="18" spans="2:10" x14ac:dyDescent="0.3">
      <c r="B18" s="230"/>
    </row>
    <row r="19" spans="2:10" x14ac:dyDescent="0.3">
      <c r="B19" s="230">
        <v>5</v>
      </c>
      <c r="D19" t="s">
        <v>1032</v>
      </c>
      <c r="J19" s="252">
        <f>Differences!P15</f>
        <v>-4408533.34</v>
      </c>
    </row>
    <row r="20" spans="2:10" x14ac:dyDescent="0.3">
      <c r="B20" s="230"/>
    </row>
    <row r="21" spans="2:10" x14ac:dyDescent="0.3">
      <c r="B21" s="230">
        <v>6</v>
      </c>
      <c r="D21" t="s">
        <v>1052</v>
      </c>
      <c r="J21" s="252">
        <f>Differences!P22</f>
        <v>5950595.8900000006</v>
      </c>
    </row>
    <row r="22" spans="2:10" x14ac:dyDescent="0.3">
      <c r="B22" s="230"/>
    </row>
    <row r="23" spans="2:10" x14ac:dyDescent="0.3">
      <c r="B23" s="230">
        <v>7</v>
      </c>
      <c r="D23" t="s">
        <v>1042</v>
      </c>
      <c r="J23" s="252">
        <f>Differences!P27</f>
        <v>789453.21</v>
      </c>
    </row>
    <row r="24" spans="2:10" x14ac:dyDescent="0.3">
      <c r="B24" s="230"/>
    </row>
    <row r="25" spans="2:10" x14ac:dyDescent="0.3">
      <c r="B25" s="230">
        <v>8</v>
      </c>
      <c r="D25" t="s">
        <v>1043</v>
      </c>
      <c r="J25" s="252">
        <f>Differences!P36</f>
        <v>-802585.38</v>
      </c>
    </row>
    <row r="26" spans="2:10" x14ac:dyDescent="0.3">
      <c r="B26" s="230"/>
    </row>
    <row r="27" spans="2:10" x14ac:dyDescent="0.3">
      <c r="B27" s="230">
        <v>9</v>
      </c>
      <c r="D27" t="s">
        <v>1044</v>
      </c>
      <c r="J27" s="252">
        <f>Differences!P41</f>
        <v>-2599611.67</v>
      </c>
    </row>
    <row r="28" spans="2:10" x14ac:dyDescent="0.3">
      <c r="B28" s="230"/>
      <c r="J28" s="252"/>
    </row>
    <row r="29" spans="2:10" x14ac:dyDescent="0.3">
      <c r="B29" s="230">
        <v>10</v>
      </c>
      <c r="D29" t="s">
        <v>416</v>
      </c>
      <c r="J29" s="252">
        <f>Differences!C62</f>
        <v>-8068155.9536554674</v>
      </c>
    </row>
    <row r="30" spans="2:10" x14ac:dyDescent="0.3">
      <c r="B30" s="230"/>
      <c r="J30" s="252"/>
    </row>
    <row r="31" spans="2:10" x14ac:dyDescent="0.3">
      <c r="B31" s="230">
        <v>11</v>
      </c>
      <c r="D31" t="s">
        <v>1048</v>
      </c>
      <c r="J31" s="252">
        <f>'3 31 21 model Bal Sheet'!D59</f>
        <v>163027.34</v>
      </c>
    </row>
    <row r="32" spans="2:10" x14ac:dyDescent="0.3">
      <c r="B32" s="230"/>
      <c r="J32" s="252"/>
    </row>
    <row r="33" spans="2:12" x14ac:dyDescent="0.3">
      <c r="B33" s="230">
        <v>12</v>
      </c>
      <c r="D33" t="s">
        <v>1051</v>
      </c>
      <c r="J33" s="328">
        <f>Differences!P50</f>
        <v>10001.450000000001</v>
      </c>
    </row>
    <row r="34" spans="2:12" x14ac:dyDescent="0.3">
      <c r="B34" s="230"/>
      <c r="J34" s="252"/>
    </row>
    <row r="35" spans="2:12" ht="15.6" x14ac:dyDescent="0.4">
      <c r="B35" s="230">
        <v>13</v>
      </c>
      <c r="D35" s="322" t="s">
        <v>1053</v>
      </c>
      <c r="L35" s="323">
        <f>-'[42]Cap Structure Proj'!AN17/13</f>
        <v>2185575.8654079023</v>
      </c>
    </row>
    <row r="36" spans="2:12" ht="15.6" x14ac:dyDescent="0.4">
      <c r="D36" s="322"/>
      <c r="L36" s="323"/>
    </row>
    <row r="37" spans="2:12" x14ac:dyDescent="0.3">
      <c r="B37" s="230">
        <v>14</v>
      </c>
      <c r="D37" s="320" t="s">
        <v>1031</v>
      </c>
      <c r="J37" s="329">
        <f>SUM(J10:J35)</f>
        <v>113549214.14999999</v>
      </c>
      <c r="L37" s="330">
        <f>'[42]Cap Structure Proj'!AS19</f>
        <v>138921564.79537719</v>
      </c>
    </row>
    <row r="38" spans="2:12" x14ac:dyDescent="0.3">
      <c r="B38" s="230"/>
    </row>
    <row r="40" spans="2:12" x14ac:dyDescent="0.3">
      <c r="B40" s="230"/>
    </row>
  </sheetData>
  <pageMargins left="0.7" right="0.7" top="0.75" bottom="0.75" header="0.3" footer="0.3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D510-5B37-4FC2-B655-AD92529DE7A0}">
  <sheetPr>
    <tabColor rgb="FF66FF33"/>
    <pageSetUpPr fitToPage="1"/>
  </sheetPr>
  <dimension ref="A1:AM67"/>
  <sheetViews>
    <sheetView topLeftCell="C37" workbookViewId="0">
      <selection activeCell="G32" sqref="G32"/>
    </sheetView>
  </sheetViews>
  <sheetFormatPr defaultColWidth="8.6640625" defaultRowHeight="13.2" x14ac:dyDescent="0.25"/>
  <cols>
    <col min="1" max="1" width="11.44140625" style="48" hidden="1" customWidth="1"/>
    <col min="2" max="2" width="22.44140625" style="48" hidden="1" customWidth="1"/>
    <col min="3" max="3" width="7.109375" style="48" bestFit="1" customWidth="1"/>
    <col min="4" max="4" width="44.44140625" style="48" bestFit="1" customWidth="1"/>
    <col min="5" max="5" width="11.44140625" style="48" hidden="1" customWidth="1"/>
    <col min="6" max="6" width="8.6640625" style="48" hidden="1" customWidth="1"/>
    <col min="7" max="7" width="18.88671875" style="48" hidden="1" customWidth="1"/>
    <col min="8" max="8" width="9.109375" style="48" hidden="1" customWidth="1"/>
    <col min="9" max="9" width="27.109375" style="48" hidden="1" customWidth="1"/>
    <col min="10" max="10" width="48.88671875" style="48" hidden="1" customWidth="1"/>
    <col min="11" max="11" width="11.88671875" style="48" hidden="1" customWidth="1"/>
    <col min="12" max="12" width="34" style="48" hidden="1" customWidth="1"/>
    <col min="13" max="13" width="7.109375" style="48" hidden="1" customWidth="1"/>
    <col min="14" max="14" width="48.44140625" style="48" hidden="1" customWidth="1"/>
    <col min="15" max="15" width="8.6640625" style="48"/>
    <col min="16" max="16" width="12.88671875" style="48" bestFit="1" customWidth="1"/>
    <col min="17" max="17" width="6.6640625" style="48" customWidth="1"/>
    <col min="18" max="20" width="12.88671875" style="48" hidden="1" customWidth="1"/>
    <col min="21" max="29" width="12.88671875" style="48" bestFit="1" customWidth="1"/>
    <col min="30" max="30" width="15" style="48" bestFit="1" customWidth="1"/>
    <col min="31" max="31" width="12.88671875" style="48" bestFit="1" customWidth="1"/>
    <col min="32" max="32" width="6.6640625" style="48" customWidth="1"/>
    <col min="33" max="33" width="12.5546875" style="48" customWidth="1"/>
    <col min="34" max="36" width="12.5546875" style="48" bestFit="1" customWidth="1"/>
    <col min="37" max="37" width="10.5546875" style="48" hidden="1" customWidth="1"/>
    <col min="38" max="38" width="8.6640625" style="48"/>
    <col min="39" max="39" width="12.5546875" style="48" bestFit="1" customWidth="1"/>
    <col min="40" max="16384" width="8.6640625" style="48"/>
  </cols>
  <sheetData>
    <row r="1" spans="1:37" ht="14.4" x14ac:dyDescent="0.3"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J1" s="35" t="s">
        <v>141</v>
      </c>
    </row>
    <row r="2" spans="1:37" ht="13.8" x14ac:dyDescent="0.3">
      <c r="AJ2" s="37" t="s">
        <v>165</v>
      </c>
    </row>
    <row r="4" spans="1:37" s="50" customFormat="1" ht="81" x14ac:dyDescent="0.45">
      <c r="A4" s="50" t="s">
        <v>166</v>
      </c>
      <c r="B4" s="50" t="s">
        <v>167</v>
      </c>
      <c r="C4" s="50" t="s">
        <v>168</v>
      </c>
      <c r="D4" s="50" t="s">
        <v>31</v>
      </c>
      <c r="E4" s="50" t="s">
        <v>169</v>
      </c>
      <c r="F4" s="50" t="s">
        <v>170</v>
      </c>
      <c r="G4" s="50" t="s">
        <v>171</v>
      </c>
      <c r="H4" s="50" t="s">
        <v>172</v>
      </c>
      <c r="I4" s="50" t="s">
        <v>173</v>
      </c>
      <c r="J4" s="50" t="s">
        <v>174</v>
      </c>
      <c r="K4" s="50" t="s">
        <v>175</v>
      </c>
      <c r="L4" s="50" t="s">
        <v>176</v>
      </c>
      <c r="M4" s="50" t="s">
        <v>168</v>
      </c>
      <c r="N4" s="50" t="s">
        <v>177</v>
      </c>
      <c r="P4" s="50" t="s">
        <v>178</v>
      </c>
      <c r="R4" s="50" t="s">
        <v>179</v>
      </c>
      <c r="S4" s="50" t="s">
        <v>180</v>
      </c>
      <c r="T4" s="50" t="s">
        <v>181</v>
      </c>
      <c r="U4" s="50" t="s">
        <v>182</v>
      </c>
      <c r="V4" s="50" t="s">
        <v>183</v>
      </c>
      <c r="W4" s="50" t="s">
        <v>184</v>
      </c>
      <c r="X4" s="50" t="s">
        <v>185</v>
      </c>
      <c r="Y4" s="50" t="s">
        <v>186</v>
      </c>
      <c r="Z4" s="50" t="s">
        <v>187</v>
      </c>
      <c r="AA4" s="50" t="s">
        <v>188</v>
      </c>
      <c r="AB4" s="50" t="s">
        <v>189</v>
      </c>
      <c r="AC4" s="50" t="s">
        <v>190</v>
      </c>
      <c r="AD4" s="50" t="s">
        <v>191</v>
      </c>
      <c r="AE4" s="50" t="s">
        <v>192</v>
      </c>
      <c r="AG4" s="50">
        <v>2022</v>
      </c>
      <c r="AH4" s="50" t="s">
        <v>193</v>
      </c>
      <c r="AI4" s="50" t="s">
        <v>194</v>
      </c>
      <c r="AJ4" s="50" t="s">
        <v>195</v>
      </c>
      <c r="AK4" s="51" t="s">
        <v>196</v>
      </c>
    </row>
    <row r="5" spans="1:37" ht="14.4" x14ac:dyDescent="0.3">
      <c r="A5" s="48">
        <v>21435</v>
      </c>
      <c r="B5" s="48" t="s">
        <v>197</v>
      </c>
      <c r="C5" s="52" t="s">
        <v>198</v>
      </c>
      <c r="D5" s="48" t="s">
        <v>197</v>
      </c>
      <c r="E5" s="48">
        <v>41800</v>
      </c>
      <c r="F5" s="48" t="s">
        <v>199</v>
      </c>
      <c r="G5" s="48" t="s">
        <v>197</v>
      </c>
      <c r="H5" s="48">
        <v>3950</v>
      </c>
      <c r="I5" s="48" t="s">
        <v>200</v>
      </c>
      <c r="J5" s="48" t="s">
        <v>197</v>
      </c>
      <c r="K5" s="48">
        <v>10000</v>
      </c>
      <c r="L5" s="48" t="s">
        <v>201</v>
      </c>
      <c r="M5" s="48">
        <v>3950</v>
      </c>
      <c r="N5" s="48" t="s">
        <v>197</v>
      </c>
      <c r="P5" s="53">
        <f>'[37]Revised 2021-2025 Summary'!R5</f>
        <v>0</v>
      </c>
      <c r="Q5" s="53"/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f>AD5-P5</f>
        <v>0</v>
      </c>
      <c r="AF5" s="53"/>
      <c r="AG5" s="53">
        <f>'[37]Revised 2021-2025 Summary'!S5</f>
        <v>0</v>
      </c>
      <c r="AH5" s="53">
        <f>'[37]Revised 2021-2025 Summary'!T5</f>
        <v>10000</v>
      </c>
      <c r="AI5" s="53">
        <f>'[37]Revised 2021-2025 Summary'!U5</f>
        <v>10000</v>
      </c>
      <c r="AJ5" s="53">
        <f>'[37]Revised 2021-2025 Summary'!V5</f>
        <v>10000</v>
      </c>
      <c r="AK5" s="49">
        <f>'[37]dea update '!AL5</f>
        <v>0</v>
      </c>
    </row>
    <row r="6" spans="1:37" s="49" customFormat="1" ht="14.4" x14ac:dyDescent="0.3">
      <c r="A6" s="48">
        <v>2078474</v>
      </c>
      <c r="B6" s="48" t="s">
        <v>202</v>
      </c>
      <c r="C6" s="52" t="s">
        <v>203</v>
      </c>
      <c r="D6" s="48" t="s">
        <v>204</v>
      </c>
      <c r="E6" s="48">
        <v>0</v>
      </c>
      <c r="F6" s="48" t="s">
        <v>205</v>
      </c>
      <c r="G6" s="48" t="s">
        <v>204</v>
      </c>
      <c r="H6" s="48">
        <v>3993</v>
      </c>
      <c r="I6" s="48" t="s">
        <v>206</v>
      </c>
      <c r="J6" s="48" t="s">
        <v>204</v>
      </c>
      <c r="K6" s="48">
        <v>588000</v>
      </c>
      <c r="L6" s="48" t="s">
        <v>204</v>
      </c>
      <c r="M6" s="48">
        <v>3993</v>
      </c>
      <c r="N6" s="48" t="s">
        <v>207</v>
      </c>
      <c r="O6" s="48"/>
      <c r="P6" s="53">
        <f>'[37]Revised 2021-2025 Summary'!R6</f>
        <v>1715950</v>
      </c>
      <c r="Q6" s="53"/>
      <c r="R6" s="53">
        <f>$P$6/12</f>
        <v>142995.83333333334</v>
      </c>
      <c r="S6" s="53">
        <f t="shared" ref="S6:AC6" si="0">$P$6/12</f>
        <v>142995.83333333334</v>
      </c>
      <c r="T6" s="53">
        <f t="shared" si="0"/>
        <v>142995.83333333334</v>
      </c>
      <c r="U6" s="53">
        <f t="shared" si="0"/>
        <v>142995.83333333334</v>
      </c>
      <c r="V6" s="53">
        <f t="shared" si="0"/>
        <v>142995.83333333334</v>
      </c>
      <c r="W6" s="53">
        <f t="shared" si="0"/>
        <v>142995.83333333334</v>
      </c>
      <c r="X6" s="53">
        <f t="shared" si="0"/>
        <v>142995.83333333334</v>
      </c>
      <c r="Y6" s="53">
        <f t="shared" si="0"/>
        <v>142995.83333333334</v>
      </c>
      <c r="Z6" s="53">
        <f t="shared" si="0"/>
        <v>142995.83333333334</v>
      </c>
      <c r="AA6" s="53">
        <f t="shared" si="0"/>
        <v>142995.83333333334</v>
      </c>
      <c r="AB6" s="53">
        <f t="shared" si="0"/>
        <v>142995.83333333334</v>
      </c>
      <c r="AC6" s="53">
        <f t="shared" si="0"/>
        <v>142995.83333333334</v>
      </c>
      <c r="AD6" s="53">
        <f>SUM(R6:AC6)</f>
        <v>1715949.9999999998</v>
      </c>
      <c r="AE6" s="53">
        <f t="shared" ref="AE6:AE43" si="1">AD6-P6</f>
        <v>0</v>
      </c>
      <c r="AF6" s="53"/>
      <c r="AG6" s="53">
        <f>'[37]Revised 2021-2025 Summary'!S6</f>
        <v>1343704</v>
      </c>
      <c r="AH6" s="53">
        <f>'[37]Revised 2021-2025 Summary'!T6</f>
        <v>522400</v>
      </c>
      <c r="AI6" s="53">
        <f>'[37]Revised 2021-2025 Summary'!U6</f>
        <v>522500</v>
      </c>
      <c r="AJ6" s="53">
        <f>'[37]Revised 2021-2025 Summary'!V6</f>
        <v>397600</v>
      </c>
      <c r="AK6" s="49">
        <f>'[37]dea update '!AL6</f>
        <v>0</v>
      </c>
    </row>
    <row r="7" spans="1:37" ht="14.4" x14ac:dyDescent="0.3">
      <c r="A7" s="48">
        <v>23143</v>
      </c>
      <c r="B7" s="48" t="s">
        <v>208</v>
      </c>
      <c r="C7" s="52" t="s">
        <v>209</v>
      </c>
      <c r="D7" s="48" t="s">
        <v>210</v>
      </c>
      <c r="E7" s="48">
        <v>548400</v>
      </c>
      <c r="F7" s="48" t="s">
        <v>205</v>
      </c>
      <c r="G7" s="48" t="s">
        <v>208</v>
      </c>
      <c r="H7" s="48">
        <v>3900</v>
      </c>
      <c r="I7" s="48" t="s">
        <v>211</v>
      </c>
      <c r="J7" s="48" t="s">
        <v>210</v>
      </c>
      <c r="K7" s="48">
        <v>400000</v>
      </c>
      <c r="L7" s="48" t="s">
        <v>212</v>
      </c>
      <c r="M7" s="48">
        <v>3900</v>
      </c>
      <c r="N7" s="48" t="s">
        <v>213</v>
      </c>
      <c r="P7" s="53">
        <f>'[37]Revised 2021-2025 Summary'!R7</f>
        <v>520000</v>
      </c>
      <c r="Q7" s="53"/>
      <c r="R7" s="53">
        <v>0</v>
      </c>
      <c r="S7" s="53">
        <v>0</v>
      </c>
      <c r="T7" s="53">
        <f>$P$7/4</f>
        <v>130000</v>
      </c>
      <c r="U7" s="53">
        <v>0</v>
      </c>
      <c r="V7" s="53">
        <v>0</v>
      </c>
      <c r="W7" s="53">
        <f>$P$7/4</f>
        <v>130000</v>
      </c>
      <c r="X7" s="53">
        <v>0</v>
      </c>
      <c r="Y7" s="53">
        <v>0</v>
      </c>
      <c r="Z7" s="53">
        <f>$P$7/4</f>
        <v>130000</v>
      </c>
      <c r="AA7" s="53">
        <v>0</v>
      </c>
      <c r="AB7" s="53">
        <v>0</v>
      </c>
      <c r="AC7" s="53">
        <f>$P$7/4</f>
        <v>130000</v>
      </c>
      <c r="AD7" s="53">
        <f t="shared" ref="AD7:AD45" si="2">SUM(R7:AC7)</f>
        <v>520000</v>
      </c>
      <c r="AE7" s="53">
        <f t="shared" si="1"/>
        <v>0</v>
      </c>
      <c r="AF7" s="53"/>
      <c r="AG7" s="53">
        <f>'[37]Revised 2021-2025 Summary'!S7</f>
        <v>410000</v>
      </c>
      <c r="AH7" s="53">
        <f>'[37]Revised 2021-2025 Summary'!T7</f>
        <v>400000</v>
      </c>
      <c r="AI7" s="53">
        <f>'[37]Revised 2021-2025 Summary'!U7</f>
        <v>430000</v>
      </c>
      <c r="AJ7" s="53">
        <f>'[37]Revised 2021-2025 Summary'!V7</f>
        <v>410000</v>
      </c>
      <c r="AK7" s="49">
        <f>'[37]dea update '!AL7</f>
        <v>420000</v>
      </c>
    </row>
    <row r="8" spans="1:37" ht="14.4" x14ac:dyDescent="0.3">
      <c r="A8" s="48">
        <v>0</v>
      </c>
      <c r="B8" s="48" t="s">
        <v>214</v>
      </c>
      <c r="C8" s="52" t="s">
        <v>215</v>
      </c>
      <c r="D8" s="48" t="s">
        <v>216</v>
      </c>
      <c r="E8" s="48">
        <f>39600</f>
        <v>39600</v>
      </c>
      <c r="F8" s="48" t="s">
        <v>205</v>
      </c>
      <c r="G8" s="48" t="s">
        <v>214</v>
      </c>
      <c r="H8" s="48">
        <v>3910</v>
      </c>
      <c r="I8" s="48" t="s">
        <v>211</v>
      </c>
      <c r="J8" s="48" t="s">
        <v>216</v>
      </c>
      <c r="K8" s="48">
        <v>40000</v>
      </c>
      <c r="L8" s="48" t="s">
        <v>217</v>
      </c>
      <c r="M8" s="48">
        <v>3910</v>
      </c>
      <c r="N8" s="48" t="s">
        <v>218</v>
      </c>
      <c r="P8" s="53">
        <f>'[37]Revised 2021-2025 Summary'!R8</f>
        <v>75000</v>
      </c>
      <c r="Q8" s="53"/>
      <c r="R8" s="53">
        <f>$P$8/12</f>
        <v>6250</v>
      </c>
      <c r="S8" s="53">
        <f t="shared" ref="S8:AC8" si="3">$P$8/12</f>
        <v>6250</v>
      </c>
      <c r="T8" s="53">
        <f t="shared" si="3"/>
        <v>6250</v>
      </c>
      <c r="U8" s="53">
        <f t="shared" si="3"/>
        <v>6250</v>
      </c>
      <c r="V8" s="53">
        <f t="shared" si="3"/>
        <v>6250</v>
      </c>
      <c r="W8" s="53">
        <f t="shared" si="3"/>
        <v>6250</v>
      </c>
      <c r="X8" s="53">
        <f t="shared" si="3"/>
        <v>6250</v>
      </c>
      <c r="Y8" s="53">
        <f t="shared" si="3"/>
        <v>6250</v>
      </c>
      <c r="Z8" s="53">
        <f t="shared" si="3"/>
        <v>6250</v>
      </c>
      <c r="AA8" s="53">
        <f t="shared" si="3"/>
        <v>6250</v>
      </c>
      <c r="AB8" s="53">
        <f t="shared" si="3"/>
        <v>6250</v>
      </c>
      <c r="AC8" s="53">
        <f t="shared" si="3"/>
        <v>6250</v>
      </c>
      <c r="AD8" s="53">
        <f t="shared" si="2"/>
        <v>75000</v>
      </c>
      <c r="AE8" s="53">
        <f t="shared" si="1"/>
        <v>0</v>
      </c>
      <c r="AF8" s="53"/>
      <c r="AG8" s="53">
        <f>'[37]Revised 2021-2025 Summary'!S8</f>
        <v>75200</v>
      </c>
      <c r="AH8" s="53">
        <f>'[37]Revised 2021-2025 Summary'!T8</f>
        <v>75600</v>
      </c>
      <c r="AI8" s="53">
        <f>'[37]Revised 2021-2025 Summary'!U8</f>
        <v>76000</v>
      </c>
      <c r="AJ8" s="53">
        <f>'[37]Revised 2021-2025 Summary'!V8</f>
        <v>78200</v>
      </c>
      <c r="AK8" s="49">
        <f>'[37]dea update '!AL8</f>
        <v>79000</v>
      </c>
    </row>
    <row r="9" spans="1:37" s="49" customFormat="1" ht="14.4" x14ac:dyDescent="0.3">
      <c r="A9" s="48">
        <v>100937</v>
      </c>
      <c r="B9" s="48" t="s">
        <v>202</v>
      </c>
      <c r="C9" s="52" t="s">
        <v>219</v>
      </c>
      <c r="D9" s="48" t="s">
        <v>202</v>
      </c>
      <c r="E9" s="48"/>
      <c r="F9" s="48" t="s">
        <v>205</v>
      </c>
      <c r="G9" s="48" t="s">
        <v>202</v>
      </c>
      <c r="H9" s="48">
        <v>3912</v>
      </c>
      <c r="I9" s="48" t="s">
        <v>206</v>
      </c>
      <c r="J9" s="48" t="s">
        <v>202</v>
      </c>
      <c r="K9" s="48"/>
      <c r="L9" s="48" t="s">
        <v>202</v>
      </c>
      <c r="M9" s="48">
        <v>3912</v>
      </c>
      <c r="N9" s="48"/>
      <c r="O9" s="48"/>
      <c r="P9" s="53">
        <f>'[37]Revised 2021-2025 Summary'!R9</f>
        <v>501050</v>
      </c>
      <c r="Q9" s="53"/>
      <c r="R9" s="53">
        <f>$P$9/12</f>
        <v>41754.166666666664</v>
      </c>
      <c r="S9" s="53">
        <f t="shared" ref="S9:AC9" si="4">$P$9/12</f>
        <v>41754.166666666664</v>
      </c>
      <c r="T9" s="53">
        <f t="shared" si="4"/>
        <v>41754.166666666664</v>
      </c>
      <c r="U9" s="53">
        <f t="shared" si="4"/>
        <v>41754.166666666664</v>
      </c>
      <c r="V9" s="53">
        <f t="shared" si="4"/>
        <v>41754.166666666664</v>
      </c>
      <c r="W9" s="53">
        <f t="shared" si="4"/>
        <v>41754.166666666664</v>
      </c>
      <c r="X9" s="53">
        <f t="shared" si="4"/>
        <v>41754.166666666664</v>
      </c>
      <c r="Y9" s="53">
        <f t="shared" si="4"/>
        <v>41754.166666666664</v>
      </c>
      <c r="Z9" s="53">
        <f t="shared" si="4"/>
        <v>41754.166666666664</v>
      </c>
      <c r="AA9" s="53">
        <f t="shared" si="4"/>
        <v>41754.166666666664</v>
      </c>
      <c r="AB9" s="53">
        <f t="shared" si="4"/>
        <v>41754.166666666664</v>
      </c>
      <c r="AC9" s="53">
        <f t="shared" si="4"/>
        <v>41754.166666666664</v>
      </c>
      <c r="AD9" s="53">
        <f t="shared" si="2"/>
        <v>501050.00000000006</v>
      </c>
      <c r="AE9" s="53">
        <f t="shared" si="1"/>
        <v>0</v>
      </c>
      <c r="AF9" s="53"/>
      <c r="AG9" s="53">
        <f>'[37]Revised 2021-2025 Summary'!S9</f>
        <v>1594000</v>
      </c>
      <c r="AH9" s="53">
        <f>'[37]Revised 2021-2025 Summary'!T9</f>
        <v>150000</v>
      </c>
      <c r="AI9" s="53">
        <f>'[37]Revised 2021-2025 Summary'!U9</f>
        <v>150000</v>
      </c>
      <c r="AJ9" s="53">
        <f>'[37]Revised 2021-2025 Summary'!V9</f>
        <v>150000</v>
      </c>
      <c r="AK9" s="49">
        <f>'[37]dea update '!AL9</f>
        <v>0</v>
      </c>
    </row>
    <row r="10" spans="1:37" s="49" customFormat="1" ht="14.4" x14ac:dyDescent="0.3">
      <c r="A10" s="48">
        <v>346599</v>
      </c>
      <c r="B10" s="48" t="s">
        <v>220</v>
      </c>
      <c r="C10" s="52" t="s">
        <v>221</v>
      </c>
      <c r="D10" s="48" t="s">
        <v>222</v>
      </c>
      <c r="E10" s="48">
        <v>552000</v>
      </c>
      <c r="F10" s="48" t="s">
        <v>205</v>
      </c>
      <c r="G10" s="48" t="s">
        <v>220</v>
      </c>
      <c r="H10" s="48">
        <v>3920</v>
      </c>
      <c r="I10" s="48" t="s">
        <v>211</v>
      </c>
      <c r="J10" s="48" t="s">
        <v>222</v>
      </c>
      <c r="K10" s="48">
        <v>650000</v>
      </c>
      <c r="L10" s="48" t="s">
        <v>223</v>
      </c>
      <c r="M10" s="48">
        <v>3920</v>
      </c>
      <c r="N10" s="48" t="s">
        <v>224</v>
      </c>
      <c r="O10" s="48"/>
      <c r="P10" s="53">
        <f>'[37]Revised 2021-2025 Summary'!R10</f>
        <v>650000</v>
      </c>
      <c r="Q10" s="53"/>
      <c r="R10" s="53">
        <v>0</v>
      </c>
      <c r="S10" s="53">
        <v>0</v>
      </c>
      <c r="T10" s="53">
        <f>$P$10/4</f>
        <v>162500</v>
      </c>
      <c r="U10" s="53">
        <v>0</v>
      </c>
      <c r="V10" s="53">
        <v>0</v>
      </c>
      <c r="W10" s="53">
        <f>$P$10/4</f>
        <v>162500</v>
      </c>
      <c r="X10" s="53">
        <v>0</v>
      </c>
      <c r="Y10" s="53">
        <v>0</v>
      </c>
      <c r="Z10" s="53">
        <f>$P$10/4</f>
        <v>162500</v>
      </c>
      <c r="AA10" s="53">
        <v>0</v>
      </c>
      <c r="AB10" s="53">
        <v>0</v>
      </c>
      <c r="AC10" s="53">
        <f>$P$10/4</f>
        <v>162500</v>
      </c>
      <c r="AD10" s="53">
        <f t="shared" si="2"/>
        <v>650000</v>
      </c>
      <c r="AE10" s="53">
        <f t="shared" si="1"/>
        <v>0</v>
      </c>
      <c r="AF10" s="53"/>
      <c r="AG10" s="53">
        <f>'[37]Revised 2021-2025 Summary'!S10</f>
        <v>650000</v>
      </c>
      <c r="AH10" s="53">
        <f>'[37]Revised 2021-2025 Summary'!T10</f>
        <v>618000</v>
      </c>
      <c r="AI10" s="53">
        <f>'[37]Revised 2021-2025 Summary'!U10</f>
        <v>695000</v>
      </c>
      <c r="AJ10" s="53">
        <f>'[37]Revised 2021-2025 Summary'!V10</f>
        <v>636000</v>
      </c>
      <c r="AK10" s="49">
        <f>'[37]dea update '!AL10</f>
        <v>660000</v>
      </c>
    </row>
    <row r="11" spans="1:37" ht="14.4" x14ac:dyDescent="0.3">
      <c r="A11" s="49">
        <v>0</v>
      </c>
      <c r="B11" s="49" t="s">
        <v>225</v>
      </c>
      <c r="C11" s="52" t="s">
        <v>226</v>
      </c>
      <c r="D11" s="49" t="s">
        <v>227</v>
      </c>
      <c r="E11" s="49">
        <v>6000</v>
      </c>
      <c r="F11" s="49" t="s">
        <v>205</v>
      </c>
      <c r="G11" s="49" t="s">
        <v>225</v>
      </c>
      <c r="H11" s="49">
        <v>3970</v>
      </c>
      <c r="I11" s="49" t="s">
        <v>211</v>
      </c>
      <c r="J11" s="49" t="s">
        <v>227</v>
      </c>
      <c r="K11" s="49">
        <v>6000</v>
      </c>
      <c r="L11" s="49" t="s">
        <v>228</v>
      </c>
      <c r="M11" s="49">
        <v>3970</v>
      </c>
      <c r="N11" s="49" t="s">
        <v>218</v>
      </c>
      <c r="O11" s="49"/>
      <c r="P11" s="53">
        <f>'[37]Revised 2021-2025 Summary'!R11</f>
        <v>0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>
        <f t="shared" si="2"/>
        <v>0</v>
      </c>
      <c r="AE11" s="53">
        <f t="shared" si="1"/>
        <v>0</v>
      </c>
      <c r="AF11" s="53"/>
      <c r="AG11" s="53">
        <f>'[37]Revised 2021-2025 Summary'!S11</f>
        <v>0</v>
      </c>
      <c r="AH11" s="53">
        <f>'[37]Revised 2021-2025 Summary'!T11</f>
        <v>0</v>
      </c>
      <c r="AI11" s="53">
        <f>'[37]Revised 2021-2025 Summary'!U11</f>
        <v>0</v>
      </c>
      <c r="AJ11" s="53">
        <f>'[37]Revised 2021-2025 Summary'!V11</f>
        <v>0</v>
      </c>
      <c r="AK11" s="49">
        <f>'[37]dea update '!AL11</f>
        <v>0</v>
      </c>
    </row>
    <row r="12" spans="1:37" ht="14.4" x14ac:dyDescent="0.3">
      <c r="A12" s="49">
        <v>0</v>
      </c>
      <c r="B12" s="49" t="s">
        <v>229</v>
      </c>
      <c r="C12" s="52" t="s">
        <v>230</v>
      </c>
      <c r="D12" s="49" t="s">
        <v>231</v>
      </c>
      <c r="E12" s="49">
        <v>4800</v>
      </c>
      <c r="F12" s="49" t="s">
        <v>205</v>
      </c>
      <c r="G12" s="49" t="s">
        <v>229</v>
      </c>
      <c r="H12" s="49">
        <v>3980</v>
      </c>
      <c r="I12" s="49" t="s">
        <v>211</v>
      </c>
      <c r="J12" s="49" t="s">
        <v>231</v>
      </c>
      <c r="K12" s="49">
        <v>5000</v>
      </c>
      <c r="L12" s="49" t="s">
        <v>232</v>
      </c>
      <c r="M12" s="49">
        <v>3980</v>
      </c>
      <c r="N12" s="49" t="s">
        <v>218</v>
      </c>
      <c r="O12" s="49"/>
      <c r="P12" s="53">
        <f>'[37]Revised 2021-2025 Summary'!R12</f>
        <v>0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>
        <f t="shared" si="2"/>
        <v>0</v>
      </c>
      <c r="AE12" s="53">
        <f t="shared" si="1"/>
        <v>0</v>
      </c>
      <c r="AF12" s="53"/>
      <c r="AG12" s="53">
        <f>'[37]Revised 2021-2025 Summary'!S12</f>
        <v>0</v>
      </c>
      <c r="AH12" s="53">
        <f>'[37]Revised 2021-2025 Summary'!T12</f>
        <v>0</v>
      </c>
      <c r="AI12" s="53">
        <f>'[37]Revised 2021-2025 Summary'!U12</f>
        <v>0</v>
      </c>
      <c r="AJ12" s="53">
        <f>'[37]Revised 2021-2025 Summary'!V12</f>
        <v>0</v>
      </c>
      <c r="AK12" s="49">
        <f>'[37]dea update '!AL12</f>
        <v>0</v>
      </c>
    </row>
    <row r="13" spans="1:37" s="49" customFormat="1" ht="14.4" x14ac:dyDescent="0.3">
      <c r="A13" s="49">
        <v>0</v>
      </c>
      <c r="B13" s="49" t="s">
        <v>233</v>
      </c>
      <c r="C13" s="52" t="s">
        <v>234</v>
      </c>
      <c r="D13" s="49" t="s">
        <v>235</v>
      </c>
      <c r="E13" s="49">
        <v>24000</v>
      </c>
      <c r="F13" s="49" t="s">
        <v>205</v>
      </c>
      <c r="G13" s="49" t="s">
        <v>233</v>
      </c>
      <c r="H13" s="49">
        <v>3991</v>
      </c>
      <c r="I13" s="49" t="s">
        <v>211</v>
      </c>
      <c r="J13" s="49" t="s">
        <v>235</v>
      </c>
      <c r="K13" s="49">
        <v>24000</v>
      </c>
      <c r="L13" s="49" t="s">
        <v>236</v>
      </c>
      <c r="M13" s="49">
        <v>3991</v>
      </c>
      <c r="N13" s="49" t="s">
        <v>218</v>
      </c>
      <c r="P13" s="53">
        <f>'[37]Revised 2021-2025 Summary'!R13</f>
        <v>0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>
        <f t="shared" si="2"/>
        <v>0</v>
      </c>
      <c r="AE13" s="53">
        <f t="shared" si="1"/>
        <v>0</v>
      </c>
      <c r="AF13" s="53"/>
      <c r="AG13" s="53">
        <f>'[37]Revised 2021-2025 Summary'!S13</f>
        <v>0</v>
      </c>
      <c r="AH13" s="53">
        <f>'[37]Revised 2021-2025 Summary'!T13</f>
        <v>0</v>
      </c>
      <c r="AI13" s="53">
        <f>'[37]Revised 2021-2025 Summary'!U13</f>
        <v>0</v>
      </c>
      <c r="AJ13" s="53">
        <f>'[37]Revised 2021-2025 Summary'!V13</f>
        <v>0</v>
      </c>
      <c r="AK13" s="49">
        <f>'[37]dea update '!AL13</f>
        <v>0</v>
      </c>
    </row>
    <row r="14" spans="1:37" s="49" customFormat="1" ht="14.4" x14ac:dyDescent="0.3">
      <c r="A14" s="49">
        <v>0</v>
      </c>
      <c r="B14" s="49" t="s">
        <v>237</v>
      </c>
      <c r="C14" s="52" t="s">
        <v>238</v>
      </c>
      <c r="D14" s="49" t="s">
        <v>237</v>
      </c>
      <c r="E14" s="49">
        <v>863200</v>
      </c>
      <c r="F14" s="49" t="s">
        <v>205</v>
      </c>
      <c r="G14" s="49" t="s">
        <v>237</v>
      </c>
      <c r="H14" s="49">
        <v>3992</v>
      </c>
      <c r="I14" s="49" t="s">
        <v>206</v>
      </c>
      <c r="J14" s="49" t="s">
        <v>237</v>
      </c>
      <c r="K14" s="49">
        <v>44300</v>
      </c>
      <c r="L14" s="49" t="s">
        <v>239</v>
      </c>
      <c r="M14" s="49">
        <v>3992</v>
      </c>
      <c r="N14" s="49" t="s">
        <v>207</v>
      </c>
      <c r="P14" s="53">
        <f>'[37]Revised 2021-2025 Summary'!R14</f>
        <v>0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>
        <f t="shared" si="2"/>
        <v>0</v>
      </c>
      <c r="AE14" s="53">
        <f t="shared" si="1"/>
        <v>0</v>
      </c>
      <c r="AF14" s="53"/>
      <c r="AG14" s="53">
        <f>'[37]Revised 2021-2025 Summary'!S14</f>
        <v>0</v>
      </c>
      <c r="AH14" s="53">
        <f>'[37]Revised 2021-2025 Summary'!T14</f>
        <v>0</v>
      </c>
      <c r="AI14" s="53">
        <f>'[37]Revised 2021-2025 Summary'!U14</f>
        <v>0</v>
      </c>
      <c r="AJ14" s="53">
        <f>'[37]Revised 2021-2025 Summary'!V14</f>
        <v>0</v>
      </c>
      <c r="AK14" s="49">
        <f>'[37]dea update '!AL14</f>
        <v>0</v>
      </c>
    </row>
    <row r="15" spans="1:37" s="49" customFormat="1" ht="14.4" x14ac:dyDescent="0.3">
      <c r="A15" s="49">
        <v>0</v>
      </c>
      <c r="B15" s="49" t="s">
        <v>202</v>
      </c>
      <c r="C15" s="52" t="s">
        <v>240</v>
      </c>
      <c r="D15" s="49" t="s">
        <v>202</v>
      </c>
      <c r="E15" s="49">
        <v>228300</v>
      </c>
      <c r="F15" s="49" t="s">
        <v>205</v>
      </c>
      <c r="G15" s="49" t="s">
        <v>202</v>
      </c>
      <c r="I15" s="49" t="s">
        <v>206</v>
      </c>
      <c r="J15" s="49" t="s">
        <v>202</v>
      </c>
      <c r="K15" s="49">
        <v>182300</v>
      </c>
      <c r="L15" s="49" t="s">
        <v>202</v>
      </c>
      <c r="P15" s="53">
        <f>'[37]Revised 2021-2025 Summary'!R15</f>
        <v>0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>
        <f t="shared" si="2"/>
        <v>0</v>
      </c>
      <c r="AE15" s="53">
        <f t="shared" si="1"/>
        <v>0</v>
      </c>
      <c r="AF15" s="53"/>
      <c r="AG15" s="53">
        <f>'[37]Revised 2021-2025 Summary'!S15</f>
        <v>0</v>
      </c>
      <c r="AH15" s="53">
        <f>'[37]Revised 2021-2025 Summary'!T15</f>
        <v>0</v>
      </c>
      <c r="AI15" s="53">
        <f>'[37]Revised 2021-2025 Summary'!U15</f>
        <v>0</v>
      </c>
      <c r="AJ15" s="53">
        <f>'[37]Revised 2021-2025 Summary'!V15</f>
        <v>0</v>
      </c>
      <c r="AK15" s="49">
        <f>'[37]dea update '!AL15</f>
        <v>0</v>
      </c>
    </row>
    <row r="16" spans="1:37" ht="14.4" x14ac:dyDescent="0.3">
      <c r="A16" s="48">
        <v>370278</v>
      </c>
      <c r="B16" s="48" t="s">
        <v>241</v>
      </c>
      <c r="C16" s="52" t="s">
        <v>242</v>
      </c>
      <c r="D16" s="48" t="s">
        <v>241</v>
      </c>
      <c r="E16" s="48">
        <v>730900</v>
      </c>
      <c r="F16" s="48" t="s">
        <v>205</v>
      </c>
      <c r="G16" s="48" t="s">
        <v>241</v>
      </c>
      <c r="H16" s="48">
        <v>3999</v>
      </c>
      <c r="I16" s="48" t="s">
        <v>243</v>
      </c>
      <c r="J16" s="48" t="s">
        <v>241</v>
      </c>
      <c r="K16" s="48">
        <v>735600</v>
      </c>
      <c r="L16" s="48" t="s">
        <v>244</v>
      </c>
      <c r="M16" s="48">
        <v>3999</v>
      </c>
      <c r="N16" s="48" t="s">
        <v>241</v>
      </c>
      <c r="P16" s="53">
        <f>'[37]Revised 2021-2025 Summary'!R16</f>
        <v>0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>
        <f t="shared" si="2"/>
        <v>0</v>
      </c>
      <c r="AE16" s="53">
        <f t="shared" si="1"/>
        <v>0</v>
      </c>
      <c r="AF16" s="53"/>
      <c r="AG16" s="53">
        <f>'[37]Revised 2021-2025 Summary'!S16</f>
        <v>0</v>
      </c>
      <c r="AH16" s="53">
        <f>'[37]Revised 2021-2025 Summary'!T16</f>
        <v>769500</v>
      </c>
      <c r="AI16" s="53">
        <f>'[37]Revised 2021-2025 Summary'!U16</f>
        <v>804900</v>
      </c>
      <c r="AJ16" s="53">
        <f>'[37]Revised 2021-2025 Summary'!V16</f>
        <v>833100</v>
      </c>
      <c r="AK16" s="49">
        <f>'[37]dea update '!AL16</f>
        <v>0</v>
      </c>
    </row>
    <row r="17" spans="1:37" ht="14.4" x14ac:dyDescent="0.3">
      <c r="A17" s="48">
        <v>0</v>
      </c>
      <c r="B17" s="48" t="s">
        <v>245</v>
      </c>
      <c r="C17" s="52" t="s">
        <v>246</v>
      </c>
      <c r="D17" s="48" t="s">
        <v>245</v>
      </c>
      <c r="E17" s="48">
        <v>24000</v>
      </c>
      <c r="F17" s="48" t="s">
        <v>247</v>
      </c>
      <c r="G17" s="48" t="s">
        <v>245</v>
      </c>
      <c r="H17" s="48">
        <v>3310</v>
      </c>
      <c r="I17" s="48" t="s">
        <v>248</v>
      </c>
      <c r="J17" s="48" t="s">
        <v>245</v>
      </c>
      <c r="K17" s="48">
        <v>24000</v>
      </c>
      <c r="L17" s="48" t="s">
        <v>249</v>
      </c>
      <c r="M17" s="48">
        <v>3310</v>
      </c>
      <c r="N17" s="48" t="s">
        <v>250</v>
      </c>
      <c r="P17" s="53">
        <f>'[37]Revised 2021-2025 Summary'!R17</f>
        <v>24000</v>
      </c>
      <c r="Q17" s="53"/>
      <c r="R17" s="53">
        <v>0</v>
      </c>
      <c r="S17" s="53">
        <v>0</v>
      </c>
      <c r="T17" s="53">
        <f>$P$17/4</f>
        <v>6000</v>
      </c>
      <c r="U17" s="53">
        <v>0</v>
      </c>
      <c r="V17" s="53">
        <v>0</v>
      </c>
      <c r="W17" s="53">
        <f>$P$17/4</f>
        <v>6000</v>
      </c>
      <c r="X17" s="53">
        <v>0</v>
      </c>
      <c r="Y17" s="53">
        <v>0</v>
      </c>
      <c r="Z17" s="53">
        <f>$P$17/4</f>
        <v>6000</v>
      </c>
      <c r="AA17" s="53">
        <v>0</v>
      </c>
      <c r="AB17" s="53">
        <v>0</v>
      </c>
      <c r="AC17" s="53">
        <f>$P$17/4</f>
        <v>6000</v>
      </c>
      <c r="AD17" s="53">
        <f t="shared" si="2"/>
        <v>24000</v>
      </c>
      <c r="AE17" s="53">
        <f t="shared" si="1"/>
        <v>0</v>
      </c>
      <c r="AF17" s="53"/>
      <c r="AG17" s="53">
        <f>'[37]Revised 2021-2025 Summary'!S17</f>
        <v>0</v>
      </c>
      <c r="AH17" s="53">
        <f>'[37]Revised 2021-2025 Summary'!T17</f>
        <v>50000</v>
      </c>
      <c r="AI17" s="53">
        <f>'[37]Revised 2021-2025 Summary'!U17</f>
        <v>50000</v>
      </c>
      <c r="AJ17" s="53">
        <f>'[37]Revised 2021-2025 Summary'!V17</f>
        <v>50000</v>
      </c>
      <c r="AK17" s="53">
        <f>'[37]Revised 2021-2025 Summary'!W17</f>
        <v>0</v>
      </c>
    </row>
    <row r="18" spans="1:37" ht="14.4" x14ac:dyDescent="0.3">
      <c r="A18" s="48">
        <v>3971</v>
      </c>
      <c r="B18" s="48" t="s">
        <v>251</v>
      </c>
      <c r="C18" s="52" t="s">
        <v>252</v>
      </c>
      <c r="D18" s="48" t="s">
        <v>251</v>
      </c>
      <c r="E18" s="48">
        <v>65800</v>
      </c>
      <c r="F18" s="48" t="s">
        <v>247</v>
      </c>
      <c r="G18" s="48" t="s">
        <v>251</v>
      </c>
      <c r="H18" s="48">
        <v>3320</v>
      </c>
      <c r="I18" s="48" t="s">
        <v>248</v>
      </c>
      <c r="J18" s="48" t="s">
        <v>251</v>
      </c>
      <c r="K18" s="48">
        <v>42000</v>
      </c>
      <c r="L18" s="48" t="s">
        <v>253</v>
      </c>
      <c r="M18" s="48">
        <v>3320</v>
      </c>
      <c r="N18" s="48" t="s">
        <v>254</v>
      </c>
      <c r="P18" s="53">
        <f>'[37]Revised 2021-2025 Summary'!R18</f>
        <v>42000</v>
      </c>
      <c r="Q18" s="53"/>
      <c r="R18" s="53">
        <v>10500</v>
      </c>
      <c r="S18" s="53">
        <v>0</v>
      </c>
      <c r="T18" s="53">
        <v>0</v>
      </c>
      <c r="U18" s="53">
        <v>10500</v>
      </c>
      <c r="V18" s="53">
        <v>0</v>
      </c>
      <c r="W18" s="53">
        <v>0</v>
      </c>
      <c r="X18" s="53">
        <v>10500</v>
      </c>
      <c r="Y18" s="53">
        <v>0</v>
      </c>
      <c r="Z18" s="53">
        <v>0</v>
      </c>
      <c r="AA18" s="53">
        <v>10500</v>
      </c>
      <c r="AB18" s="53">
        <v>0</v>
      </c>
      <c r="AC18" s="53">
        <v>0</v>
      </c>
      <c r="AD18" s="53">
        <f t="shared" si="2"/>
        <v>42000</v>
      </c>
      <c r="AE18" s="53">
        <f t="shared" si="1"/>
        <v>0</v>
      </c>
      <c r="AF18" s="53"/>
      <c r="AG18" s="53">
        <f>'[37]Revised 2021-2025 Summary'!S18</f>
        <v>48000</v>
      </c>
      <c r="AH18" s="53">
        <f>'[37]Revised 2021-2025 Summary'!T18</f>
        <v>100000</v>
      </c>
      <c r="AI18" s="53">
        <f>'[37]Revised 2021-2025 Summary'!U18</f>
        <v>100000</v>
      </c>
      <c r="AJ18" s="53">
        <f>'[37]Revised 2021-2025 Summary'!V18</f>
        <v>100000</v>
      </c>
      <c r="AK18" s="49">
        <f>'[37]dea update '!AL18</f>
        <v>0</v>
      </c>
    </row>
    <row r="19" spans="1:37" ht="14.4" x14ac:dyDescent="0.3">
      <c r="A19" s="48">
        <v>6871</v>
      </c>
      <c r="B19" s="48" t="s">
        <v>255</v>
      </c>
      <c r="C19" s="52" t="s">
        <v>256</v>
      </c>
      <c r="D19" s="48" t="s">
        <v>257</v>
      </c>
      <c r="E19" s="48">
        <v>20200</v>
      </c>
      <c r="F19" s="48" t="s">
        <v>247</v>
      </c>
      <c r="G19" s="48" t="s">
        <v>255</v>
      </c>
      <c r="H19" s="48">
        <v>3330</v>
      </c>
      <c r="I19" s="48" t="s">
        <v>248</v>
      </c>
      <c r="J19" s="48" t="s">
        <v>257</v>
      </c>
      <c r="K19" s="48">
        <v>28100</v>
      </c>
      <c r="L19" s="48" t="s">
        <v>258</v>
      </c>
      <c r="M19" s="48">
        <v>3330</v>
      </c>
      <c r="N19" s="48" t="s">
        <v>254</v>
      </c>
      <c r="P19" s="53">
        <f>'[37]Revised 2021-2025 Summary'!R19</f>
        <v>28100</v>
      </c>
      <c r="Q19" s="53"/>
      <c r="R19" s="53">
        <v>0</v>
      </c>
      <c r="S19" s="53">
        <v>0</v>
      </c>
      <c r="T19" s="53">
        <v>6200</v>
      </c>
      <c r="U19" s="53">
        <v>5300</v>
      </c>
      <c r="V19" s="53">
        <v>0</v>
      </c>
      <c r="W19" s="53">
        <v>0</v>
      </c>
      <c r="X19" s="53">
        <v>2900</v>
      </c>
      <c r="Y19" s="53">
        <v>5200</v>
      </c>
      <c r="Z19" s="53">
        <v>3200</v>
      </c>
      <c r="AA19" s="53">
        <v>0</v>
      </c>
      <c r="AB19" s="53">
        <v>0</v>
      </c>
      <c r="AC19" s="53">
        <v>5300</v>
      </c>
      <c r="AD19" s="53">
        <f t="shared" si="2"/>
        <v>28100</v>
      </c>
      <c r="AE19" s="53">
        <f t="shared" si="1"/>
        <v>0</v>
      </c>
      <c r="AF19" s="53"/>
      <c r="AG19" s="53">
        <f>'[37]Revised 2021-2025 Summary'!S19</f>
        <v>57700</v>
      </c>
      <c r="AH19" s="53">
        <f>'[37]Revised 2021-2025 Summary'!T19</f>
        <v>40000</v>
      </c>
      <c r="AI19" s="53">
        <f>'[37]Revised 2021-2025 Summary'!U19</f>
        <v>40000</v>
      </c>
      <c r="AJ19" s="53">
        <f>'[37]Revised 2021-2025 Summary'!V19</f>
        <v>40000</v>
      </c>
      <c r="AK19" s="49">
        <f>'[37]dea update '!AL19</f>
        <v>0</v>
      </c>
    </row>
    <row r="20" spans="1:37" ht="14.4" x14ac:dyDescent="0.3">
      <c r="A20" s="48">
        <v>101480</v>
      </c>
      <c r="B20" s="48" t="s">
        <v>259</v>
      </c>
      <c r="C20" s="52" t="s">
        <v>260</v>
      </c>
      <c r="D20" s="48" t="s">
        <v>261</v>
      </c>
      <c r="E20" s="48">
        <v>97100</v>
      </c>
      <c r="F20" s="48" t="s">
        <v>247</v>
      </c>
      <c r="G20" s="48" t="s">
        <v>259</v>
      </c>
      <c r="H20" s="48">
        <v>3340</v>
      </c>
      <c r="I20" s="48" t="s">
        <v>248</v>
      </c>
      <c r="J20" s="48" t="s">
        <v>262</v>
      </c>
      <c r="K20" s="48">
        <v>18000</v>
      </c>
      <c r="L20" s="48" t="s">
        <v>263</v>
      </c>
      <c r="M20" s="48">
        <v>3340</v>
      </c>
      <c r="N20" s="48" t="s">
        <v>254</v>
      </c>
      <c r="P20" s="53">
        <f>'[37]Revised 2021-2025 Summary'!R20</f>
        <v>18000</v>
      </c>
      <c r="Q20" s="53"/>
      <c r="R20" s="53">
        <v>6000</v>
      </c>
      <c r="S20" s="53">
        <v>0</v>
      </c>
      <c r="T20" s="53">
        <v>0</v>
      </c>
      <c r="U20" s="53">
        <v>0</v>
      </c>
      <c r="V20" s="53">
        <v>6000</v>
      </c>
      <c r="W20" s="53">
        <v>0</v>
      </c>
      <c r="X20" s="53">
        <v>0</v>
      </c>
      <c r="Y20" s="53">
        <v>0</v>
      </c>
      <c r="Z20" s="53">
        <v>6000</v>
      </c>
      <c r="AA20" s="53">
        <v>0</v>
      </c>
      <c r="AB20" s="53">
        <v>0</v>
      </c>
      <c r="AC20" s="53">
        <v>0</v>
      </c>
      <c r="AD20" s="53">
        <f t="shared" si="2"/>
        <v>18000</v>
      </c>
      <c r="AE20" s="53">
        <f t="shared" si="1"/>
        <v>0</v>
      </c>
      <c r="AF20" s="53"/>
      <c r="AG20" s="53">
        <f>'[37]Revised 2021-2025 Summary'!S20</f>
        <v>20000</v>
      </c>
      <c r="AH20" s="53">
        <f>'[37]Revised 2021-2025 Summary'!T20</f>
        <v>30000</v>
      </c>
      <c r="AI20" s="53">
        <f>'[37]Revised 2021-2025 Summary'!U20</f>
        <v>30000</v>
      </c>
      <c r="AJ20" s="53">
        <f>'[37]Revised 2021-2025 Summary'!V20</f>
        <v>30000</v>
      </c>
      <c r="AK20" s="49">
        <f>'[37]dea update '!AL20</f>
        <v>0</v>
      </c>
    </row>
    <row r="21" spans="1:37" ht="14.4" x14ac:dyDescent="0.3">
      <c r="B21" s="48" t="s">
        <v>264</v>
      </c>
      <c r="C21" s="52" t="s">
        <v>265</v>
      </c>
      <c r="D21" s="48" t="s">
        <v>264</v>
      </c>
      <c r="E21" s="48">
        <v>0</v>
      </c>
      <c r="F21" s="48" t="s">
        <v>247</v>
      </c>
      <c r="G21" s="48" t="s">
        <v>264</v>
      </c>
      <c r="H21" s="48">
        <v>3520</v>
      </c>
      <c r="I21" s="48" t="s">
        <v>248</v>
      </c>
      <c r="J21" s="48" t="s">
        <v>264</v>
      </c>
      <c r="K21" s="48">
        <v>10800</v>
      </c>
      <c r="L21" s="48" t="s">
        <v>266</v>
      </c>
      <c r="M21" s="48">
        <v>3520</v>
      </c>
      <c r="N21" s="48" t="s">
        <v>267</v>
      </c>
      <c r="P21" s="53">
        <f>'[37]Revised 2021-2025 Summary'!R21</f>
        <v>10800</v>
      </c>
      <c r="Q21" s="53"/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10800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f t="shared" si="2"/>
        <v>10800</v>
      </c>
      <c r="AE21" s="53">
        <f t="shared" si="1"/>
        <v>0</v>
      </c>
      <c r="AF21" s="53"/>
      <c r="AG21" s="53">
        <f>'[37]Revised 2021-2025 Summary'!S21</f>
        <v>240000</v>
      </c>
      <c r="AH21" s="53">
        <f>'[37]Revised 2021-2025 Summary'!T21</f>
        <v>10000</v>
      </c>
      <c r="AI21" s="53">
        <f>'[37]Revised 2021-2025 Summary'!U21</f>
        <v>10000</v>
      </c>
      <c r="AJ21" s="53">
        <f>'[37]Revised 2021-2025 Summary'!V21</f>
        <v>10000</v>
      </c>
      <c r="AK21" s="49">
        <f>'[37]dea update '!AL21</f>
        <v>0</v>
      </c>
    </row>
    <row r="22" spans="1:37" ht="14.4" x14ac:dyDescent="0.3">
      <c r="A22" s="48">
        <v>0</v>
      </c>
      <c r="B22" s="48" t="s">
        <v>268</v>
      </c>
      <c r="C22" s="52" t="s">
        <v>269</v>
      </c>
      <c r="D22" s="48" t="s">
        <v>268</v>
      </c>
      <c r="E22" s="48">
        <v>11200</v>
      </c>
      <c r="F22" s="48" t="s">
        <v>247</v>
      </c>
      <c r="G22" s="48" t="s">
        <v>268</v>
      </c>
      <c r="H22" s="48">
        <v>3530</v>
      </c>
      <c r="I22" s="48" t="s">
        <v>248</v>
      </c>
      <c r="J22" s="48" t="s">
        <v>268</v>
      </c>
      <c r="K22" s="48">
        <v>10500</v>
      </c>
      <c r="L22" s="48" t="s">
        <v>270</v>
      </c>
      <c r="M22" s="48">
        <v>3530</v>
      </c>
      <c r="N22" s="48" t="s">
        <v>267</v>
      </c>
      <c r="P22" s="53">
        <f>'[37]Revised 2021-2025 Summary'!R22</f>
        <v>10500</v>
      </c>
      <c r="Q22" s="53"/>
      <c r="R22" s="53">
        <v>0</v>
      </c>
      <c r="S22" s="53">
        <v>0</v>
      </c>
      <c r="T22" s="53">
        <v>0</v>
      </c>
      <c r="U22" s="53">
        <v>0</v>
      </c>
      <c r="V22" s="53">
        <v>5300</v>
      </c>
      <c r="W22" s="53">
        <v>0</v>
      </c>
      <c r="X22" s="53">
        <v>0</v>
      </c>
      <c r="Y22" s="53">
        <v>0</v>
      </c>
      <c r="Z22" s="53">
        <v>5200</v>
      </c>
      <c r="AA22" s="53">
        <v>0</v>
      </c>
      <c r="AB22" s="53">
        <v>0</v>
      </c>
      <c r="AC22" s="53">
        <v>0</v>
      </c>
      <c r="AD22" s="53">
        <f t="shared" si="2"/>
        <v>10500</v>
      </c>
      <c r="AE22" s="53">
        <f t="shared" si="1"/>
        <v>0</v>
      </c>
      <c r="AF22" s="53"/>
      <c r="AG22" s="53">
        <f>'[37]Revised 2021-2025 Summary'!S22</f>
        <v>13000</v>
      </c>
      <c r="AH22" s="53">
        <f>'[37]Revised 2021-2025 Summary'!T22</f>
        <v>12000</v>
      </c>
      <c r="AI22" s="53">
        <f>'[37]Revised 2021-2025 Summary'!U22</f>
        <v>12000</v>
      </c>
      <c r="AJ22" s="53">
        <f>'[37]Revised 2021-2025 Summary'!V22</f>
        <v>12000</v>
      </c>
      <c r="AK22" s="49">
        <f>'[37]dea update '!AL22</f>
        <v>0</v>
      </c>
    </row>
    <row r="23" spans="1:37" ht="14.4" x14ac:dyDescent="0.3">
      <c r="A23" s="48">
        <v>15346</v>
      </c>
      <c r="B23" s="48" t="s">
        <v>271</v>
      </c>
      <c r="C23" s="52" t="s">
        <v>272</v>
      </c>
      <c r="D23" s="48" t="s">
        <v>273</v>
      </c>
      <c r="E23" s="48">
        <v>57500</v>
      </c>
      <c r="F23" s="48" t="s">
        <v>247</v>
      </c>
      <c r="G23" s="48" t="s">
        <v>271</v>
      </c>
      <c r="H23" s="48">
        <v>3540</v>
      </c>
      <c r="I23" s="48" t="s">
        <v>248</v>
      </c>
      <c r="J23" s="48" t="s">
        <v>273</v>
      </c>
      <c r="K23" s="48">
        <v>82500</v>
      </c>
      <c r="L23" s="48" t="s">
        <v>274</v>
      </c>
      <c r="M23" s="48">
        <v>3540</v>
      </c>
      <c r="N23" s="48" t="s">
        <v>267</v>
      </c>
      <c r="P23" s="53">
        <f>'[37]Revised 2021-2025 Summary'!R23</f>
        <v>82500</v>
      </c>
      <c r="Q23" s="53"/>
      <c r="R23" s="53">
        <v>9400</v>
      </c>
      <c r="S23" s="53">
        <v>12500</v>
      </c>
      <c r="T23" s="53">
        <v>19200</v>
      </c>
      <c r="U23" s="53">
        <v>21000</v>
      </c>
      <c r="V23" s="53">
        <v>0</v>
      </c>
      <c r="W23" s="53">
        <v>12500</v>
      </c>
      <c r="X23" s="53">
        <v>4000</v>
      </c>
      <c r="Y23" s="53">
        <v>0</v>
      </c>
      <c r="Z23" s="53">
        <v>0</v>
      </c>
      <c r="AA23" s="53">
        <v>3900</v>
      </c>
      <c r="AB23" s="53">
        <v>0</v>
      </c>
      <c r="AC23" s="53">
        <v>0</v>
      </c>
      <c r="AD23" s="53">
        <f t="shared" si="2"/>
        <v>82500</v>
      </c>
      <c r="AE23" s="53">
        <f t="shared" si="1"/>
        <v>0</v>
      </c>
      <c r="AF23" s="53"/>
      <c r="AG23" s="53">
        <f>'[37]Revised 2021-2025 Summary'!S23</f>
        <v>41000</v>
      </c>
      <c r="AH23" s="53">
        <f>'[37]Revised 2021-2025 Summary'!T23</f>
        <v>60000</v>
      </c>
      <c r="AI23" s="53">
        <f>'[37]Revised 2021-2025 Summary'!U23</f>
        <v>60000</v>
      </c>
      <c r="AJ23" s="53">
        <f>'[37]Revised 2021-2025 Summary'!V23</f>
        <v>60000</v>
      </c>
      <c r="AK23" s="49">
        <f>'[37]dea update '!AL23</f>
        <v>0</v>
      </c>
    </row>
    <row r="24" spans="1:37" s="49" customFormat="1" ht="14.4" x14ac:dyDescent="0.3">
      <c r="B24" s="49" t="s">
        <v>275</v>
      </c>
      <c r="C24" s="52" t="s">
        <v>276</v>
      </c>
      <c r="D24" s="49" t="s">
        <v>277</v>
      </c>
      <c r="E24" s="49">
        <v>0</v>
      </c>
      <c r="F24" s="49" t="s">
        <v>247</v>
      </c>
      <c r="G24" s="49" t="s">
        <v>277</v>
      </c>
      <c r="I24" s="48" t="s">
        <v>248</v>
      </c>
      <c r="J24" s="49" t="s">
        <v>277</v>
      </c>
      <c r="K24" s="49">
        <v>7900</v>
      </c>
      <c r="L24" s="49" t="s">
        <v>277</v>
      </c>
      <c r="M24" s="49">
        <v>3550</v>
      </c>
      <c r="N24" s="49" t="s">
        <v>267</v>
      </c>
      <c r="P24" s="53">
        <f>'[37]Revised 2021-2025 Summary'!R24</f>
        <v>7900</v>
      </c>
      <c r="Q24" s="53"/>
      <c r="R24" s="53">
        <v>0</v>
      </c>
      <c r="S24" s="53">
        <v>0</v>
      </c>
      <c r="T24" s="53">
        <f>$P$24/4</f>
        <v>1975</v>
      </c>
      <c r="U24" s="53">
        <v>0</v>
      </c>
      <c r="V24" s="53">
        <v>0</v>
      </c>
      <c r="W24" s="53">
        <f>$P$24/4</f>
        <v>1975</v>
      </c>
      <c r="X24" s="53">
        <v>0</v>
      </c>
      <c r="Y24" s="53">
        <v>0</v>
      </c>
      <c r="Z24" s="53">
        <f>$P$24/4</f>
        <v>1975</v>
      </c>
      <c r="AA24" s="53">
        <v>0</v>
      </c>
      <c r="AB24" s="53">
        <v>0</v>
      </c>
      <c r="AC24" s="53">
        <f>$P$24/4</f>
        <v>1975</v>
      </c>
      <c r="AD24" s="53">
        <f t="shared" si="2"/>
        <v>7900</v>
      </c>
      <c r="AE24" s="53">
        <f t="shared" si="1"/>
        <v>0</v>
      </c>
      <c r="AF24" s="53"/>
      <c r="AG24" s="53">
        <f>'[37]Revised 2021-2025 Summary'!S24</f>
        <v>11800</v>
      </c>
      <c r="AH24" s="53">
        <f>'[37]Revised 2021-2025 Summary'!T24</f>
        <v>0</v>
      </c>
      <c r="AI24" s="53">
        <f>'[37]Revised 2021-2025 Summary'!U24</f>
        <v>0</v>
      </c>
      <c r="AJ24" s="53">
        <f>'[37]Revised 2021-2025 Summary'!V24</f>
        <v>0</v>
      </c>
      <c r="AK24" s="49">
        <f>'[37]dea update '!AL24</f>
        <v>0</v>
      </c>
    </row>
    <row r="25" spans="1:37" ht="14.4" x14ac:dyDescent="0.3">
      <c r="A25" s="48">
        <v>0</v>
      </c>
      <c r="B25" s="48" t="s">
        <v>278</v>
      </c>
      <c r="C25" s="52" t="s">
        <v>279</v>
      </c>
      <c r="D25" s="48" t="s">
        <v>280</v>
      </c>
      <c r="E25" s="48">
        <v>109200</v>
      </c>
      <c r="F25" s="48" t="s">
        <v>247</v>
      </c>
      <c r="G25" s="48" t="s">
        <v>278</v>
      </c>
      <c r="H25" s="48">
        <v>3560</v>
      </c>
      <c r="I25" s="48" t="s">
        <v>248</v>
      </c>
      <c r="J25" s="48" t="s">
        <v>280</v>
      </c>
      <c r="K25" s="48">
        <v>107500</v>
      </c>
      <c r="L25" s="48" t="s">
        <v>281</v>
      </c>
      <c r="M25" s="48">
        <v>3560</v>
      </c>
      <c r="N25" s="48" t="s">
        <v>218</v>
      </c>
      <c r="P25" s="53">
        <f>'[37]Revised 2021-2025 Summary'!R25</f>
        <v>107500</v>
      </c>
      <c r="Q25" s="53"/>
      <c r="R25" s="53">
        <v>0</v>
      </c>
      <c r="S25" s="53">
        <v>0</v>
      </c>
      <c r="T25" s="53">
        <f>$P$25/4</f>
        <v>26875</v>
      </c>
      <c r="U25" s="53">
        <v>0</v>
      </c>
      <c r="V25" s="53">
        <v>0</v>
      </c>
      <c r="W25" s="53">
        <f>$P$25/4</f>
        <v>26875</v>
      </c>
      <c r="X25" s="53">
        <v>0</v>
      </c>
      <c r="Y25" s="53">
        <v>0</v>
      </c>
      <c r="Z25" s="53">
        <f>$P$25/4</f>
        <v>26875</v>
      </c>
      <c r="AA25" s="53">
        <v>0</v>
      </c>
      <c r="AB25" s="53">
        <v>0</v>
      </c>
      <c r="AC25" s="53">
        <f>$P$25/4</f>
        <v>26875</v>
      </c>
      <c r="AD25" s="53">
        <f t="shared" si="2"/>
        <v>107500</v>
      </c>
      <c r="AE25" s="53">
        <f t="shared" si="1"/>
        <v>0</v>
      </c>
      <c r="AF25" s="53"/>
      <c r="AG25" s="53">
        <f>'[37]Revised 2021-2025 Summary'!S25</f>
        <v>24000</v>
      </c>
      <c r="AH25" s="53">
        <f>'[37]Revised 2021-2025 Summary'!T25</f>
        <v>25000</v>
      </c>
      <c r="AI25" s="53">
        <f>'[37]Revised 2021-2025 Summary'!U25</f>
        <v>25000</v>
      </c>
      <c r="AJ25" s="53">
        <f>'[37]Revised 2021-2025 Summary'!V25</f>
        <v>25000</v>
      </c>
      <c r="AK25" s="49">
        <f>'[37]dea update '!AL25</f>
        <v>0</v>
      </c>
    </row>
    <row r="26" spans="1:37" ht="14.4" x14ac:dyDescent="0.3">
      <c r="A26" s="48">
        <v>0</v>
      </c>
      <c r="B26" s="48" t="s">
        <v>282</v>
      </c>
      <c r="C26" s="52" t="s">
        <v>283</v>
      </c>
      <c r="D26" s="48" t="s">
        <v>284</v>
      </c>
      <c r="E26" s="48">
        <v>2400</v>
      </c>
      <c r="F26" s="48" t="s">
        <v>247</v>
      </c>
      <c r="G26" s="48" t="s">
        <v>282</v>
      </c>
      <c r="H26" s="48">
        <v>3650</v>
      </c>
      <c r="I26" s="48" t="s">
        <v>285</v>
      </c>
      <c r="J26" s="48" t="s">
        <v>284</v>
      </c>
      <c r="K26" s="48">
        <v>384600</v>
      </c>
      <c r="L26" s="48" t="s">
        <v>286</v>
      </c>
      <c r="M26" s="48">
        <v>3650</v>
      </c>
      <c r="N26" s="48" t="s">
        <v>287</v>
      </c>
      <c r="P26" s="53">
        <f>'[37]Revised 2021-2025 Summary'!R26</f>
        <v>455600</v>
      </c>
      <c r="Q26" s="53"/>
      <c r="R26" s="53">
        <v>0</v>
      </c>
      <c r="S26" s="53">
        <v>0</v>
      </c>
      <c r="T26" s="53">
        <f>$P$26/4</f>
        <v>113900</v>
      </c>
      <c r="U26" s="53">
        <v>0</v>
      </c>
      <c r="V26" s="53">
        <v>0</v>
      </c>
      <c r="W26" s="53">
        <f>$P$26/4</f>
        <v>113900</v>
      </c>
      <c r="X26" s="53">
        <v>0</v>
      </c>
      <c r="Y26" s="53">
        <v>0</v>
      </c>
      <c r="Z26" s="53">
        <f>$P$26/4</f>
        <v>113900</v>
      </c>
      <c r="AA26" s="53">
        <v>0</v>
      </c>
      <c r="AB26" s="53">
        <v>0</v>
      </c>
      <c r="AC26" s="53">
        <f>$P$26/4</f>
        <v>113900</v>
      </c>
      <c r="AD26" s="53">
        <f t="shared" si="2"/>
        <v>455600</v>
      </c>
      <c r="AE26" s="53">
        <f t="shared" si="1"/>
        <v>0</v>
      </c>
      <c r="AF26" s="53"/>
      <c r="AG26" s="53">
        <f>'[37]Revised 2021-2025 Summary'!S26</f>
        <v>1750300</v>
      </c>
      <c r="AH26" s="53">
        <f>'[37]Revised 2021-2025 Summary'!T26</f>
        <v>5000</v>
      </c>
      <c r="AI26" s="53">
        <f>'[37]Revised 2021-2025 Summary'!U26</f>
        <v>5000</v>
      </c>
      <c r="AJ26" s="53">
        <f>'[37]Revised 2021-2025 Summary'!V26</f>
        <v>5000</v>
      </c>
      <c r="AK26" s="49">
        <f>'[37]dea update '!AL26</f>
        <v>0</v>
      </c>
    </row>
    <row r="27" spans="1:37" ht="14.4" x14ac:dyDescent="0.3">
      <c r="A27" s="48">
        <v>86671</v>
      </c>
      <c r="B27" s="48" t="s">
        <v>288</v>
      </c>
      <c r="C27" s="52" t="s">
        <v>289</v>
      </c>
      <c r="D27" s="48" t="s">
        <v>290</v>
      </c>
      <c r="F27" s="48" t="s">
        <v>247</v>
      </c>
      <c r="G27" s="48" t="s">
        <v>290</v>
      </c>
      <c r="H27" s="48">
        <v>3660</v>
      </c>
      <c r="I27" s="48" t="s">
        <v>248</v>
      </c>
      <c r="J27" s="48" t="s">
        <v>290</v>
      </c>
      <c r="L27" s="48" t="s">
        <v>290</v>
      </c>
      <c r="M27" s="48">
        <v>3660</v>
      </c>
      <c r="N27" s="48" t="s">
        <v>287</v>
      </c>
      <c r="P27" s="53">
        <f>'[37]Revised 2021-2025 Summary'!R27</f>
        <v>0</v>
      </c>
      <c r="Q27" s="53"/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f t="shared" si="2"/>
        <v>0</v>
      </c>
      <c r="AE27" s="53">
        <f t="shared" si="1"/>
        <v>0</v>
      </c>
      <c r="AF27" s="53"/>
      <c r="AG27" s="53">
        <f>'[37]Revised 2021-2025 Summary'!S27</f>
        <v>0</v>
      </c>
      <c r="AH27" s="53">
        <f>'[37]Revised 2021-2025 Summary'!T27</f>
        <v>0</v>
      </c>
      <c r="AI27" s="53">
        <f>'[37]Revised 2021-2025 Summary'!U27</f>
        <v>0</v>
      </c>
      <c r="AJ27" s="53">
        <f>'[37]Revised 2021-2025 Summary'!V27</f>
        <v>0</v>
      </c>
      <c r="AK27" s="49">
        <f>'[37]dea update '!AL27</f>
        <v>0</v>
      </c>
    </row>
    <row r="28" spans="1:37" ht="14.4" x14ac:dyDescent="0.3">
      <c r="A28" s="48">
        <v>187884</v>
      </c>
      <c r="B28" s="48" t="s">
        <v>291</v>
      </c>
      <c r="C28" s="52" t="s">
        <v>292</v>
      </c>
      <c r="D28" s="48" t="s">
        <v>291</v>
      </c>
      <c r="E28" s="48">
        <v>802000</v>
      </c>
      <c r="F28" s="48" t="s">
        <v>247</v>
      </c>
      <c r="G28" s="48" t="s">
        <v>291</v>
      </c>
      <c r="H28" s="48">
        <v>3670</v>
      </c>
      <c r="I28" s="48" t="s">
        <v>248</v>
      </c>
      <c r="J28" s="48" t="s">
        <v>291</v>
      </c>
      <c r="K28" s="48">
        <v>3691000</v>
      </c>
      <c r="L28" s="48" t="s">
        <v>293</v>
      </c>
      <c r="M28" s="48">
        <v>3670</v>
      </c>
      <c r="N28" s="48" t="s">
        <v>287</v>
      </c>
      <c r="P28" s="53">
        <f>'[37]Revised 2021-2025 Summary'!R28</f>
        <v>4006400</v>
      </c>
      <c r="Q28" s="53"/>
      <c r="R28" s="53">
        <v>0</v>
      </c>
      <c r="S28" s="53">
        <v>0</v>
      </c>
      <c r="T28" s="53">
        <f>$P$28/4</f>
        <v>1001600</v>
      </c>
      <c r="U28" s="53">
        <v>0</v>
      </c>
      <c r="V28" s="53">
        <v>0</v>
      </c>
      <c r="W28" s="53">
        <f>$P$28/4</f>
        <v>1001600</v>
      </c>
      <c r="X28" s="53">
        <v>0</v>
      </c>
      <c r="Y28" s="53">
        <v>0</v>
      </c>
      <c r="Z28" s="53">
        <f>$P$28/4</f>
        <v>1001600</v>
      </c>
      <c r="AA28" s="53">
        <v>0</v>
      </c>
      <c r="AB28" s="53">
        <v>0</v>
      </c>
      <c r="AC28" s="53">
        <f>$P$28/4</f>
        <v>1001600</v>
      </c>
      <c r="AD28" s="53">
        <f t="shared" si="2"/>
        <v>4006400</v>
      </c>
      <c r="AE28" s="53">
        <f t="shared" si="1"/>
        <v>0</v>
      </c>
      <c r="AF28" s="53"/>
      <c r="AG28" s="53">
        <f>'[37]Revised 2021-2025 Summary'!S28</f>
        <v>1654300</v>
      </c>
      <c r="AH28" s="53">
        <f>'[37]Revised 2021-2025 Summary'!T28</f>
        <v>2600000</v>
      </c>
      <c r="AI28" s="53">
        <f>'[37]Revised 2021-2025 Summary'!U28</f>
        <v>100000</v>
      </c>
      <c r="AJ28" s="53">
        <f>'[37]Revised 2021-2025 Summary'!V28</f>
        <v>100000</v>
      </c>
      <c r="AK28" s="49">
        <f>'[37]dea update '!AL28</f>
        <v>0</v>
      </c>
    </row>
    <row r="29" spans="1:37" ht="14.4" x14ac:dyDescent="0.3">
      <c r="A29" s="48">
        <v>12772</v>
      </c>
      <c r="B29" s="48" t="s">
        <v>294</v>
      </c>
      <c r="C29" s="52" t="s">
        <v>295</v>
      </c>
      <c r="D29" s="48" t="s">
        <v>296</v>
      </c>
      <c r="E29" s="48">
        <v>31400</v>
      </c>
      <c r="F29" s="48" t="s">
        <v>247</v>
      </c>
      <c r="G29" s="48" t="s">
        <v>294</v>
      </c>
      <c r="H29" s="48">
        <v>3680</v>
      </c>
      <c r="I29" s="48" t="s">
        <v>248</v>
      </c>
      <c r="J29" s="48" t="s">
        <v>296</v>
      </c>
      <c r="K29" s="48">
        <v>22600</v>
      </c>
      <c r="L29" s="48" t="s">
        <v>297</v>
      </c>
      <c r="M29" s="48">
        <v>3680</v>
      </c>
      <c r="N29" s="48" t="s">
        <v>287</v>
      </c>
      <c r="P29" s="53">
        <f>'[37]Revised 2021-2025 Summary'!R29</f>
        <v>397600</v>
      </c>
      <c r="Q29" s="53"/>
      <c r="R29" s="53">
        <v>0</v>
      </c>
      <c r="S29" s="53">
        <v>0</v>
      </c>
      <c r="T29" s="53">
        <f>$P$29/4</f>
        <v>99400</v>
      </c>
      <c r="U29" s="53">
        <v>0</v>
      </c>
      <c r="V29" s="53">
        <v>0</v>
      </c>
      <c r="W29" s="53">
        <f>$P$29/4</f>
        <v>99400</v>
      </c>
      <c r="X29" s="53">
        <v>0</v>
      </c>
      <c r="Y29" s="53">
        <v>0</v>
      </c>
      <c r="Z29" s="53">
        <f>$P$29/4</f>
        <v>99400</v>
      </c>
      <c r="AA29" s="53">
        <v>0</v>
      </c>
      <c r="AB29" s="53">
        <v>0</v>
      </c>
      <c r="AC29" s="53">
        <f>$P$29/4</f>
        <v>99400</v>
      </c>
      <c r="AD29" s="53">
        <f t="shared" si="2"/>
        <v>397600</v>
      </c>
      <c r="AE29" s="53">
        <f t="shared" si="1"/>
        <v>0</v>
      </c>
      <c r="AF29" s="53"/>
      <c r="AG29" s="53">
        <f>'[37]Revised 2021-2025 Summary'!S29</f>
        <v>35000</v>
      </c>
      <c r="AH29" s="53">
        <f>'[37]Revised 2021-2025 Summary'!T29</f>
        <v>40000</v>
      </c>
      <c r="AI29" s="53">
        <f>'[37]Revised 2021-2025 Summary'!U29</f>
        <v>45000</v>
      </c>
      <c r="AJ29" s="53">
        <f>'[37]Revised 2021-2025 Summary'!V29</f>
        <v>50000</v>
      </c>
      <c r="AK29" s="49">
        <f>'[37]dea update '!AL29</f>
        <v>0</v>
      </c>
    </row>
    <row r="30" spans="1:37" ht="14.4" x14ac:dyDescent="0.3">
      <c r="A30" s="48">
        <v>844956</v>
      </c>
      <c r="B30" s="48" t="s">
        <v>298</v>
      </c>
      <c r="C30" s="52" t="s">
        <v>299</v>
      </c>
      <c r="D30" s="48" t="s">
        <v>300</v>
      </c>
      <c r="E30" s="48">
        <v>294000</v>
      </c>
      <c r="F30" s="48" t="s">
        <v>247</v>
      </c>
      <c r="G30" s="48" t="s">
        <v>298</v>
      </c>
      <c r="H30" s="48">
        <v>3690</v>
      </c>
      <c r="I30" s="48" t="s">
        <v>248</v>
      </c>
      <c r="J30" s="48" t="s">
        <v>301</v>
      </c>
      <c r="K30" s="48">
        <v>616200</v>
      </c>
      <c r="L30" s="48" t="s">
        <v>302</v>
      </c>
      <c r="M30" s="48">
        <v>3690</v>
      </c>
      <c r="N30" s="48" t="s">
        <v>287</v>
      </c>
      <c r="P30" s="53">
        <f>'[37]Revised 2021-2025 Summary'!R30</f>
        <v>616200</v>
      </c>
      <c r="Q30" s="53"/>
      <c r="R30" s="53">
        <v>3500</v>
      </c>
      <c r="S30" s="53">
        <v>3500</v>
      </c>
      <c r="T30" s="53">
        <v>3500</v>
      </c>
      <c r="U30" s="53">
        <v>578500</v>
      </c>
      <c r="V30" s="53">
        <v>3500</v>
      </c>
      <c r="W30" s="53">
        <v>3500</v>
      </c>
      <c r="X30" s="53">
        <v>3500</v>
      </c>
      <c r="Y30" s="53">
        <v>3500</v>
      </c>
      <c r="Z30" s="53">
        <v>3500</v>
      </c>
      <c r="AA30" s="53">
        <v>3500</v>
      </c>
      <c r="AB30" s="53">
        <v>3500</v>
      </c>
      <c r="AC30" s="53">
        <v>2700</v>
      </c>
      <c r="AD30" s="53">
        <f t="shared" si="2"/>
        <v>616200</v>
      </c>
      <c r="AE30" s="53">
        <f t="shared" si="1"/>
        <v>0</v>
      </c>
      <c r="AF30" s="53"/>
      <c r="AG30" s="53">
        <f>'[37]Revised 2021-2025 Summary'!S30</f>
        <v>50000</v>
      </c>
      <c r="AH30" s="53">
        <f>'[37]Revised 2021-2025 Summary'!T30</f>
        <v>60000</v>
      </c>
      <c r="AI30" s="53">
        <f>'[37]Revised 2021-2025 Summary'!U30</f>
        <v>65000</v>
      </c>
      <c r="AJ30" s="53">
        <f>'[37]Revised 2021-2025 Summary'!V30</f>
        <v>70000</v>
      </c>
      <c r="AK30" s="49">
        <f>'[37]dea update '!AL30</f>
        <v>0</v>
      </c>
    </row>
    <row r="31" spans="1:37" ht="14.4" x14ac:dyDescent="0.3">
      <c r="A31" s="48">
        <v>0</v>
      </c>
      <c r="B31" s="48" t="s">
        <v>303</v>
      </c>
      <c r="C31" s="52" t="s">
        <v>304</v>
      </c>
      <c r="D31" s="48" t="s">
        <v>305</v>
      </c>
      <c r="E31" s="48">
        <v>9800</v>
      </c>
      <c r="F31" s="48" t="s">
        <v>247</v>
      </c>
      <c r="G31" s="48" t="s">
        <v>303</v>
      </c>
      <c r="H31" s="48">
        <v>3710</v>
      </c>
      <c r="I31" s="48" t="s">
        <v>306</v>
      </c>
      <c r="J31" s="48" t="s">
        <v>305</v>
      </c>
      <c r="K31" s="48">
        <v>9200</v>
      </c>
      <c r="L31" s="48" t="s">
        <v>307</v>
      </c>
      <c r="M31" s="48">
        <v>3710</v>
      </c>
      <c r="N31" s="48" t="s">
        <v>287</v>
      </c>
      <c r="P31" s="53">
        <f>'[37]Revised 2021-2025 Summary'!R31</f>
        <v>9200</v>
      </c>
      <c r="Q31" s="53"/>
      <c r="R31" s="53">
        <v>0</v>
      </c>
      <c r="S31" s="53">
        <v>0</v>
      </c>
      <c r="T31" s="53">
        <f>$P$31/4</f>
        <v>2300</v>
      </c>
      <c r="U31" s="53">
        <v>0</v>
      </c>
      <c r="V31" s="53">
        <v>0</v>
      </c>
      <c r="W31" s="53">
        <f>$P$31/4</f>
        <v>2300</v>
      </c>
      <c r="X31" s="53">
        <v>0</v>
      </c>
      <c r="Y31" s="53">
        <v>0</v>
      </c>
      <c r="Z31" s="53">
        <f>$P$31/4</f>
        <v>2300</v>
      </c>
      <c r="AA31" s="53">
        <v>0</v>
      </c>
      <c r="AB31" s="53">
        <v>0</v>
      </c>
      <c r="AC31" s="53">
        <f>$P$31/4</f>
        <v>2300</v>
      </c>
      <c r="AD31" s="53">
        <f t="shared" si="2"/>
        <v>9200</v>
      </c>
      <c r="AE31" s="53">
        <f t="shared" si="1"/>
        <v>0</v>
      </c>
      <c r="AF31" s="53"/>
      <c r="AG31" s="53">
        <f>'[37]Revised 2021-2025 Summary'!S31</f>
        <v>9200</v>
      </c>
      <c r="AH31" s="53">
        <f>'[37]Revised 2021-2025 Summary'!T31</f>
        <v>10000</v>
      </c>
      <c r="AI31" s="53">
        <f>'[37]Revised 2021-2025 Summary'!U31</f>
        <v>10000</v>
      </c>
      <c r="AJ31" s="53">
        <f>'[37]Revised 2021-2025 Summary'!V31</f>
        <v>10000</v>
      </c>
      <c r="AK31" s="49">
        <f>'[37]dea update '!AL31</f>
        <v>0</v>
      </c>
    </row>
    <row r="32" spans="1:37" ht="14.4" x14ac:dyDescent="0.3">
      <c r="A32" s="48">
        <v>131</v>
      </c>
      <c r="B32" s="48" t="s">
        <v>308</v>
      </c>
      <c r="C32" s="52" t="s">
        <v>309</v>
      </c>
      <c r="D32" s="48" t="s">
        <v>310</v>
      </c>
      <c r="E32" s="48">
        <v>6000</v>
      </c>
      <c r="F32" s="48" t="s">
        <v>247</v>
      </c>
      <c r="G32" s="48" t="s">
        <v>308</v>
      </c>
      <c r="H32" s="48">
        <v>3740</v>
      </c>
      <c r="I32" s="48" t="s">
        <v>285</v>
      </c>
      <c r="J32" s="48" t="s">
        <v>310</v>
      </c>
      <c r="K32" s="48">
        <v>6000</v>
      </c>
      <c r="L32" s="48" t="s">
        <v>311</v>
      </c>
      <c r="M32" s="48">
        <v>3740</v>
      </c>
      <c r="N32" s="48" t="s">
        <v>312</v>
      </c>
      <c r="P32" s="53">
        <f>'[37]Revised 2021-2025 Summary'!R32</f>
        <v>6000</v>
      </c>
      <c r="Q32" s="53"/>
      <c r="R32" s="53">
        <v>0</v>
      </c>
      <c r="S32" s="53">
        <v>0</v>
      </c>
      <c r="T32" s="53">
        <f>$P$32/4</f>
        <v>1500</v>
      </c>
      <c r="U32" s="53">
        <v>0</v>
      </c>
      <c r="V32" s="53">
        <v>0</v>
      </c>
      <c r="W32" s="53">
        <f>$P$32/4</f>
        <v>1500</v>
      </c>
      <c r="X32" s="53">
        <v>0</v>
      </c>
      <c r="Y32" s="53">
        <v>0</v>
      </c>
      <c r="Z32" s="53">
        <f>$P$32/4</f>
        <v>1500</v>
      </c>
      <c r="AA32" s="53">
        <v>0</v>
      </c>
      <c r="AB32" s="53">
        <v>0</v>
      </c>
      <c r="AC32" s="53">
        <f>$P$32/4</f>
        <v>1500</v>
      </c>
      <c r="AD32" s="53">
        <f t="shared" si="2"/>
        <v>6000</v>
      </c>
      <c r="AE32" s="53">
        <f t="shared" si="1"/>
        <v>0</v>
      </c>
      <c r="AF32" s="53"/>
      <c r="AG32" s="53">
        <f>'[37]Revised 2021-2025 Summary'!S32</f>
        <v>6000</v>
      </c>
      <c r="AH32" s="53">
        <f>'[37]Revised 2021-2025 Summary'!T32</f>
        <v>5000</v>
      </c>
      <c r="AI32" s="53">
        <f>'[37]Revised 2021-2025 Summary'!U32</f>
        <v>5000</v>
      </c>
      <c r="AJ32" s="53">
        <f>'[37]Revised 2021-2025 Summary'!V32</f>
        <v>5000</v>
      </c>
      <c r="AK32" s="49">
        <f>'[37]dea update '!AL32</f>
        <v>0</v>
      </c>
    </row>
    <row r="33" spans="1:39" ht="14.4" x14ac:dyDescent="0.3">
      <c r="A33" s="48">
        <v>5084</v>
      </c>
      <c r="B33" s="48" t="s">
        <v>313</v>
      </c>
      <c r="C33" s="52" t="s">
        <v>314</v>
      </c>
      <c r="D33" s="48" t="s">
        <v>315</v>
      </c>
      <c r="E33" s="48">
        <v>6200</v>
      </c>
      <c r="F33" s="48" t="s">
        <v>247</v>
      </c>
      <c r="G33" s="48" t="s">
        <v>313</v>
      </c>
      <c r="H33" s="48">
        <v>3750</v>
      </c>
      <c r="I33" s="48" t="s">
        <v>316</v>
      </c>
      <c r="J33" s="48" t="s">
        <v>315</v>
      </c>
      <c r="K33" s="48">
        <v>5000</v>
      </c>
      <c r="L33" s="48" t="s">
        <v>317</v>
      </c>
      <c r="M33" s="48">
        <v>3750</v>
      </c>
      <c r="N33" s="48" t="s">
        <v>312</v>
      </c>
      <c r="P33" s="53">
        <f>'[37]Revised 2021-2025 Summary'!R33</f>
        <v>5000</v>
      </c>
      <c r="Q33" s="53"/>
      <c r="R33" s="53">
        <v>0</v>
      </c>
      <c r="S33" s="53">
        <v>0</v>
      </c>
      <c r="T33" s="53">
        <v>0</v>
      </c>
      <c r="U33" s="53">
        <v>1200</v>
      </c>
      <c r="V33" s="53">
        <v>0</v>
      </c>
      <c r="W33" s="53">
        <v>1200</v>
      </c>
      <c r="X33" s="53">
        <v>0</v>
      </c>
      <c r="Y33" s="53">
        <v>1200</v>
      </c>
      <c r="Z33" s="53">
        <v>0</v>
      </c>
      <c r="AA33" s="53">
        <v>1400</v>
      </c>
      <c r="AB33" s="53">
        <v>0</v>
      </c>
      <c r="AC33" s="53">
        <v>0</v>
      </c>
      <c r="AD33" s="53">
        <f t="shared" si="2"/>
        <v>5000</v>
      </c>
      <c r="AE33" s="53">
        <f t="shared" si="1"/>
        <v>0</v>
      </c>
      <c r="AF33" s="53"/>
      <c r="AG33" s="53">
        <f>'[37]Revised 2021-2025 Summary'!S33</f>
        <v>0</v>
      </c>
      <c r="AH33" s="53">
        <f>'[37]Revised 2021-2025 Summary'!T33</f>
        <v>5000</v>
      </c>
      <c r="AI33" s="53">
        <f>'[37]Revised 2021-2025 Summary'!U33</f>
        <v>5000</v>
      </c>
      <c r="AJ33" s="53">
        <f>'[37]Revised 2021-2025 Summary'!V33</f>
        <v>5000</v>
      </c>
      <c r="AK33" s="49">
        <f>'[37]dea update '!AL33</f>
        <v>0</v>
      </c>
    </row>
    <row r="34" spans="1:39" ht="14.4" x14ac:dyDescent="0.3">
      <c r="A34" s="48">
        <v>6158872</v>
      </c>
      <c r="B34" s="48" t="s">
        <v>318</v>
      </c>
      <c r="C34" s="52" t="s">
        <v>319</v>
      </c>
      <c r="D34" s="48" t="s">
        <v>318</v>
      </c>
      <c r="E34" s="48">
        <v>8200000</v>
      </c>
      <c r="F34" s="48" t="s">
        <v>247</v>
      </c>
      <c r="G34" s="48" t="s">
        <v>318</v>
      </c>
      <c r="H34" s="48">
        <v>3760</v>
      </c>
      <c r="I34" s="48" t="s">
        <v>320</v>
      </c>
      <c r="J34" s="48" t="s">
        <v>318</v>
      </c>
      <c r="K34" s="48">
        <v>8100000</v>
      </c>
      <c r="L34" s="48" t="s">
        <v>321</v>
      </c>
      <c r="M34" s="48">
        <v>3760</v>
      </c>
      <c r="N34" s="48" t="s">
        <v>312</v>
      </c>
      <c r="P34" s="53">
        <f>'[37]Revised 2021-2025 Summary'!R34</f>
        <v>5676400</v>
      </c>
      <c r="Q34" s="53"/>
      <c r="R34" s="53">
        <f>150000-423600+273600</f>
        <v>0</v>
      </c>
      <c r="S34" s="53">
        <f>150000-(273600/2)+25000</f>
        <v>38200</v>
      </c>
      <c r="T34" s="53">
        <f>300000-(273600/2)</f>
        <v>163200</v>
      </c>
      <c r="U34" s="53">
        <f>900000-225000</f>
        <v>675000</v>
      </c>
      <c r="V34" s="53">
        <f t="shared" ref="V34:AA34" si="5">900000-225000</f>
        <v>675000</v>
      </c>
      <c r="W34" s="53">
        <f t="shared" si="5"/>
        <v>675000</v>
      </c>
      <c r="X34" s="53">
        <f>900000-225000+1061783</f>
        <v>1736783</v>
      </c>
      <c r="Y34" s="53">
        <f t="shared" si="5"/>
        <v>675000</v>
      </c>
      <c r="Z34" s="53">
        <f t="shared" si="5"/>
        <v>675000</v>
      </c>
      <c r="AA34" s="53">
        <f t="shared" si="5"/>
        <v>675000</v>
      </c>
      <c r="AB34" s="53">
        <f>700000-225000</f>
        <v>475000</v>
      </c>
      <c r="AC34" s="53">
        <f>500000-225000</f>
        <v>275000</v>
      </c>
      <c r="AD34" s="53">
        <f t="shared" si="2"/>
        <v>6738183</v>
      </c>
      <c r="AE34" s="53">
        <f>AD34-P34-1061783</f>
        <v>0</v>
      </c>
      <c r="AF34" s="53"/>
      <c r="AG34" s="53">
        <f>'[37]Revised 2021-2025 Summary'!S34</f>
        <v>6400000</v>
      </c>
      <c r="AH34" s="53">
        <f>'[37]Revised 2021-2025 Summary'!T34</f>
        <v>7000000</v>
      </c>
      <c r="AI34" s="53">
        <f>'[37]Revised 2021-2025 Summary'!U34</f>
        <v>7750000</v>
      </c>
      <c r="AJ34" s="53">
        <f>'[37]Revised 2021-2025 Summary'!V34</f>
        <v>8500000</v>
      </c>
      <c r="AK34" s="49">
        <f>'[37]dea update '!AL34</f>
        <v>0</v>
      </c>
    </row>
    <row r="35" spans="1:39" ht="14.4" x14ac:dyDescent="0.3">
      <c r="A35" s="48">
        <v>20687</v>
      </c>
      <c r="B35" s="48" t="s">
        <v>322</v>
      </c>
      <c r="C35" s="52" t="s">
        <v>323</v>
      </c>
      <c r="D35" s="48" t="s">
        <v>324</v>
      </c>
      <c r="E35" s="48">
        <v>72000</v>
      </c>
      <c r="F35" s="48" t="s">
        <v>247</v>
      </c>
      <c r="G35" s="48" t="s">
        <v>322</v>
      </c>
      <c r="H35" s="48">
        <v>3780</v>
      </c>
      <c r="I35" s="48" t="s">
        <v>306</v>
      </c>
      <c r="J35" s="48" t="s">
        <v>324</v>
      </c>
      <c r="K35" s="48">
        <v>72000</v>
      </c>
      <c r="L35" s="48" t="s">
        <v>325</v>
      </c>
      <c r="M35" s="48">
        <v>3780</v>
      </c>
      <c r="N35" s="48" t="s">
        <v>312</v>
      </c>
      <c r="P35" s="53">
        <f>'[37]Revised 2021-2025 Summary'!R35</f>
        <v>72000</v>
      </c>
      <c r="Q35" s="53"/>
      <c r="R35" s="53">
        <v>6000</v>
      </c>
      <c r="S35" s="53">
        <v>6000</v>
      </c>
      <c r="T35" s="53">
        <v>6000</v>
      </c>
      <c r="U35" s="53">
        <v>6000</v>
      </c>
      <c r="V35" s="53">
        <v>6000</v>
      </c>
      <c r="W35" s="53">
        <v>6000</v>
      </c>
      <c r="X35" s="53">
        <v>6000</v>
      </c>
      <c r="Y35" s="53">
        <v>6000</v>
      </c>
      <c r="Z35" s="53">
        <v>6000</v>
      </c>
      <c r="AA35" s="53">
        <v>6000</v>
      </c>
      <c r="AB35" s="53">
        <v>6000</v>
      </c>
      <c r="AC35" s="53">
        <v>6000</v>
      </c>
      <c r="AD35" s="53">
        <f t="shared" si="2"/>
        <v>72000</v>
      </c>
      <c r="AE35" s="53">
        <f t="shared" si="1"/>
        <v>0</v>
      </c>
      <c r="AF35" s="53"/>
      <c r="AG35" s="53">
        <f>'[37]Revised 2021-2025 Summary'!S35</f>
        <v>70000</v>
      </c>
      <c r="AH35" s="53">
        <f>'[37]Revised 2021-2025 Summary'!T35</f>
        <v>70000</v>
      </c>
      <c r="AI35" s="53">
        <f>'[37]Revised 2021-2025 Summary'!U35</f>
        <v>70000</v>
      </c>
      <c r="AJ35" s="53">
        <f>'[37]Revised 2021-2025 Summary'!V35</f>
        <v>70000</v>
      </c>
      <c r="AK35" s="49">
        <f>'[37]dea update '!AL35</f>
        <v>0</v>
      </c>
    </row>
    <row r="36" spans="1:39" ht="14.4" x14ac:dyDescent="0.3">
      <c r="A36" s="48">
        <v>0</v>
      </c>
      <c r="B36" s="48" t="s">
        <v>326</v>
      </c>
      <c r="C36" s="52" t="s">
        <v>327</v>
      </c>
      <c r="D36" s="48" t="s">
        <v>328</v>
      </c>
      <c r="E36" s="48">
        <v>25000</v>
      </c>
      <c r="F36" s="48" t="s">
        <v>247</v>
      </c>
      <c r="G36" s="48" t="s">
        <v>326</v>
      </c>
      <c r="H36" s="48">
        <v>3790</v>
      </c>
      <c r="I36" s="48" t="s">
        <v>306</v>
      </c>
      <c r="J36" s="48" t="s">
        <v>328</v>
      </c>
      <c r="K36" s="48">
        <v>25000</v>
      </c>
      <c r="L36" s="48" t="s">
        <v>329</v>
      </c>
      <c r="M36" s="48">
        <v>3790</v>
      </c>
      <c r="N36" s="48" t="s">
        <v>312</v>
      </c>
      <c r="P36" s="53">
        <f>'[37]Revised 2021-2025 Summary'!R36</f>
        <v>25000</v>
      </c>
      <c r="Q36" s="53"/>
      <c r="R36" s="53">
        <v>2000</v>
      </c>
      <c r="S36" s="53">
        <v>2000</v>
      </c>
      <c r="T36" s="53">
        <v>2000</v>
      </c>
      <c r="U36" s="53">
        <v>2000</v>
      </c>
      <c r="V36" s="53">
        <v>2000</v>
      </c>
      <c r="W36" s="53">
        <v>2000</v>
      </c>
      <c r="X36" s="53">
        <v>2000</v>
      </c>
      <c r="Y36" s="53">
        <v>2000</v>
      </c>
      <c r="Z36" s="53">
        <v>2000</v>
      </c>
      <c r="AA36" s="53">
        <v>2000</v>
      </c>
      <c r="AB36" s="53">
        <v>2000</v>
      </c>
      <c r="AC36" s="53">
        <v>3000</v>
      </c>
      <c r="AD36" s="53">
        <f t="shared" si="2"/>
        <v>25000</v>
      </c>
      <c r="AE36" s="53">
        <f t="shared" si="1"/>
        <v>0</v>
      </c>
      <c r="AF36" s="53"/>
      <c r="AG36" s="53">
        <f>'[37]Revised 2021-2025 Summary'!S36</f>
        <v>30000</v>
      </c>
      <c r="AH36" s="53">
        <f>'[37]Revised 2021-2025 Summary'!T36</f>
        <v>30000</v>
      </c>
      <c r="AI36" s="53">
        <f>'[37]Revised 2021-2025 Summary'!U36</f>
        <v>30000</v>
      </c>
      <c r="AJ36" s="53">
        <f>'[37]Revised 2021-2025 Summary'!V36</f>
        <v>30000</v>
      </c>
      <c r="AK36" s="49">
        <f>'[37]dea update '!AL36</f>
        <v>0</v>
      </c>
    </row>
    <row r="37" spans="1:39" ht="14.4" x14ac:dyDescent="0.3">
      <c r="A37" s="48">
        <v>1713017</v>
      </c>
      <c r="B37" s="48" t="s">
        <v>330</v>
      </c>
      <c r="C37" s="52" t="s">
        <v>331</v>
      </c>
      <c r="D37" s="48" t="s">
        <v>332</v>
      </c>
      <c r="E37" s="48">
        <v>1500000</v>
      </c>
      <c r="F37" s="48" t="s">
        <v>247</v>
      </c>
      <c r="G37" s="48" t="s">
        <v>330</v>
      </c>
      <c r="H37" s="48">
        <v>3800</v>
      </c>
      <c r="I37" s="48" t="s">
        <v>320</v>
      </c>
      <c r="J37" s="48" t="s">
        <v>332</v>
      </c>
      <c r="K37" s="48">
        <v>1400000</v>
      </c>
      <c r="L37" s="48" t="s">
        <v>333</v>
      </c>
      <c r="M37" s="48">
        <v>3800</v>
      </c>
      <c r="N37" s="48" t="s">
        <v>312</v>
      </c>
      <c r="P37" s="53">
        <f>'[37]Revised 2021-2025 Summary'!R37</f>
        <v>1800000</v>
      </c>
      <c r="Q37" s="53"/>
      <c r="R37" s="53">
        <v>50000</v>
      </c>
      <c r="S37" s="53">
        <v>50000</v>
      </c>
      <c r="T37" s="53">
        <v>50000</v>
      </c>
      <c r="U37" s="53">
        <f>100000+50000</f>
        <v>150000</v>
      </c>
      <c r="V37" s="53">
        <f>150000+50000</f>
        <v>200000</v>
      </c>
      <c r="W37" s="53">
        <f>150000+50000</f>
        <v>200000</v>
      </c>
      <c r="X37" s="53">
        <f>150000+50000</f>
        <v>200000</v>
      </c>
      <c r="Y37" s="53">
        <f>150000+50000</f>
        <v>200000</v>
      </c>
      <c r="Z37" s="53">
        <f>150000+50000</f>
        <v>200000</v>
      </c>
      <c r="AA37" s="53">
        <f>100000+50000</f>
        <v>150000</v>
      </c>
      <c r="AB37" s="53">
        <f>100000+50000</f>
        <v>150000</v>
      </c>
      <c r="AC37" s="53">
        <v>200000</v>
      </c>
      <c r="AD37" s="53">
        <f t="shared" si="2"/>
        <v>1800000</v>
      </c>
      <c r="AE37" s="53">
        <f t="shared" si="1"/>
        <v>0</v>
      </c>
      <c r="AF37" s="53"/>
      <c r="AG37" s="53">
        <f>'[37]Revised 2021-2025 Summary'!S37</f>
        <v>1440000</v>
      </c>
      <c r="AH37" s="53">
        <f>'[37]Revised 2021-2025 Summary'!T37</f>
        <v>1600000</v>
      </c>
      <c r="AI37" s="53">
        <f>'[37]Revised 2021-2025 Summary'!U37</f>
        <v>1750000</v>
      </c>
      <c r="AJ37" s="53">
        <f>'[37]Revised 2021-2025 Summary'!V37</f>
        <v>1900000</v>
      </c>
      <c r="AK37" s="49">
        <f>'[37]dea update '!AL37</f>
        <v>0</v>
      </c>
    </row>
    <row r="38" spans="1:39" ht="14.4" x14ac:dyDescent="0.3">
      <c r="A38" s="48">
        <v>400538</v>
      </c>
      <c r="B38" s="48" t="s">
        <v>334</v>
      </c>
      <c r="C38" s="52" t="s">
        <v>335</v>
      </c>
      <c r="D38" s="48" t="s">
        <v>334</v>
      </c>
      <c r="E38" s="48">
        <v>476400</v>
      </c>
      <c r="F38" s="48" t="s">
        <v>247</v>
      </c>
      <c r="G38" s="48" t="s">
        <v>334</v>
      </c>
      <c r="H38" s="48">
        <v>3810</v>
      </c>
      <c r="I38" s="48" t="s">
        <v>306</v>
      </c>
      <c r="J38" s="48" t="s">
        <v>334</v>
      </c>
      <c r="K38" s="48">
        <v>477400</v>
      </c>
      <c r="L38" s="48" t="s">
        <v>336</v>
      </c>
      <c r="M38" s="48">
        <v>3810</v>
      </c>
      <c r="N38" s="48" t="s">
        <v>312</v>
      </c>
      <c r="P38" s="53">
        <f>'[37]Revised 2021-2025 Summary'!R38</f>
        <v>477400</v>
      </c>
      <c r="Q38" s="53"/>
      <c r="R38" s="53">
        <v>63000</v>
      </c>
      <c r="S38" s="53">
        <v>9100</v>
      </c>
      <c r="T38" s="53">
        <v>9100</v>
      </c>
      <c r="U38" s="53">
        <v>324100</v>
      </c>
      <c r="V38" s="53">
        <v>9100</v>
      </c>
      <c r="W38" s="53">
        <v>9100</v>
      </c>
      <c r="X38" s="53">
        <v>9100</v>
      </c>
      <c r="Y38" s="53">
        <v>9100</v>
      </c>
      <c r="Z38" s="53">
        <v>9100</v>
      </c>
      <c r="AA38" s="53">
        <v>9100</v>
      </c>
      <c r="AB38" s="53">
        <v>9100</v>
      </c>
      <c r="AC38" s="53">
        <v>8400</v>
      </c>
      <c r="AD38" s="53">
        <f t="shared" si="2"/>
        <v>477400</v>
      </c>
      <c r="AE38" s="53">
        <f t="shared" si="1"/>
        <v>0</v>
      </c>
      <c r="AF38" s="53"/>
      <c r="AG38" s="53">
        <f>'[37]Revised 2021-2025 Summary'!S38</f>
        <v>498000</v>
      </c>
      <c r="AH38" s="53">
        <f>'[37]Revised 2021-2025 Summary'!T38</f>
        <v>500000</v>
      </c>
      <c r="AI38" s="53">
        <f>'[37]Revised 2021-2025 Summary'!U38</f>
        <v>500000</v>
      </c>
      <c r="AJ38" s="53">
        <f>'[37]Revised 2021-2025 Summary'!V38</f>
        <v>500000</v>
      </c>
      <c r="AK38" s="49">
        <f>'[37]dea update '!AL38</f>
        <v>0</v>
      </c>
    </row>
    <row r="39" spans="1:39" ht="14.4" x14ac:dyDescent="0.3">
      <c r="A39" s="48">
        <v>306855</v>
      </c>
      <c r="B39" s="48" t="s">
        <v>337</v>
      </c>
      <c r="C39" s="52" t="s">
        <v>338</v>
      </c>
      <c r="D39" s="48" t="s">
        <v>339</v>
      </c>
      <c r="E39" s="48">
        <v>120000</v>
      </c>
      <c r="F39" s="48" t="s">
        <v>247</v>
      </c>
      <c r="G39" s="48" t="s">
        <v>337</v>
      </c>
      <c r="H39" s="48">
        <v>3820</v>
      </c>
      <c r="I39" s="48" t="s">
        <v>306</v>
      </c>
      <c r="J39" s="48" t="s">
        <v>339</v>
      </c>
      <c r="K39" s="48">
        <v>204000</v>
      </c>
      <c r="L39" s="48" t="s">
        <v>340</v>
      </c>
      <c r="M39" s="48">
        <v>3820</v>
      </c>
      <c r="N39" s="48" t="s">
        <v>312</v>
      </c>
      <c r="P39" s="53">
        <f>'[37]Revised 2021-2025 Summary'!R39</f>
        <v>300000</v>
      </c>
      <c r="Q39" s="53"/>
      <c r="R39" s="53">
        <v>25000</v>
      </c>
      <c r="S39" s="53">
        <v>25000</v>
      </c>
      <c r="T39" s="53">
        <v>25000</v>
      </c>
      <c r="U39" s="53">
        <v>25000</v>
      </c>
      <c r="V39" s="53">
        <v>25000</v>
      </c>
      <c r="W39" s="53">
        <v>25000</v>
      </c>
      <c r="X39" s="53">
        <v>25000</v>
      </c>
      <c r="Y39" s="53">
        <v>25000</v>
      </c>
      <c r="Z39" s="53">
        <v>25000</v>
      </c>
      <c r="AA39" s="53">
        <v>25000</v>
      </c>
      <c r="AB39" s="53">
        <v>25000</v>
      </c>
      <c r="AC39" s="53">
        <v>25000</v>
      </c>
      <c r="AD39" s="53">
        <f t="shared" si="2"/>
        <v>300000</v>
      </c>
      <c r="AE39" s="53">
        <f t="shared" si="1"/>
        <v>0</v>
      </c>
      <c r="AF39" s="53"/>
      <c r="AG39" s="53">
        <f>'[37]Revised 2021-2025 Summary'!S39</f>
        <v>300000</v>
      </c>
      <c r="AH39" s="53">
        <f>'[37]Revised 2021-2025 Summary'!T39</f>
        <v>200000</v>
      </c>
      <c r="AI39" s="53">
        <f>'[37]Revised 2021-2025 Summary'!U39</f>
        <v>200000</v>
      </c>
      <c r="AJ39" s="53">
        <f>'[37]Revised 2021-2025 Summary'!V39</f>
        <v>200000</v>
      </c>
      <c r="AK39" s="49">
        <f>'[37]dea update '!AL39</f>
        <v>0</v>
      </c>
    </row>
    <row r="40" spans="1:39" ht="14.4" x14ac:dyDescent="0.3">
      <c r="A40" s="48">
        <v>174269</v>
      </c>
      <c r="B40" s="48" t="s">
        <v>341</v>
      </c>
      <c r="C40" s="52" t="s">
        <v>342</v>
      </c>
      <c r="D40" s="48" t="s">
        <v>343</v>
      </c>
      <c r="E40" s="48">
        <v>148500</v>
      </c>
      <c r="F40" s="48" t="s">
        <v>247</v>
      </c>
      <c r="G40" s="48" t="s">
        <v>341</v>
      </c>
      <c r="H40" s="48">
        <v>3830</v>
      </c>
      <c r="I40" s="48" t="s">
        <v>306</v>
      </c>
      <c r="J40" s="48" t="s">
        <v>343</v>
      </c>
      <c r="K40" s="48">
        <v>150800</v>
      </c>
      <c r="L40" s="48" t="s">
        <v>344</v>
      </c>
      <c r="M40" s="48">
        <v>3830</v>
      </c>
      <c r="N40" s="48" t="s">
        <v>312</v>
      </c>
      <c r="P40" s="53">
        <f>'[37]Revised 2021-2025 Summary'!R40</f>
        <v>150800</v>
      </c>
      <c r="Q40" s="53"/>
      <c r="R40" s="53">
        <v>12600</v>
      </c>
      <c r="S40" s="53">
        <v>12600</v>
      </c>
      <c r="T40" s="53">
        <v>12600</v>
      </c>
      <c r="U40" s="53">
        <v>12600</v>
      </c>
      <c r="V40" s="53">
        <v>12600</v>
      </c>
      <c r="W40" s="53">
        <v>12600</v>
      </c>
      <c r="X40" s="53">
        <v>12600</v>
      </c>
      <c r="Y40" s="53">
        <v>12600</v>
      </c>
      <c r="Z40" s="53">
        <v>12600</v>
      </c>
      <c r="AA40" s="53">
        <v>12600</v>
      </c>
      <c r="AB40" s="53">
        <v>12600</v>
      </c>
      <c r="AC40" s="53">
        <v>12200</v>
      </c>
      <c r="AD40" s="53">
        <f t="shared" si="2"/>
        <v>150800</v>
      </c>
      <c r="AE40" s="53">
        <f t="shared" si="1"/>
        <v>0</v>
      </c>
      <c r="AF40" s="53"/>
      <c r="AG40" s="53">
        <f>'[37]Revised 2021-2025 Summary'!S40</f>
        <v>179300</v>
      </c>
      <c r="AH40" s="53">
        <f>'[37]Revised 2021-2025 Summary'!T40</f>
        <v>155000</v>
      </c>
      <c r="AI40" s="53">
        <f>'[37]Revised 2021-2025 Summary'!U40</f>
        <v>160000</v>
      </c>
      <c r="AJ40" s="53">
        <f>'[37]Revised 2021-2025 Summary'!V40</f>
        <v>160000</v>
      </c>
      <c r="AK40" s="49">
        <f>'[37]dea update '!AL40</f>
        <v>0</v>
      </c>
    </row>
    <row r="41" spans="1:39" ht="14.4" x14ac:dyDescent="0.3">
      <c r="A41" s="48">
        <v>126122</v>
      </c>
      <c r="B41" s="48" t="s">
        <v>345</v>
      </c>
      <c r="C41" s="52" t="s">
        <v>346</v>
      </c>
      <c r="D41" s="48" t="s">
        <v>347</v>
      </c>
      <c r="E41" s="48">
        <v>36000</v>
      </c>
      <c r="F41" s="48" t="s">
        <v>247</v>
      </c>
      <c r="G41" s="48" t="s">
        <v>345</v>
      </c>
      <c r="H41" s="48">
        <v>3850</v>
      </c>
      <c r="I41" s="48" t="s">
        <v>306</v>
      </c>
      <c r="J41" s="48" t="s">
        <v>347</v>
      </c>
      <c r="K41" s="48">
        <v>52000</v>
      </c>
      <c r="L41" s="48" t="s">
        <v>348</v>
      </c>
      <c r="M41" s="48">
        <v>3850</v>
      </c>
      <c r="N41" s="48" t="s">
        <v>312</v>
      </c>
      <c r="P41" s="53">
        <f>'[37]Revised 2021-2025 Summary'!R41</f>
        <v>52000</v>
      </c>
      <c r="Q41" s="53"/>
      <c r="R41" s="53">
        <v>4300</v>
      </c>
      <c r="S41" s="53">
        <v>4300</v>
      </c>
      <c r="T41" s="53">
        <v>4300</v>
      </c>
      <c r="U41" s="53">
        <v>4300</v>
      </c>
      <c r="V41" s="53">
        <v>4300</v>
      </c>
      <c r="W41" s="53">
        <v>4300</v>
      </c>
      <c r="X41" s="53">
        <v>4300</v>
      </c>
      <c r="Y41" s="53">
        <v>4300</v>
      </c>
      <c r="Z41" s="53">
        <v>4300</v>
      </c>
      <c r="AA41" s="53">
        <v>4300</v>
      </c>
      <c r="AB41" s="53">
        <v>4300</v>
      </c>
      <c r="AC41" s="53">
        <v>4700</v>
      </c>
      <c r="AD41" s="53">
        <f t="shared" si="2"/>
        <v>52000</v>
      </c>
      <c r="AE41" s="53">
        <f t="shared" si="1"/>
        <v>0</v>
      </c>
      <c r="AF41" s="53"/>
      <c r="AG41" s="53">
        <f>'[37]Revised 2021-2025 Summary'!S41</f>
        <v>50000</v>
      </c>
      <c r="AH41" s="53">
        <f>'[37]Revised 2021-2025 Summary'!T41</f>
        <v>50000</v>
      </c>
      <c r="AI41" s="53">
        <f>'[37]Revised 2021-2025 Summary'!U41</f>
        <v>50000</v>
      </c>
      <c r="AJ41" s="53">
        <f>'[37]Revised 2021-2025 Summary'!V41</f>
        <v>50000</v>
      </c>
      <c r="AK41" s="49">
        <f>'[37]dea update '!AL41</f>
        <v>0</v>
      </c>
    </row>
    <row r="42" spans="1:39" ht="14.4" x14ac:dyDescent="0.3">
      <c r="A42" s="48">
        <v>27082</v>
      </c>
      <c r="B42" s="48" t="s">
        <v>349</v>
      </c>
      <c r="C42" s="52" t="s">
        <v>350</v>
      </c>
      <c r="D42" s="48" t="s">
        <v>349</v>
      </c>
      <c r="E42" s="48">
        <v>48000</v>
      </c>
      <c r="F42" s="48" t="s">
        <v>247</v>
      </c>
      <c r="G42" s="48" t="s">
        <v>349</v>
      </c>
      <c r="H42" s="48">
        <v>3940</v>
      </c>
      <c r="I42" s="48" t="s">
        <v>320</v>
      </c>
      <c r="J42" s="48" t="s">
        <v>349</v>
      </c>
      <c r="K42" s="48">
        <v>51200</v>
      </c>
      <c r="L42" s="48" t="s">
        <v>351</v>
      </c>
      <c r="M42" s="48">
        <v>3940</v>
      </c>
      <c r="N42" s="48" t="s">
        <v>352</v>
      </c>
      <c r="P42" s="53">
        <f>'[37]Revised 2021-2025 Summary'!R42</f>
        <v>51200</v>
      </c>
      <c r="Q42" s="53"/>
      <c r="R42" s="53">
        <v>23700</v>
      </c>
      <c r="S42" s="53">
        <v>2500</v>
      </c>
      <c r="T42" s="53">
        <v>2500</v>
      </c>
      <c r="U42" s="53">
        <v>2500</v>
      </c>
      <c r="V42" s="53">
        <v>2500</v>
      </c>
      <c r="W42" s="53">
        <v>2500</v>
      </c>
      <c r="X42" s="53">
        <v>2500</v>
      </c>
      <c r="Y42" s="53">
        <v>2500</v>
      </c>
      <c r="Z42" s="53">
        <v>2500</v>
      </c>
      <c r="AA42" s="53">
        <v>2500</v>
      </c>
      <c r="AB42" s="53">
        <v>2500</v>
      </c>
      <c r="AC42" s="53">
        <v>2500</v>
      </c>
      <c r="AD42" s="53">
        <f t="shared" si="2"/>
        <v>51200</v>
      </c>
      <c r="AE42" s="53">
        <f t="shared" si="1"/>
        <v>0</v>
      </c>
      <c r="AF42" s="53"/>
      <c r="AG42" s="53">
        <f>'[37]Revised 2021-2025 Summary'!S42</f>
        <v>30000</v>
      </c>
      <c r="AH42" s="53">
        <f>'[37]Revised 2021-2025 Summary'!T42</f>
        <v>60000</v>
      </c>
      <c r="AI42" s="53">
        <f>'[37]Revised 2021-2025 Summary'!U42</f>
        <v>65000</v>
      </c>
      <c r="AJ42" s="53">
        <f>'[37]Revised 2021-2025 Summary'!V42</f>
        <v>65000</v>
      </c>
      <c r="AK42" s="49">
        <f>'[37]dea update '!AL42</f>
        <v>0</v>
      </c>
    </row>
    <row r="43" spans="1:39" ht="16.2" x14ac:dyDescent="0.45">
      <c r="A43" s="54">
        <v>87971</v>
      </c>
      <c r="B43" s="48" t="s">
        <v>353</v>
      </c>
      <c r="C43" s="52" t="s">
        <v>354</v>
      </c>
      <c r="D43" s="48" t="s">
        <v>355</v>
      </c>
      <c r="E43" s="54">
        <v>146900</v>
      </c>
      <c r="F43" s="54" t="s">
        <v>247</v>
      </c>
      <c r="G43" s="54" t="s">
        <v>353</v>
      </c>
      <c r="H43" s="54">
        <v>3960</v>
      </c>
      <c r="I43" s="54" t="s">
        <v>320</v>
      </c>
      <c r="J43" s="54" t="s">
        <v>355</v>
      </c>
      <c r="K43" s="54">
        <v>252200</v>
      </c>
      <c r="L43" s="54" t="s">
        <v>356</v>
      </c>
      <c r="M43" s="54">
        <v>3960</v>
      </c>
      <c r="N43" s="54" t="s">
        <v>352</v>
      </c>
      <c r="O43" s="54"/>
      <c r="P43" s="55">
        <f>'[37]Revised 2021-2025 Summary'!R43</f>
        <v>614200</v>
      </c>
      <c r="Q43" s="55"/>
      <c r="R43" s="55">
        <v>42100</v>
      </c>
      <c r="S43" s="55">
        <v>49600</v>
      </c>
      <c r="T43" s="55">
        <v>14100</v>
      </c>
      <c r="U43" s="55">
        <f>4600+112000</f>
        <v>116600</v>
      </c>
      <c r="V43" s="55">
        <f>4600+140000</f>
        <v>144600</v>
      </c>
      <c r="W43" s="55">
        <v>4600</v>
      </c>
      <c r="X43" s="55">
        <v>4600</v>
      </c>
      <c r="Y43" s="55">
        <v>4600</v>
      </c>
      <c r="Z43" s="55">
        <v>4600</v>
      </c>
      <c r="AA43" s="55">
        <v>4600</v>
      </c>
      <c r="AB43" s="55">
        <f>109600+110000</f>
        <v>219600</v>
      </c>
      <c r="AC43" s="55">
        <v>4600</v>
      </c>
      <c r="AD43" s="55">
        <f t="shared" si="2"/>
        <v>614200</v>
      </c>
      <c r="AE43" s="53">
        <f t="shared" si="1"/>
        <v>0</v>
      </c>
      <c r="AF43" s="53"/>
      <c r="AG43" s="55">
        <f>'[37]Revised 2021-2025 Summary'!S43</f>
        <v>213200</v>
      </c>
      <c r="AH43" s="55">
        <f>'[37]Revised 2021-2025 Summary'!T43</f>
        <v>300000</v>
      </c>
      <c r="AI43" s="55">
        <f>'[37]Revised 2021-2025 Summary'!U43</f>
        <v>300000</v>
      </c>
      <c r="AJ43" s="55">
        <f>'[37]Revised 2021-2025 Summary'!V43</f>
        <v>300000</v>
      </c>
      <c r="AK43" s="54">
        <f>'[37]dea update '!AL43</f>
        <v>0</v>
      </c>
    </row>
    <row r="44" spans="1:39" ht="14.4" x14ac:dyDescent="0.3">
      <c r="A44" s="48">
        <f>SUM(A5:A43)</f>
        <v>13221445</v>
      </c>
      <c r="E44" s="48">
        <f>SUM(E5:E43)</f>
        <v>15348600</v>
      </c>
      <c r="F44" s="48" t="s">
        <v>357</v>
      </c>
      <c r="G44" s="48" t="s">
        <v>358</v>
      </c>
      <c r="H44" s="48" t="s">
        <v>359</v>
      </c>
      <c r="I44" s="48" t="s">
        <v>360</v>
      </c>
      <c r="K44" s="48">
        <f>SUM(K5:K43)</f>
        <v>18535700</v>
      </c>
      <c r="L44" s="48" t="s">
        <v>176</v>
      </c>
      <c r="N44" s="48" t="s">
        <v>177</v>
      </c>
      <c r="P44" s="48">
        <f t="shared" ref="P44:AK44" si="6">SUM(P5:P43)</f>
        <v>18508300</v>
      </c>
      <c r="R44" s="48">
        <f t="shared" si="6"/>
        <v>449100</v>
      </c>
      <c r="S44" s="48">
        <f t="shared" si="6"/>
        <v>406300</v>
      </c>
      <c r="T44" s="48">
        <f t="shared" si="6"/>
        <v>2054750</v>
      </c>
      <c r="U44" s="48">
        <f t="shared" si="6"/>
        <v>2125600</v>
      </c>
      <c r="V44" s="48">
        <f t="shared" si="6"/>
        <v>1286900</v>
      </c>
      <c r="W44" s="48">
        <f t="shared" si="6"/>
        <v>2695350</v>
      </c>
      <c r="X44" s="48">
        <f t="shared" si="6"/>
        <v>2225583</v>
      </c>
      <c r="Y44" s="48">
        <f t="shared" si="6"/>
        <v>1142000</v>
      </c>
      <c r="Z44" s="48">
        <f t="shared" si="6"/>
        <v>2696050</v>
      </c>
      <c r="AA44" s="48">
        <f t="shared" si="6"/>
        <v>1101400</v>
      </c>
      <c r="AB44" s="48">
        <f t="shared" si="6"/>
        <v>1100600</v>
      </c>
      <c r="AC44" s="48">
        <f t="shared" si="6"/>
        <v>2286450</v>
      </c>
      <c r="AD44" s="48">
        <f t="shared" si="6"/>
        <v>19570083</v>
      </c>
      <c r="AE44" s="48">
        <f t="shared" si="6"/>
        <v>0</v>
      </c>
      <c r="AF44" s="53"/>
      <c r="AG44" s="48">
        <f>SUM(AG5:AG43)</f>
        <v>17243704</v>
      </c>
      <c r="AH44" s="48">
        <f t="shared" si="6"/>
        <v>15562500</v>
      </c>
      <c r="AI44" s="48">
        <f t="shared" si="6"/>
        <v>14125400</v>
      </c>
      <c r="AJ44" s="48">
        <f t="shared" si="6"/>
        <v>14861900</v>
      </c>
      <c r="AK44" s="48">
        <f t="shared" si="6"/>
        <v>1159000</v>
      </c>
    </row>
    <row r="45" spans="1:39" s="54" customFormat="1" ht="16.2" x14ac:dyDescent="0.45">
      <c r="A45" s="54">
        <v>13221447</v>
      </c>
      <c r="D45" s="56" t="s">
        <v>361</v>
      </c>
      <c r="E45" s="57">
        <f>+E43-E44</f>
        <v>-15201700</v>
      </c>
      <c r="F45" s="57"/>
      <c r="G45" s="57"/>
      <c r="H45" s="57"/>
      <c r="I45" s="57"/>
      <c r="J45" s="57"/>
      <c r="K45" s="57">
        <f>+K43-K44</f>
        <v>-18283500</v>
      </c>
      <c r="L45" s="57"/>
      <c r="M45" s="57"/>
      <c r="N45" s="57"/>
      <c r="O45" s="57"/>
      <c r="P45" s="49">
        <f>'[36]Rate Base'!G5</f>
        <v>276048694.57999998</v>
      </c>
      <c r="Q45" s="58" t="s">
        <v>362</v>
      </c>
      <c r="R45" s="54">
        <f>'[36]PKY 2021 Capex'!D35</f>
        <v>44258</v>
      </c>
      <c r="S45" s="54">
        <f>'[36]PKY 2021 Capex'!E35</f>
        <v>54090</v>
      </c>
      <c r="T45" s="54">
        <f>'[36]PKY 2021 Capex'!F35</f>
        <v>35088</v>
      </c>
      <c r="U45" s="54">
        <f>'[36]PKY 2021 Capex'!G35</f>
        <v>26211</v>
      </c>
      <c r="V45" s="54">
        <f>'[36]PKY 2021 Capex'!H35</f>
        <v>54347</v>
      </c>
      <c r="W45" s="54">
        <f>'[36]PKY 2021 Capex'!I35</f>
        <v>56019</v>
      </c>
      <c r="X45" s="54">
        <f>'[36]PKY 2021 Capex'!J35</f>
        <v>26569</v>
      </c>
      <c r="Y45" s="54">
        <f>'[36]PKY 2021 Capex'!K35</f>
        <v>20813</v>
      </c>
      <c r="Z45" s="54">
        <f>'[36]PKY 2021 Capex'!L35</f>
        <v>24095</v>
      </c>
      <c r="AA45" s="54">
        <f>'[36]PKY 2021 Capex'!M35</f>
        <v>38800</v>
      </c>
      <c r="AB45" s="54">
        <f>'[36]PKY 2021 Capex'!N35</f>
        <v>16258</v>
      </c>
      <c r="AC45" s="54">
        <f>'[36]PKY 2021 Capex'!O35</f>
        <v>58854</v>
      </c>
      <c r="AD45" s="55">
        <f t="shared" si="2"/>
        <v>455402</v>
      </c>
      <c r="AE45" s="54">
        <f>AD44+AD45</f>
        <v>20025485</v>
      </c>
      <c r="AF45" s="53"/>
      <c r="AG45" s="55">
        <f>'[36]2022 capex &amp; dep'!AE45</f>
        <v>368530</v>
      </c>
      <c r="AH45" s="54">
        <v>400000</v>
      </c>
      <c r="AI45" s="54">
        <v>400000</v>
      </c>
      <c r="AJ45" s="54">
        <v>400000</v>
      </c>
      <c r="AM45" s="48"/>
    </row>
    <row r="46" spans="1:39" s="57" customFormat="1" ht="16.2" x14ac:dyDescent="0.45">
      <c r="A46" s="57">
        <f>+A44-A45</f>
        <v>-2</v>
      </c>
      <c r="D46" s="56" t="s">
        <v>363</v>
      </c>
      <c r="E46" s="57">
        <f>+E44-E45</f>
        <v>30550300</v>
      </c>
      <c r="K46" s="57">
        <f>+K44-K45</f>
        <v>36819200</v>
      </c>
      <c r="P46" s="49">
        <f>'[36]Rate Base'!H5</f>
        <v>277645551.06</v>
      </c>
      <c r="R46" s="49">
        <f>P45+R44+R45</f>
        <v>276542052.57999998</v>
      </c>
      <c r="S46" s="49">
        <f>S44+S45+R48</f>
        <v>276874127.07999998</v>
      </c>
      <c r="T46" s="49">
        <f>T44+T45+S48</f>
        <v>278835649.57999998</v>
      </c>
      <c r="U46" s="49">
        <f>U44+U45+P48</f>
        <v>279797362.06</v>
      </c>
      <c r="V46" s="49">
        <f t="shared" ref="V46:AC46" si="7">V44+V45+U48</f>
        <v>281010293.56</v>
      </c>
      <c r="W46" s="49">
        <f t="shared" si="7"/>
        <v>283633347.06</v>
      </c>
      <c r="X46" s="49">
        <f t="shared" si="7"/>
        <v>285757183.56</v>
      </c>
      <c r="Y46" s="49">
        <f t="shared" si="7"/>
        <v>286791681.06</v>
      </c>
      <c r="Z46" s="49">
        <f t="shared" si="7"/>
        <v>289383510.56</v>
      </c>
      <c r="AA46" s="49">
        <f t="shared" si="7"/>
        <v>290395395.06</v>
      </c>
      <c r="AB46" s="49">
        <f t="shared" si="7"/>
        <v>291383937.56</v>
      </c>
      <c r="AC46" s="49">
        <f t="shared" si="7"/>
        <v>293600926.06</v>
      </c>
      <c r="AD46" s="49">
        <f>SUM(P46:AC46)</f>
        <v>3691651016.8399997</v>
      </c>
      <c r="AE46" s="48">
        <f>AD46/13</f>
        <v>283973155.14153844</v>
      </c>
      <c r="AF46" s="53"/>
      <c r="AG46" s="53">
        <f>AG44+AG45</f>
        <v>17612234</v>
      </c>
      <c r="AH46" s="53">
        <f t="shared" ref="AH46:AJ46" si="8">AH44+AH45</f>
        <v>15962500</v>
      </c>
      <c r="AI46" s="53">
        <f t="shared" si="8"/>
        <v>14525400</v>
      </c>
      <c r="AJ46" s="53">
        <f t="shared" si="8"/>
        <v>15261900</v>
      </c>
      <c r="AM46" s="48"/>
    </row>
    <row r="47" spans="1:39" ht="16.8" thickBot="1" x14ac:dyDescent="0.5">
      <c r="D47" s="59" t="s">
        <v>364</v>
      </c>
      <c r="R47" s="60">
        <f>-1539786/12</f>
        <v>-128315.5</v>
      </c>
      <c r="S47" s="60">
        <f t="shared" ref="S47:AC47" si="9">-1539786/12</f>
        <v>-128315.5</v>
      </c>
      <c r="T47" s="60">
        <f t="shared" si="9"/>
        <v>-128315.5</v>
      </c>
      <c r="U47" s="60">
        <f t="shared" si="9"/>
        <v>-128315.5</v>
      </c>
      <c r="V47" s="60">
        <f t="shared" si="9"/>
        <v>-128315.5</v>
      </c>
      <c r="W47" s="60">
        <f t="shared" si="9"/>
        <v>-128315.5</v>
      </c>
      <c r="X47" s="60">
        <f t="shared" si="9"/>
        <v>-128315.5</v>
      </c>
      <c r="Y47" s="60">
        <f t="shared" si="9"/>
        <v>-128315.5</v>
      </c>
      <c r="Z47" s="60">
        <f t="shared" si="9"/>
        <v>-128315.5</v>
      </c>
      <c r="AA47" s="60">
        <f t="shared" si="9"/>
        <v>-128315.5</v>
      </c>
      <c r="AB47" s="60">
        <f t="shared" si="9"/>
        <v>-128315.5</v>
      </c>
      <c r="AC47" s="60">
        <f t="shared" si="9"/>
        <v>-128315.5</v>
      </c>
      <c r="AD47" s="54">
        <f>SUM(D47:AC47)</f>
        <v>-1539786</v>
      </c>
      <c r="AE47" s="60">
        <f>AD47/13</f>
        <v>-118445.07692307692</v>
      </c>
      <c r="AG47" s="53"/>
      <c r="AI47" s="61"/>
    </row>
    <row r="48" spans="1:39" ht="15" thickBot="1" x14ac:dyDescent="0.35">
      <c r="D48" s="59" t="s">
        <v>145</v>
      </c>
      <c r="P48" s="62">
        <f>P46</f>
        <v>277645551.06</v>
      </c>
      <c r="R48" s="48">
        <f>R46+R47</f>
        <v>276413737.07999998</v>
      </c>
      <c r="S48" s="48">
        <f t="shared" ref="S48:AC48" si="10">S46+S47</f>
        <v>276745811.57999998</v>
      </c>
      <c r="T48" s="48">
        <f t="shared" si="10"/>
        <v>278707334.07999998</v>
      </c>
      <c r="U48" s="48">
        <f t="shared" si="10"/>
        <v>279669046.56</v>
      </c>
      <c r="V48" s="48">
        <f t="shared" si="10"/>
        <v>280881978.06</v>
      </c>
      <c r="W48" s="48">
        <f t="shared" si="10"/>
        <v>283505031.56</v>
      </c>
      <c r="X48" s="48">
        <f t="shared" si="10"/>
        <v>285628868.06</v>
      </c>
      <c r="Y48" s="48">
        <f t="shared" si="10"/>
        <v>286663365.56</v>
      </c>
      <c r="Z48" s="48">
        <f t="shared" si="10"/>
        <v>289255195.06</v>
      </c>
      <c r="AA48" s="48">
        <f t="shared" si="10"/>
        <v>290267079.56</v>
      </c>
      <c r="AB48" s="48">
        <f t="shared" si="10"/>
        <v>291255622.06</v>
      </c>
      <c r="AC48" s="48">
        <f t="shared" si="10"/>
        <v>293472610.56</v>
      </c>
      <c r="AD48" s="49">
        <f>SUM(P48:AC48)</f>
        <v>3690111230.8399997</v>
      </c>
      <c r="AE48" s="48">
        <f>AD48/13</f>
        <v>283854710.06461537</v>
      </c>
      <c r="AG48" s="53"/>
    </row>
    <row r="49" spans="4:33" ht="14.4" x14ac:dyDescent="0.3">
      <c r="T49" s="48">
        <f>T48-P48</f>
        <v>1061783.0199999809</v>
      </c>
      <c r="AG49" s="53"/>
    </row>
    <row r="50" spans="4:33" ht="14.4" x14ac:dyDescent="0.3">
      <c r="AG50" s="53"/>
    </row>
    <row r="51" spans="4:33" ht="14.4" x14ac:dyDescent="0.3">
      <c r="AG51" s="53"/>
    </row>
    <row r="52" spans="4:33" ht="14.4" x14ac:dyDescent="0.3">
      <c r="D52" s="63" t="s">
        <v>365</v>
      </c>
      <c r="P52" s="64">
        <f>'[36]Rate Base'!H15</f>
        <v>-118940848.98</v>
      </c>
      <c r="R52" s="48">
        <f>P55</f>
        <v>-118940848.98</v>
      </c>
      <c r="S52" s="48" t="e">
        <f>R55</f>
        <v>#REF!</v>
      </c>
      <c r="T52" s="48" t="e">
        <f t="shared" ref="T52:AC52" si="11">S55</f>
        <v>#REF!</v>
      </c>
      <c r="U52" s="48">
        <f>P55</f>
        <v>-118940848.98</v>
      </c>
      <c r="V52" s="48">
        <f t="shared" si="11"/>
        <v>-119490551.48</v>
      </c>
      <c r="W52" s="48">
        <f t="shared" si="11"/>
        <v>-120040362.98</v>
      </c>
      <c r="X52" s="48">
        <f t="shared" si="11"/>
        <v>-120590472.48</v>
      </c>
      <c r="Y52" s="48">
        <f t="shared" si="11"/>
        <v>-121140740.98</v>
      </c>
      <c r="Z52" s="48">
        <f t="shared" si="11"/>
        <v>-121691412.48</v>
      </c>
      <c r="AA52" s="48">
        <f t="shared" si="11"/>
        <v>-122248222.95256554</v>
      </c>
      <c r="AB52" s="48">
        <f t="shared" si="11"/>
        <v>-122807430.16117601</v>
      </c>
      <c r="AC52" s="48">
        <f t="shared" si="11"/>
        <v>-123368978.81828353</v>
      </c>
      <c r="AD52" s="49" t="e">
        <f>SUM(P52:AC52)</f>
        <v>#REF!</v>
      </c>
      <c r="AE52" s="48" t="e">
        <f>AD52/13</f>
        <v>#REF!</v>
      </c>
      <c r="AG52" s="53"/>
    </row>
    <row r="53" spans="4:33" ht="14.4" x14ac:dyDescent="0.3">
      <c r="D53" s="59" t="s">
        <v>366</v>
      </c>
      <c r="R53" s="64" t="e">
        <f>-SUM('[36]State P&amp;L 9 20 - 3 21'!I181:'[36]State P&amp;L 9 20 - 3 21'!I188)</f>
        <v>#REF!</v>
      </c>
      <c r="S53" s="64" t="e">
        <f>-SUM('[36]State P&amp;L 9 20 - 3 21'!J181:'[36]State P&amp;L 9 20 - 3 21'!J188)</f>
        <v>#REF!</v>
      </c>
      <c r="T53" s="64" t="e">
        <f>-SUM('[36]State P&amp;L 9 20 - 3 21'!K181:'[36]State P&amp;L 9 20 - 3 21'!K188)</f>
        <v>#REF!</v>
      </c>
      <c r="U53" s="64">
        <f>-'[36]Base Year - FERC'!I101</f>
        <v>-678018</v>
      </c>
      <c r="V53" s="64">
        <f>-'[36]Base Year - FERC'!J101</f>
        <v>-678127</v>
      </c>
      <c r="W53" s="64">
        <f>-'[36]Base Year - FERC'!K101</f>
        <v>-678425</v>
      </c>
      <c r="X53" s="64">
        <f>-'[36]Base Year - FERC'!L101</f>
        <v>-678584</v>
      </c>
      <c r="Y53" s="64">
        <f>-'[36]Base Year - FERC'!M101</f>
        <v>-678987</v>
      </c>
      <c r="Z53" s="64">
        <f>Y53*(Z48/Y48)</f>
        <v>-685125.97256553394</v>
      </c>
      <c r="AA53" s="64">
        <f t="shared" ref="AA53:AC53" si="12">Z53*(AA48/Z48)</f>
        <v>-687522.70861047402</v>
      </c>
      <c r="AB53" s="64">
        <f t="shared" si="12"/>
        <v>-689864.15710751619</v>
      </c>
      <c r="AC53" s="64">
        <f t="shared" si="12"/>
        <v>-695115.2863116574</v>
      </c>
      <c r="AD53" s="49" t="e">
        <f>SUM(P53:AC53)</f>
        <v>#REF!</v>
      </c>
      <c r="AE53" s="48" t="e">
        <f>AD53/13</f>
        <v>#REF!</v>
      </c>
      <c r="AG53" s="53"/>
    </row>
    <row r="54" spans="4:33" ht="16.8" thickBot="1" x14ac:dyDescent="0.5">
      <c r="D54" s="59" t="s">
        <v>364</v>
      </c>
      <c r="R54" s="60">
        <f>-R47</f>
        <v>128315.5</v>
      </c>
      <c r="S54" s="60">
        <f t="shared" ref="S54:AC54" si="13">-S47</f>
        <v>128315.5</v>
      </c>
      <c r="T54" s="60">
        <f t="shared" si="13"/>
        <v>128315.5</v>
      </c>
      <c r="U54" s="60">
        <f t="shared" si="13"/>
        <v>128315.5</v>
      </c>
      <c r="V54" s="60">
        <f t="shared" si="13"/>
        <v>128315.5</v>
      </c>
      <c r="W54" s="60">
        <f t="shared" si="13"/>
        <v>128315.5</v>
      </c>
      <c r="X54" s="60">
        <f t="shared" si="13"/>
        <v>128315.5</v>
      </c>
      <c r="Y54" s="60">
        <f t="shared" si="13"/>
        <v>128315.5</v>
      </c>
      <c r="Z54" s="60">
        <f t="shared" si="13"/>
        <v>128315.5</v>
      </c>
      <c r="AA54" s="60">
        <f t="shared" si="13"/>
        <v>128315.5</v>
      </c>
      <c r="AB54" s="60">
        <f t="shared" si="13"/>
        <v>128315.5</v>
      </c>
      <c r="AC54" s="60">
        <f t="shared" si="13"/>
        <v>128315.5</v>
      </c>
      <c r="AD54" s="54">
        <f>SUM(P54:AC54)</f>
        <v>1539786</v>
      </c>
      <c r="AE54" s="60">
        <f>AD54/13</f>
        <v>118445.07692307692</v>
      </c>
      <c r="AG54" s="53"/>
    </row>
    <row r="55" spans="4:33" ht="15" thickBot="1" x14ac:dyDescent="0.35">
      <c r="D55" s="59" t="s">
        <v>367</v>
      </c>
      <c r="P55" s="62">
        <f>SUM(P52:P54)</f>
        <v>-118940848.98</v>
      </c>
      <c r="R55" s="48" t="e">
        <f>SUM(R52:R54)</f>
        <v>#REF!</v>
      </c>
      <c r="S55" s="48" t="e">
        <f t="shared" ref="S55:AC55" si="14">SUM(S52:S54)</f>
        <v>#REF!</v>
      </c>
      <c r="T55" s="48" t="e">
        <f t="shared" si="14"/>
        <v>#REF!</v>
      </c>
      <c r="U55" s="48">
        <f t="shared" si="14"/>
        <v>-119490551.48</v>
      </c>
      <c r="V55" s="48">
        <f t="shared" si="14"/>
        <v>-120040362.98</v>
      </c>
      <c r="W55" s="48">
        <f t="shared" si="14"/>
        <v>-120590472.48</v>
      </c>
      <c r="X55" s="48">
        <f t="shared" si="14"/>
        <v>-121140740.98</v>
      </c>
      <c r="Y55" s="48">
        <f t="shared" si="14"/>
        <v>-121691412.48</v>
      </c>
      <c r="Z55" s="48">
        <f t="shared" si="14"/>
        <v>-122248222.95256554</v>
      </c>
      <c r="AA55" s="48">
        <f t="shared" si="14"/>
        <v>-122807430.16117601</v>
      </c>
      <c r="AB55" s="48">
        <f t="shared" si="14"/>
        <v>-123368978.81828353</v>
      </c>
      <c r="AC55" s="48">
        <f t="shared" si="14"/>
        <v>-123935778.60459518</v>
      </c>
      <c r="AD55" s="49" t="e">
        <f>SUM(P55:AC55)</f>
        <v>#REF!</v>
      </c>
      <c r="AE55" s="48" t="e">
        <f>AD55/13</f>
        <v>#REF!</v>
      </c>
      <c r="AG55" s="53"/>
    </row>
    <row r="56" spans="4:33" ht="14.4" x14ac:dyDescent="0.3">
      <c r="AG56" s="53"/>
    </row>
    <row r="57" spans="4:33" ht="13.8" x14ac:dyDescent="0.3">
      <c r="D57" s="34" t="s">
        <v>150</v>
      </c>
      <c r="E57" s="34"/>
      <c r="F57" s="34"/>
      <c r="P57" s="48">
        <f>'[36]Rate Base'!H7</f>
        <v>604905.27461538452</v>
      </c>
      <c r="U57" s="48">
        <f>P57</f>
        <v>604905.27461538452</v>
      </c>
      <c r="V57" s="48">
        <f>U57</f>
        <v>604905.27461538452</v>
      </c>
      <c r="W57" s="48">
        <f t="shared" ref="W57:AC58" si="15">V57</f>
        <v>604905.27461538452</v>
      </c>
      <c r="X57" s="48">
        <f t="shared" si="15"/>
        <v>604905.27461538452</v>
      </c>
      <c r="Y57" s="48">
        <f t="shared" si="15"/>
        <v>604905.27461538452</v>
      </c>
      <c r="Z57" s="48">
        <f t="shared" si="15"/>
        <v>604905.27461538452</v>
      </c>
      <c r="AA57" s="48">
        <f t="shared" si="15"/>
        <v>604905.27461538452</v>
      </c>
      <c r="AB57" s="48">
        <f t="shared" si="15"/>
        <v>604905.27461538452</v>
      </c>
      <c r="AC57" s="48">
        <f t="shared" si="15"/>
        <v>604905.27461538452</v>
      </c>
    </row>
    <row r="58" spans="4:33" ht="13.8" x14ac:dyDescent="0.3">
      <c r="D58" s="34" t="s">
        <v>152</v>
      </c>
      <c r="E58" s="34"/>
      <c r="F58" s="34"/>
      <c r="P58" s="48">
        <f>'[36]Rate Base'!H8</f>
        <v>1072740.6115384614</v>
      </c>
      <c r="U58" s="48">
        <f>P58</f>
        <v>1072740.6115384614</v>
      </c>
      <c r="V58" s="48">
        <f>U58</f>
        <v>1072740.6115384614</v>
      </c>
      <c r="W58" s="48">
        <f t="shared" si="15"/>
        <v>1072740.6115384614</v>
      </c>
      <c r="X58" s="48">
        <f t="shared" si="15"/>
        <v>1072740.6115384614</v>
      </c>
      <c r="Y58" s="48">
        <f t="shared" si="15"/>
        <v>1072740.6115384614</v>
      </c>
      <c r="Z58" s="48">
        <f t="shared" si="15"/>
        <v>1072740.6115384614</v>
      </c>
      <c r="AA58" s="48">
        <f t="shared" si="15"/>
        <v>1072740.6115384614</v>
      </c>
      <c r="AB58" s="48">
        <f t="shared" si="15"/>
        <v>1072740.6115384614</v>
      </c>
      <c r="AC58" s="48">
        <f t="shared" si="15"/>
        <v>1072740.6115384614</v>
      </c>
    </row>
    <row r="59" spans="4:33" ht="13.8" x14ac:dyDescent="0.3">
      <c r="D59" s="34"/>
      <c r="E59" s="34" t="s">
        <v>368</v>
      </c>
      <c r="F59" s="34"/>
      <c r="P59" s="48">
        <f>'[36]Rate Base'!H9</f>
        <v>0</v>
      </c>
    </row>
    <row r="60" spans="4:33" ht="13.8" x14ac:dyDescent="0.3">
      <c r="D60" s="34" t="s">
        <v>153</v>
      </c>
      <c r="E60" s="34"/>
      <c r="F60" s="34"/>
      <c r="P60" s="48">
        <f>'[36]Rate Base'!H10</f>
        <v>1143702.0207692308</v>
      </c>
      <c r="U60" s="48">
        <f>P60</f>
        <v>1143702.0207692308</v>
      </c>
      <c r="V60" s="48">
        <f>U60</f>
        <v>1143702.0207692308</v>
      </c>
      <c r="W60" s="48">
        <f t="shared" ref="W60:AC60" si="16">V60</f>
        <v>1143702.0207692308</v>
      </c>
      <c r="X60" s="48">
        <f t="shared" si="16"/>
        <v>1143702.0207692308</v>
      </c>
      <c r="Y60" s="48">
        <f t="shared" si="16"/>
        <v>1143702.0207692308</v>
      </c>
      <c r="Z60" s="48">
        <f t="shared" si="16"/>
        <v>1143702.0207692308</v>
      </c>
      <c r="AA60" s="48">
        <f t="shared" si="16"/>
        <v>1143702.0207692308</v>
      </c>
      <c r="AB60" s="48">
        <f t="shared" si="16"/>
        <v>1143702.0207692308</v>
      </c>
      <c r="AC60" s="48">
        <f t="shared" si="16"/>
        <v>1143702.0207692308</v>
      </c>
    </row>
    <row r="61" spans="4:33" ht="13.8" x14ac:dyDescent="0.3">
      <c r="D61" s="34" t="s">
        <v>154</v>
      </c>
      <c r="E61" s="34"/>
      <c r="F61" s="34"/>
      <c r="P61" s="48">
        <f>'[36]Rate Base'!H11</f>
        <v>1747660.73</v>
      </c>
      <c r="U61" s="48">
        <f t="shared" ref="U61:U64" si="17">P61</f>
        <v>1747660.73</v>
      </c>
      <c r="V61" s="48">
        <f t="shared" ref="V61:AC64" si="18">U61</f>
        <v>1747660.73</v>
      </c>
      <c r="W61" s="48">
        <f t="shared" si="18"/>
        <v>1747660.73</v>
      </c>
      <c r="X61" s="48">
        <f t="shared" si="18"/>
        <v>1747660.73</v>
      </c>
      <c r="Y61" s="48">
        <f t="shared" si="18"/>
        <v>1747660.73</v>
      </c>
      <c r="Z61" s="48">
        <f t="shared" si="18"/>
        <v>1747660.73</v>
      </c>
      <c r="AA61" s="48">
        <f t="shared" si="18"/>
        <v>1747660.73</v>
      </c>
      <c r="AB61" s="48">
        <f t="shared" si="18"/>
        <v>1747660.73</v>
      </c>
      <c r="AC61" s="48">
        <f t="shared" si="18"/>
        <v>1747660.73</v>
      </c>
    </row>
    <row r="62" spans="4:33" ht="13.8" x14ac:dyDescent="0.3">
      <c r="D62" s="34" t="s">
        <v>156</v>
      </c>
      <c r="E62" s="34"/>
      <c r="F62" s="34"/>
      <c r="P62" s="48">
        <f>'[36]Rate Base'!H12</f>
        <v>2000868.7136554644</v>
      </c>
      <c r="U62" s="48">
        <f t="shared" si="17"/>
        <v>2000868.7136554644</v>
      </c>
      <c r="V62" s="48">
        <f t="shared" si="18"/>
        <v>2000868.7136554644</v>
      </c>
      <c r="W62" s="48">
        <f t="shared" si="18"/>
        <v>2000868.7136554644</v>
      </c>
      <c r="X62" s="48">
        <f t="shared" si="18"/>
        <v>2000868.7136554644</v>
      </c>
      <c r="Y62" s="48">
        <f t="shared" si="18"/>
        <v>2000868.7136554644</v>
      </c>
      <c r="Z62" s="48">
        <f t="shared" si="18"/>
        <v>2000868.7136554644</v>
      </c>
      <c r="AA62" s="48">
        <f t="shared" si="18"/>
        <v>2000868.7136554644</v>
      </c>
      <c r="AB62" s="48">
        <f t="shared" si="18"/>
        <v>2000868.7136554644</v>
      </c>
      <c r="AC62" s="48">
        <f t="shared" si="18"/>
        <v>2000868.7136554644</v>
      </c>
    </row>
    <row r="64" spans="4:33" ht="13.8" x14ac:dyDescent="0.3">
      <c r="D64" s="34" t="s">
        <v>161</v>
      </c>
      <c r="P64" s="48">
        <f>'[36]Rate Base'!H16</f>
        <v>-457600.2</v>
      </c>
      <c r="U64" s="48">
        <f t="shared" si="17"/>
        <v>-457600.2</v>
      </c>
      <c r="V64" s="48">
        <f t="shared" si="18"/>
        <v>-457600.2</v>
      </c>
      <c r="W64" s="48">
        <f t="shared" si="18"/>
        <v>-457600.2</v>
      </c>
      <c r="X64" s="48">
        <f t="shared" si="18"/>
        <v>-457600.2</v>
      </c>
      <c r="Y64" s="48">
        <f t="shared" si="18"/>
        <v>-457600.2</v>
      </c>
      <c r="Z64" s="48">
        <f t="shared" si="18"/>
        <v>-457600.2</v>
      </c>
      <c r="AA64" s="48">
        <f t="shared" si="18"/>
        <v>-457600.2</v>
      </c>
      <c r="AB64" s="48">
        <f t="shared" si="18"/>
        <v>-457600.2</v>
      </c>
      <c r="AC64" s="48">
        <f t="shared" si="18"/>
        <v>-457600.2</v>
      </c>
    </row>
    <row r="65" spans="4:29" ht="15" x14ac:dyDescent="0.4">
      <c r="D65" s="34" t="s">
        <v>369</v>
      </c>
      <c r="P65" s="60">
        <f>'[36]Rate Base'!H17</f>
        <v>-42472111</v>
      </c>
      <c r="U65" s="60">
        <f>-'[36]13 mo Avg ADIT'!$H11</f>
        <v>-42317500.869288035</v>
      </c>
      <c r="V65" s="60">
        <f>-'[36]13 mo Avg ADIT'!$H12</f>
        <v>-42354241.138576061</v>
      </c>
      <c r="W65" s="60">
        <f>-'[36]13 mo Avg ADIT'!$H13</f>
        <v>-42390981.407864079</v>
      </c>
      <c r="X65" s="60">
        <f>-'[36]13 mo Avg ADIT'!$H14</f>
        <v>-42427721.677152105</v>
      </c>
      <c r="Y65" s="60">
        <f>-'[36]13 mo Avg ADIT'!$H15</f>
        <v>-42464461.94644013</v>
      </c>
      <c r="Z65" s="60">
        <f>-'[36]13 mo Avg ADIT'!$H16</f>
        <v>-42501202.215728156</v>
      </c>
      <c r="AA65" s="60">
        <f>-'[36]13 mo Avg ADIT'!$H17</f>
        <v>-42537942.485016182</v>
      </c>
      <c r="AB65" s="60">
        <f>-'[36]13 mo Avg ADIT'!$H18</f>
        <v>-42574682.7543042</v>
      </c>
      <c r="AC65" s="60">
        <f>-'[36]13 mo Avg ADIT'!$H19</f>
        <v>-42766929.023592241</v>
      </c>
    </row>
    <row r="67" spans="4:29" x14ac:dyDescent="0.25">
      <c r="D67" s="64" t="s">
        <v>142</v>
      </c>
      <c r="P67" s="48">
        <f>P48+P55+SUM(P57:P65)</f>
        <v>122344868.23057853</v>
      </c>
      <c r="U67" s="48">
        <f>U48+U55+SUM(U57:U65)</f>
        <v>123973271.36129048</v>
      </c>
      <c r="V67" s="48">
        <f>V48+V55+SUM(V57:V65)</f>
        <v>124599651.09200247</v>
      </c>
      <c r="W67" s="48">
        <f t="shared" ref="W67:AC67" si="19">W48+W55+SUM(W57:W65)</f>
        <v>126635854.82271445</v>
      </c>
      <c r="X67" s="48">
        <f t="shared" si="19"/>
        <v>128172682.55342641</v>
      </c>
      <c r="Y67" s="48">
        <f t="shared" si="19"/>
        <v>128619768.2841384</v>
      </c>
      <c r="Z67" s="48">
        <f t="shared" si="19"/>
        <v>130618047.04228485</v>
      </c>
      <c r="AA67" s="48">
        <f t="shared" si="19"/>
        <v>131033984.06438634</v>
      </c>
      <c r="AB67" s="48">
        <f t="shared" si="19"/>
        <v>131424237.63799082</v>
      </c>
      <c r="AC67" s="48">
        <f t="shared" si="19"/>
        <v>132882180.08239111</v>
      </c>
    </row>
  </sheetData>
  <pageMargins left="0.7" right="0.7" top="0.75" bottom="0.75" header="0.3" footer="0.3"/>
  <pageSetup scale="4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26C0F-56B6-4368-9DBB-20D95DDEFD34}">
  <sheetPr>
    <tabColor rgb="FF66FF33"/>
    <pageSetUpPr fitToPage="1"/>
  </sheetPr>
  <dimension ref="A1:AK69"/>
  <sheetViews>
    <sheetView topLeftCell="Y37" workbookViewId="0">
      <selection activeCell="G32" sqref="G32"/>
    </sheetView>
  </sheetViews>
  <sheetFormatPr defaultColWidth="8.6640625" defaultRowHeight="13.2" x14ac:dyDescent="0.25"/>
  <cols>
    <col min="1" max="1" width="11.44140625" style="64" hidden="1" customWidth="1"/>
    <col min="2" max="2" width="7.109375" style="64" bestFit="1" customWidth="1"/>
    <col min="3" max="3" width="44.44140625" style="64" bestFit="1" customWidth="1"/>
    <col min="4" max="4" width="11.44140625" style="64" hidden="1" customWidth="1"/>
    <col min="5" max="5" width="8.6640625" style="64" hidden="1" customWidth="1"/>
    <col min="6" max="6" width="18.88671875" style="64" hidden="1" customWidth="1"/>
    <col min="7" max="7" width="9.109375" style="64" hidden="1" customWidth="1"/>
    <col min="8" max="8" width="27.109375" style="64" hidden="1" customWidth="1"/>
    <col min="9" max="9" width="48.88671875" style="64" hidden="1" customWidth="1"/>
    <col min="10" max="10" width="11.88671875" style="64" hidden="1" customWidth="1"/>
    <col min="11" max="11" width="34" style="64" hidden="1" customWidth="1"/>
    <col min="12" max="12" width="7.109375" style="64" hidden="1" customWidth="1"/>
    <col min="13" max="13" width="48.44140625" style="64" hidden="1" customWidth="1"/>
    <col min="14" max="14" width="8.6640625" style="64"/>
    <col min="15" max="17" width="11.44140625" style="64" customWidth="1"/>
    <col min="18" max="18" width="14" style="64" bestFit="1" customWidth="1"/>
    <col min="19" max="19" width="19.88671875" style="64" bestFit="1" customWidth="1"/>
    <col min="20" max="30" width="12.88671875" style="64" bestFit="1" customWidth="1"/>
    <col min="31" max="31" width="15" style="64" bestFit="1" customWidth="1"/>
    <col min="32" max="32" width="12.88671875" style="64" bestFit="1" customWidth="1"/>
    <col min="33" max="33" width="6.6640625" style="64" customWidth="1"/>
    <col min="34" max="34" width="14.33203125" style="64" bestFit="1" customWidth="1"/>
    <col min="35" max="36" width="12.5546875" style="64" bestFit="1" customWidth="1"/>
    <col min="37" max="37" width="10.5546875" style="64" hidden="1" customWidth="1"/>
    <col min="38" max="16384" width="8.6640625" style="64"/>
  </cols>
  <sheetData>
    <row r="1" spans="1:37" ht="14.4" x14ac:dyDescent="0.3">
      <c r="Q1" s="40"/>
      <c r="R1" s="4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J1" s="35" t="s">
        <v>141</v>
      </c>
    </row>
    <row r="2" spans="1:37" ht="13.8" x14ac:dyDescent="0.3">
      <c r="Q2" s="40"/>
      <c r="R2" s="40"/>
      <c r="AJ2" s="37" t="s">
        <v>370</v>
      </c>
    </row>
    <row r="4" spans="1:37" s="50" customFormat="1" ht="81" x14ac:dyDescent="0.45">
      <c r="A4" s="50" t="s">
        <v>166</v>
      </c>
      <c r="B4" s="50" t="s">
        <v>168</v>
      </c>
      <c r="C4" s="50" t="s">
        <v>31</v>
      </c>
      <c r="D4" s="50" t="s">
        <v>169</v>
      </c>
      <c r="E4" s="50" t="s">
        <v>170</v>
      </c>
      <c r="F4" s="50" t="s">
        <v>171</v>
      </c>
      <c r="G4" s="50" t="s">
        <v>172</v>
      </c>
      <c r="H4" s="50" t="s">
        <v>173</v>
      </c>
      <c r="I4" s="50" t="s">
        <v>174</v>
      </c>
      <c r="J4" s="50" t="s">
        <v>175</v>
      </c>
      <c r="K4" s="50" t="s">
        <v>176</v>
      </c>
      <c r="L4" s="50" t="s">
        <v>168</v>
      </c>
      <c r="M4" s="50" t="s">
        <v>177</v>
      </c>
      <c r="O4" s="50">
        <v>2021</v>
      </c>
      <c r="P4" s="50">
        <v>2022</v>
      </c>
      <c r="Q4" s="40"/>
      <c r="R4" s="50" t="s">
        <v>190</v>
      </c>
      <c r="S4" s="50" t="s">
        <v>371</v>
      </c>
      <c r="T4" s="50" t="s">
        <v>372</v>
      </c>
      <c r="U4" s="50" t="s">
        <v>373</v>
      </c>
      <c r="V4" s="50" t="s">
        <v>374</v>
      </c>
      <c r="W4" s="50" t="s">
        <v>375</v>
      </c>
      <c r="X4" s="50" t="s">
        <v>376</v>
      </c>
      <c r="Y4" s="50" t="s">
        <v>377</v>
      </c>
      <c r="Z4" s="50" t="s">
        <v>378</v>
      </c>
      <c r="AA4" s="50" t="s">
        <v>379</v>
      </c>
      <c r="AB4" s="50" t="s">
        <v>380</v>
      </c>
      <c r="AC4" s="50" t="s">
        <v>381</v>
      </c>
      <c r="AD4" s="50" t="s">
        <v>382</v>
      </c>
      <c r="AE4" s="50" t="s">
        <v>383</v>
      </c>
      <c r="AF4" s="50" t="s">
        <v>192</v>
      </c>
      <c r="AH4" s="50" t="s">
        <v>193</v>
      </c>
      <c r="AI4" s="50" t="s">
        <v>194</v>
      </c>
      <c r="AJ4" s="50" t="s">
        <v>195</v>
      </c>
      <c r="AK4" s="51" t="s">
        <v>196</v>
      </c>
    </row>
    <row r="5" spans="1:37" ht="14.4" x14ac:dyDescent="0.3">
      <c r="A5" s="64">
        <v>21435</v>
      </c>
      <c r="B5" s="52" t="s">
        <v>198</v>
      </c>
      <c r="C5" s="64" t="s">
        <v>197</v>
      </c>
      <c r="D5" s="64">
        <v>41800</v>
      </c>
      <c r="E5" s="64" t="s">
        <v>199</v>
      </c>
      <c r="F5" s="64" t="s">
        <v>197</v>
      </c>
      <c r="G5" s="64">
        <v>3950</v>
      </c>
      <c r="H5" s="64" t="s">
        <v>200</v>
      </c>
      <c r="I5" s="64" t="s">
        <v>197</v>
      </c>
      <c r="J5" s="64">
        <v>10000</v>
      </c>
      <c r="K5" s="64" t="s">
        <v>201</v>
      </c>
      <c r="L5" s="64">
        <v>3950</v>
      </c>
      <c r="M5" s="64" t="s">
        <v>197</v>
      </c>
      <c r="O5" s="53">
        <f>'[37]Revised 2021-2025 Summary'!R5</f>
        <v>0</v>
      </c>
      <c r="P5" s="53">
        <f>'[37]Revised 2021-2025 Summary'!S5</f>
        <v>0</v>
      </c>
      <c r="Q5" s="40"/>
      <c r="R5" s="65">
        <f>'[36]2021 capex &amp; dep'!AE5</f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f t="shared" ref="AF5:AF43" si="0">AE5-P5</f>
        <v>0</v>
      </c>
      <c r="AG5" s="53"/>
      <c r="AH5" s="53">
        <f>'[37]Revised 2021-2025 Summary'!T5</f>
        <v>10000</v>
      </c>
      <c r="AI5" s="53">
        <f>'[37]Revised 2021-2025 Summary'!U5</f>
        <v>10000</v>
      </c>
      <c r="AJ5" s="53">
        <f>'[37]Revised 2021-2025 Summary'!V5</f>
        <v>10000</v>
      </c>
      <c r="AK5" s="49">
        <f>'[37]dea update '!AL5</f>
        <v>0</v>
      </c>
    </row>
    <row r="6" spans="1:37" s="49" customFormat="1" ht="14.4" x14ac:dyDescent="0.3">
      <c r="A6" s="64">
        <v>2078474</v>
      </c>
      <c r="B6" s="52" t="s">
        <v>203</v>
      </c>
      <c r="C6" s="64" t="s">
        <v>204</v>
      </c>
      <c r="D6" s="64">
        <v>0</v>
      </c>
      <c r="E6" s="64" t="s">
        <v>205</v>
      </c>
      <c r="F6" s="64" t="s">
        <v>204</v>
      </c>
      <c r="G6" s="64">
        <v>3993</v>
      </c>
      <c r="H6" s="64" t="s">
        <v>206</v>
      </c>
      <c r="I6" s="64" t="s">
        <v>204</v>
      </c>
      <c r="J6" s="64">
        <v>588000</v>
      </c>
      <c r="K6" s="64" t="s">
        <v>204</v>
      </c>
      <c r="L6" s="64">
        <v>3993</v>
      </c>
      <c r="M6" s="64" t="s">
        <v>207</v>
      </c>
      <c r="N6" s="64"/>
      <c r="O6" s="53">
        <f>'[37]Revised 2021-2025 Summary'!R6</f>
        <v>1715950</v>
      </c>
      <c r="P6" s="53">
        <f>'[37]Revised 2021-2025 Summary'!S6</f>
        <v>1343704</v>
      </c>
      <c r="Q6" s="40"/>
      <c r="R6" s="65">
        <f>'[36]2021 capex &amp; dep'!AE6</f>
        <v>142995.83333333334</v>
      </c>
      <c r="S6" s="53">
        <v>40000</v>
      </c>
      <c r="T6" s="53">
        <v>40000</v>
      </c>
      <c r="U6" s="53">
        <v>130000</v>
      </c>
      <c r="V6" s="53">
        <v>230000</v>
      </c>
      <c r="W6" s="53">
        <v>230000</v>
      </c>
      <c r="X6" s="53">
        <v>130000</v>
      </c>
      <c r="Y6" s="53">
        <v>40000</v>
      </c>
      <c r="Z6" s="53">
        <v>70000</v>
      </c>
      <c r="AA6" s="53">
        <v>40000</v>
      </c>
      <c r="AB6" s="53">
        <v>130000</v>
      </c>
      <c r="AC6" s="53">
        <v>130000</v>
      </c>
      <c r="AD6" s="53">
        <v>133704</v>
      </c>
      <c r="AE6" s="53">
        <f>SUM(S6:AD6)</f>
        <v>1343704</v>
      </c>
      <c r="AF6" s="53">
        <f t="shared" si="0"/>
        <v>0</v>
      </c>
      <c r="AG6" s="53"/>
      <c r="AH6" s="53">
        <f>'[37]Revised 2021-2025 Summary'!T6</f>
        <v>522400</v>
      </c>
      <c r="AI6" s="53">
        <f>'[37]Revised 2021-2025 Summary'!U6</f>
        <v>522500</v>
      </c>
      <c r="AJ6" s="53">
        <f>'[37]Revised 2021-2025 Summary'!V6</f>
        <v>397600</v>
      </c>
      <c r="AK6" s="49">
        <f>'[37]dea update '!AL6</f>
        <v>0</v>
      </c>
    </row>
    <row r="7" spans="1:37" ht="14.4" x14ac:dyDescent="0.3">
      <c r="A7" s="64">
        <v>23143</v>
      </c>
      <c r="B7" s="52" t="s">
        <v>209</v>
      </c>
      <c r="C7" s="64" t="s">
        <v>210</v>
      </c>
      <c r="D7" s="64">
        <v>548400</v>
      </c>
      <c r="E7" s="64" t="s">
        <v>205</v>
      </c>
      <c r="F7" s="64" t="s">
        <v>208</v>
      </c>
      <c r="G7" s="64">
        <v>3900</v>
      </c>
      <c r="H7" s="64" t="s">
        <v>211</v>
      </c>
      <c r="I7" s="64" t="s">
        <v>210</v>
      </c>
      <c r="J7" s="64">
        <v>400000</v>
      </c>
      <c r="K7" s="64" t="s">
        <v>212</v>
      </c>
      <c r="L7" s="64">
        <v>3900</v>
      </c>
      <c r="M7" s="64" t="s">
        <v>213</v>
      </c>
      <c r="O7" s="53">
        <f>'[37]Revised 2021-2025 Summary'!R7</f>
        <v>520000</v>
      </c>
      <c r="P7" s="53">
        <f>'[37]Revised 2021-2025 Summary'!S7</f>
        <v>410000</v>
      </c>
      <c r="Q7" s="40"/>
      <c r="R7" s="65">
        <f>'[36]2021 capex &amp; dep'!AE7</f>
        <v>130000</v>
      </c>
      <c r="S7" s="53">
        <v>5000</v>
      </c>
      <c r="T7" s="53">
        <v>5000</v>
      </c>
      <c r="U7" s="53">
        <v>25000</v>
      </c>
      <c r="V7" s="53">
        <v>6000</v>
      </c>
      <c r="W7" s="53">
        <v>22000</v>
      </c>
      <c r="X7" s="53">
        <v>50000</v>
      </c>
      <c r="Y7" s="53">
        <f>107000-14000</f>
        <v>93000</v>
      </c>
      <c r="Z7" s="53">
        <v>38000</v>
      </c>
      <c r="AA7" s="53">
        <v>58000</v>
      </c>
      <c r="AB7" s="53">
        <v>60000</v>
      </c>
      <c r="AC7" s="53">
        <v>45000</v>
      </c>
      <c r="AD7" s="53">
        <v>3000</v>
      </c>
      <c r="AE7" s="53">
        <f t="shared" ref="AE7:AE45" si="1">SUM(S7:AD7)</f>
        <v>410000</v>
      </c>
      <c r="AF7" s="53">
        <f t="shared" si="0"/>
        <v>0</v>
      </c>
      <c r="AG7" s="53"/>
      <c r="AH7" s="53">
        <f>'[37]Revised 2021-2025 Summary'!T7</f>
        <v>400000</v>
      </c>
      <c r="AI7" s="53">
        <f>'[37]Revised 2021-2025 Summary'!U7</f>
        <v>430000</v>
      </c>
      <c r="AJ7" s="53">
        <f>'[37]Revised 2021-2025 Summary'!V7</f>
        <v>410000</v>
      </c>
      <c r="AK7" s="49">
        <f>'[37]dea update '!AL7</f>
        <v>420000</v>
      </c>
    </row>
    <row r="8" spans="1:37" ht="14.4" x14ac:dyDescent="0.3">
      <c r="A8" s="64">
        <v>0</v>
      </c>
      <c r="B8" s="52" t="s">
        <v>215</v>
      </c>
      <c r="C8" s="64" t="s">
        <v>216</v>
      </c>
      <c r="D8" s="64">
        <f>39600</f>
        <v>39600</v>
      </c>
      <c r="E8" s="64" t="s">
        <v>205</v>
      </c>
      <c r="F8" s="64" t="s">
        <v>214</v>
      </c>
      <c r="G8" s="64">
        <v>3910</v>
      </c>
      <c r="H8" s="64" t="s">
        <v>211</v>
      </c>
      <c r="I8" s="64" t="s">
        <v>216</v>
      </c>
      <c r="J8" s="64">
        <v>40000</v>
      </c>
      <c r="K8" s="64" t="s">
        <v>217</v>
      </c>
      <c r="L8" s="64">
        <v>3910</v>
      </c>
      <c r="M8" s="64" t="s">
        <v>218</v>
      </c>
      <c r="O8" s="53">
        <f>'[37]Revised 2021-2025 Summary'!R8</f>
        <v>75000</v>
      </c>
      <c r="P8" s="53">
        <f>'[37]Revised 2021-2025 Summary'!S8</f>
        <v>75200</v>
      </c>
      <c r="Q8" s="40"/>
      <c r="R8" s="65">
        <f>'[36]2021 capex &amp; dep'!AE8</f>
        <v>6250</v>
      </c>
      <c r="S8" s="53">
        <v>6266</v>
      </c>
      <c r="T8" s="53">
        <v>6266</v>
      </c>
      <c r="U8" s="53">
        <v>6266</v>
      </c>
      <c r="V8" s="53">
        <v>6266</v>
      </c>
      <c r="W8" s="53">
        <v>6266</v>
      </c>
      <c r="X8" s="53">
        <v>6266</v>
      </c>
      <c r="Y8" s="53">
        <v>6266</v>
      </c>
      <c r="Z8" s="53">
        <v>6266</v>
      </c>
      <c r="AA8" s="53">
        <v>6266</v>
      </c>
      <c r="AB8" s="53">
        <v>6266</v>
      </c>
      <c r="AC8" s="53">
        <v>6266</v>
      </c>
      <c r="AD8" s="53">
        <v>6274</v>
      </c>
      <c r="AE8" s="53">
        <f t="shared" si="1"/>
        <v>75200</v>
      </c>
      <c r="AF8" s="53">
        <f t="shared" si="0"/>
        <v>0</v>
      </c>
      <c r="AG8" s="53"/>
      <c r="AH8" s="53">
        <f>'[37]Revised 2021-2025 Summary'!T8</f>
        <v>75600</v>
      </c>
      <c r="AI8" s="53">
        <f>'[37]Revised 2021-2025 Summary'!U8</f>
        <v>76000</v>
      </c>
      <c r="AJ8" s="53">
        <f>'[37]Revised 2021-2025 Summary'!V8</f>
        <v>78200</v>
      </c>
      <c r="AK8" s="49">
        <f>'[37]dea update '!AL8</f>
        <v>79000</v>
      </c>
    </row>
    <row r="9" spans="1:37" s="49" customFormat="1" ht="14.4" x14ac:dyDescent="0.3">
      <c r="A9" s="64">
        <v>100937</v>
      </c>
      <c r="B9" s="52" t="s">
        <v>219</v>
      </c>
      <c r="C9" s="64" t="s">
        <v>202</v>
      </c>
      <c r="D9" s="64"/>
      <c r="E9" s="64" t="s">
        <v>205</v>
      </c>
      <c r="F9" s="64" t="s">
        <v>202</v>
      </c>
      <c r="G9" s="64">
        <v>3912</v>
      </c>
      <c r="H9" s="64" t="s">
        <v>206</v>
      </c>
      <c r="I9" s="64" t="s">
        <v>202</v>
      </c>
      <c r="J9" s="64"/>
      <c r="K9" s="64" t="s">
        <v>202</v>
      </c>
      <c r="L9" s="64">
        <v>3912</v>
      </c>
      <c r="M9" s="64"/>
      <c r="N9" s="64"/>
      <c r="O9" s="53">
        <f>'[37]Revised 2021-2025 Summary'!R9</f>
        <v>501050</v>
      </c>
      <c r="P9" s="53">
        <f>'[37]Revised 2021-2025 Summary'!S9</f>
        <v>1594000</v>
      </c>
      <c r="Q9" s="40"/>
      <c r="R9" s="65">
        <f>'[36]2021 capex &amp; dep'!AE9</f>
        <v>41754.166666666664</v>
      </c>
      <c r="S9" s="53">
        <v>75000</v>
      </c>
      <c r="T9" s="53">
        <v>75000</v>
      </c>
      <c r="U9" s="53">
        <v>170000</v>
      </c>
      <c r="V9" s="53">
        <v>340000</v>
      </c>
      <c r="W9" s="53">
        <v>340000</v>
      </c>
      <c r="X9" s="53">
        <v>220000</v>
      </c>
      <c r="Y9" s="53">
        <v>162000</v>
      </c>
      <c r="Z9" s="53">
        <v>162000</v>
      </c>
      <c r="AA9" s="53">
        <v>50000</v>
      </c>
      <c r="AB9" s="53">
        <v>0</v>
      </c>
      <c r="AC9" s="53">
        <v>0</v>
      </c>
      <c r="AD9" s="53">
        <v>0</v>
      </c>
      <c r="AE9" s="53">
        <f t="shared" si="1"/>
        <v>1594000</v>
      </c>
      <c r="AF9" s="53">
        <f t="shared" si="0"/>
        <v>0</v>
      </c>
      <c r="AG9" s="53"/>
      <c r="AH9" s="53">
        <f>'[37]Revised 2021-2025 Summary'!T9</f>
        <v>150000</v>
      </c>
      <c r="AI9" s="53">
        <f>'[37]Revised 2021-2025 Summary'!U9</f>
        <v>150000</v>
      </c>
      <c r="AJ9" s="53">
        <f>'[37]Revised 2021-2025 Summary'!V9</f>
        <v>150000</v>
      </c>
      <c r="AK9" s="49">
        <f>'[37]dea update '!AL9</f>
        <v>0</v>
      </c>
    </row>
    <row r="10" spans="1:37" s="49" customFormat="1" ht="14.4" x14ac:dyDescent="0.3">
      <c r="A10" s="64">
        <v>346599</v>
      </c>
      <c r="B10" s="52" t="s">
        <v>221</v>
      </c>
      <c r="C10" s="64" t="s">
        <v>222</v>
      </c>
      <c r="D10" s="64">
        <v>552000</v>
      </c>
      <c r="E10" s="64" t="s">
        <v>205</v>
      </c>
      <c r="F10" s="64" t="s">
        <v>220</v>
      </c>
      <c r="G10" s="64">
        <v>3920</v>
      </c>
      <c r="H10" s="64" t="s">
        <v>211</v>
      </c>
      <c r="I10" s="64" t="s">
        <v>222</v>
      </c>
      <c r="J10" s="64">
        <v>650000</v>
      </c>
      <c r="K10" s="64" t="s">
        <v>223</v>
      </c>
      <c r="L10" s="64">
        <v>3920</v>
      </c>
      <c r="M10" s="64" t="s">
        <v>224</v>
      </c>
      <c r="N10" s="64"/>
      <c r="O10" s="53">
        <f>'[37]Revised 2021-2025 Summary'!R10</f>
        <v>650000</v>
      </c>
      <c r="P10" s="53">
        <f>'[37]Revised 2021-2025 Summary'!S10</f>
        <v>650000</v>
      </c>
      <c r="Q10" s="40"/>
      <c r="R10" s="65">
        <f>'[36]2021 capex &amp; dep'!AE10</f>
        <v>162500</v>
      </c>
      <c r="S10" s="53">
        <v>79700</v>
      </c>
      <c r="T10" s="53">
        <v>88200</v>
      </c>
      <c r="U10" s="53">
        <v>27500</v>
      </c>
      <c r="V10" s="53">
        <v>0</v>
      </c>
      <c r="W10" s="53">
        <v>79900</v>
      </c>
      <c r="X10" s="53">
        <v>117000</v>
      </c>
      <c r="Y10" s="53">
        <v>6500</v>
      </c>
      <c r="Z10" s="53">
        <v>13400</v>
      </c>
      <c r="AA10" s="53">
        <v>0</v>
      </c>
      <c r="AB10" s="53">
        <v>20900</v>
      </c>
      <c r="AC10" s="53">
        <v>126800</v>
      </c>
      <c r="AD10" s="53">
        <v>90100</v>
      </c>
      <c r="AE10" s="53">
        <f t="shared" si="1"/>
        <v>650000</v>
      </c>
      <c r="AF10" s="53">
        <f t="shared" si="0"/>
        <v>0</v>
      </c>
      <c r="AG10" s="53"/>
      <c r="AH10" s="53">
        <f>'[37]Revised 2021-2025 Summary'!T10</f>
        <v>618000</v>
      </c>
      <c r="AI10" s="53">
        <f>'[37]Revised 2021-2025 Summary'!U10</f>
        <v>695000</v>
      </c>
      <c r="AJ10" s="53">
        <f>'[37]Revised 2021-2025 Summary'!V10</f>
        <v>636000</v>
      </c>
      <c r="AK10" s="49">
        <f>'[37]dea update '!AL10</f>
        <v>660000</v>
      </c>
    </row>
    <row r="11" spans="1:37" ht="14.4" x14ac:dyDescent="0.3">
      <c r="A11" s="49">
        <v>0</v>
      </c>
      <c r="B11" s="52" t="s">
        <v>226</v>
      </c>
      <c r="C11" s="49" t="s">
        <v>227</v>
      </c>
      <c r="D11" s="49">
        <v>6000</v>
      </c>
      <c r="E11" s="49" t="s">
        <v>205</v>
      </c>
      <c r="F11" s="49" t="s">
        <v>225</v>
      </c>
      <c r="G11" s="49">
        <v>3970</v>
      </c>
      <c r="H11" s="49" t="s">
        <v>211</v>
      </c>
      <c r="I11" s="49" t="s">
        <v>227</v>
      </c>
      <c r="J11" s="49">
        <v>6000</v>
      </c>
      <c r="K11" s="49" t="s">
        <v>228</v>
      </c>
      <c r="L11" s="49">
        <v>3970</v>
      </c>
      <c r="M11" s="49" t="s">
        <v>218</v>
      </c>
      <c r="N11" s="49"/>
      <c r="O11" s="53">
        <f>'[37]Revised 2021-2025 Summary'!R11</f>
        <v>0</v>
      </c>
      <c r="P11" s="53">
        <f>'[37]Revised 2021-2025 Summary'!S11</f>
        <v>0</v>
      </c>
      <c r="Q11" s="40"/>
      <c r="R11" s="40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>
        <f t="shared" si="1"/>
        <v>0</v>
      </c>
      <c r="AF11" s="53">
        <f t="shared" si="0"/>
        <v>0</v>
      </c>
      <c r="AG11" s="53"/>
      <c r="AH11" s="53">
        <f>'[37]Revised 2021-2025 Summary'!T11</f>
        <v>0</v>
      </c>
      <c r="AI11" s="53">
        <f>'[37]Revised 2021-2025 Summary'!U11</f>
        <v>0</v>
      </c>
      <c r="AJ11" s="53">
        <f>'[37]Revised 2021-2025 Summary'!V11</f>
        <v>0</v>
      </c>
      <c r="AK11" s="49">
        <f>'[37]dea update '!AL11</f>
        <v>0</v>
      </c>
    </row>
    <row r="12" spans="1:37" ht="14.4" x14ac:dyDescent="0.3">
      <c r="A12" s="49">
        <v>0</v>
      </c>
      <c r="B12" s="52" t="s">
        <v>230</v>
      </c>
      <c r="C12" s="49" t="s">
        <v>231</v>
      </c>
      <c r="D12" s="49">
        <v>4800</v>
      </c>
      <c r="E12" s="49" t="s">
        <v>205</v>
      </c>
      <c r="F12" s="49" t="s">
        <v>229</v>
      </c>
      <c r="G12" s="49">
        <v>3980</v>
      </c>
      <c r="H12" s="49" t="s">
        <v>211</v>
      </c>
      <c r="I12" s="49" t="s">
        <v>231</v>
      </c>
      <c r="J12" s="49">
        <v>5000</v>
      </c>
      <c r="K12" s="49" t="s">
        <v>232</v>
      </c>
      <c r="L12" s="49">
        <v>3980</v>
      </c>
      <c r="M12" s="49" t="s">
        <v>218</v>
      </c>
      <c r="N12" s="49"/>
      <c r="O12" s="53">
        <f>'[37]Revised 2021-2025 Summary'!R12</f>
        <v>0</v>
      </c>
      <c r="P12" s="53">
        <f>'[37]Revised 2021-2025 Summary'!S12</f>
        <v>0</v>
      </c>
      <c r="Q12" s="40"/>
      <c r="R12" s="40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>
        <f t="shared" si="1"/>
        <v>0</v>
      </c>
      <c r="AF12" s="53">
        <f t="shared" si="0"/>
        <v>0</v>
      </c>
      <c r="AG12" s="53"/>
      <c r="AH12" s="53">
        <f>'[37]Revised 2021-2025 Summary'!T12</f>
        <v>0</v>
      </c>
      <c r="AI12" s="53">
        <f>'[37]Revised 2021-2025 Summary'!U12</f>
        <v>0</v>
      </c>
      <c r="AJ12" s="53">
        <f>'[37]Revised 2021-2025 Summary'!V12</f>
        <v>0</v>
      </c>
      <c r="AK12" s="49">
        <f>'[37]dea update '!AL12</f>
        <v>0</v>
      </c>
    </row>
    <row r="13" spans="1:37" s="49" customFormat="1" ht="14.4" x14ac:dyDescent="0.3">
      <c r="A13" s="49">
        <v>0</v>
      </c>
      <c r="B13" s="52" t="s">
        <v>234</v>
      </c>
      <c r="C13" s="49" t="s">
        <v>235</v>
      </c>
      <c r="D13" s="49">
        <v>24000</v>
      </c>
      <c r="E13" s="49" t="s">
        <v>205</v>
      </c>
      <c r="F13" s="49" t="s">
        <v>233</v>
      </c>
      <c r="G13" s="49">
        <v>3991</v>
      </c>
      <c r="H13" s="49" t="s">
        <v>211</v>
      </c>
      <c r="I13" s="49" t="s">
        <v>235</v>
      </c>
      <c r="J13" s="49">
        <v>24000</v>
      </c>
      <c r="K13" s="49" t="s">
        <v>236</v>
      </c>
      <c r="L13" s="49">
        <v>3991</v>
      </c>
      <c r="M13" s="49" t="s">
        <v>218</v>
      </c>
      <c r="O13" s="53">
        <f>'[37]Revised 2021-2025 Summary'!R13</f>
        <v>0</v>
      </c>
      <c r="P13" s="53">
        <f>'[37]Revised 2021-2025 Summary'!S13</f>
        <v>0</v>
      </c>
      <c r="Q13" s="40"/>
      <c r="R13" s="40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>
        <f t="shared" si="1"/>
        <v>0</v>
      </c>
      <c r="AF13" s="53">
        <f t="shared" si="0"/>
        <v>0</v>
      </c>
      <c r="AG13" s="53"/>
      <c r="AH13" s="53">
        <f>'[37]Revised 2021-2025 Summary'!T13</f>
        <v>0</v>
      </c>
      <c r="AI13" s="53">
        <f>'[37]Revised 2021-2025 Summary'!U13</f>
        <v>0</v>
      </c>
      <c r="AJ13" s="53">
        <f>'[37]Revised 2021-2025 Summary'!V13</f>
        <v>0</v>
      </c>
      <c r="AK13" s="49">
        <f>'[37]dea update '!AL13</f>
        <v>0</v>
      </c>
    </row>
    <row r="14" spans="1:37" s="49" customFormat="1" ht="14.4" x14ac:dyDescent="0.3">
      <c r="A14" s="49">
        <v>0</v>
      </c>
      <c r="B14" s="52" t="s">
        <v>238</v>
      </c>
      <c r="C14" s="49" t="s">
        <v>237</v>
      </c>
      <c r="D14" s="49">
        <v>863200</v>
      </c>
      <c r="E14" s="49" t="s">
        <v>205</v>
      </c>
      <c r="F14" s="49" t="s">
        <v>237</v>
      </c>
      <c r="G14" s="49">
        <v>3992</v>
      </c>
      <c r="H14" s="49" t="s">
        <v>206</v>
      </c>
      <c r="I14" s="49" t="s">
        <v>237</v>
      </c>
      <c r="J14" s="49">
        <v>44300</v>
      </c>
      <c r="K14" s="49" t="s">
        <v>239</v>
      </c>
      <c r="L14" s="49">
        <v>3992</v>
      </c>
      <c r="M14" s="49" t="s">
        <v>207</v>
      </c>
      <c r="O14" s="53">
        <f>'[37]Revised 2021-2025 Summary'!R14</f>
        <v>0</v>
      </c>
      <c r="P14" s="53">
        <f>'[37]Revised 2021-2025 Summary'!S14</f>
        <v>0</v>
      </c>
      <c r="Q14" s="40"/>
      <c r="R14" s="40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>
        <f t="shared" si="1"/>
        <v>0</v>
      </c>
      <c r="AF14" s="53">
        <f t="shared" si="0"/>
        <v>0</v>
      </c>
      <c r="AG14" s="53"/>
      <c r="AH14" s="53">
        <f>'[37]Revised 2021-2025 Summary'!T14</f>
        <v>0</v>
      </c>
      <c r="AI14" s="53">
        <f>'[37]Revised 2021-2025 Summary'!U14</f>
        <v>0</v>
      </c>
      <c r="AJ14" s="53">
        <f>'[37]Revised 2021-2025 Summary'!V14</f>
        <v>0</v>
      </c>
      <c r="AK14" s="49">
        <f>'[37]dea update '!AL14</f>
        <v>0</v>
      </c>
    </row>
    <row r="15" spans="1:37" s="49" customFormat="1" ht="14.4" x14ac:dyDescent="0.3">
      <c r="A15" s="49">
        <v>0</v>
      </c>
      <c r="B15" s="52" t="s">
        <v>240</v>
      </c>
      <c r="C15" s="49" t="s">
        <v>202</v>
      </c>
      <c r="D15" s="49">
        <v>228300</v>
      </c>
      <c r="E15" s="49" t="s">
        <v>205</v>
      </c>
      <c r="F15" s="49" t="s">
        <v>202</v>
      </c>
      <c r="H15" s="49" t="s">
        <v>206</v>
      </c>
      <c r="I15" s="49" t="s">
        <v>202</v>
      </c>
      <c r="J15" s="49">
        <v>182300</v>
      </c>
      <c r="K15" s="49" t="s">
        <v>202</v>
      </c>
      <c r="O15" s="53">
        <f>'[37]Revised 2021-2025 Summary'!R15</f>
        <v>0</v>
      </c>
      <c r="P15" s="53">
        <f>'[37]Revised 2021-2025 Summary'!S15</f>
        <v>0</v>
      </c>
      <c r="Q15" s="40"/>
      <c r="R15" s="40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>
        <f t="shared" si="1"/>
        <v>0</v>
      </c>
      <c r="AF15" s="53">
        <f t="shared" si="0"/>
        <v>0</v>
      </c>
      <c r="AG15" s="53"/>
      <c r="AH15" s="53">
        <f>'[37]Revised 2021-2025 Summary'!T15</f>
        <v>0</v>
      </c>
      <c r="AI15" s="53">
        <f>'[37]Revised 2021-2025 Summary'!U15</f>
        <v>0</v>
      </c>
      <c r="AJ15" s="53">
        <f>'[37]Revised 2021-2025 Summary'!V15</f>
        <v>0</v>
      </c>
      <c r="AK15" s="49">
        <f>'[37]dea update '!AL15</f>
        <v>0</v>
      </c>
    </row>
    <row r="16" spans="1:37" ht="14.4" x14ac:dyDescent="0.3">
      <c r="A16" s="64">
        <v>370278</v>
      </c>
      <c r="B16" s="52" t="s">
        <v>242</v>
      </c>
      <c r="C16" s="64" t="s">
        <v>241</v>
      </c>
      <c r="D16" s="64">
        <v>730900</v>
      </c>
      <c r="E16" s="64" t="s">
        <v>205</v>
      </c>
      <c r="F16" s="64" t="s">
        <v>241</v>
      </c>
      <c r="G16" s="64">
        <v>3999</v>
      </c>
      <c r="H16" s="64" t="s">
        <v>243</v>
      </c>
      <c r="I16" s="64" t="s">
        <v>241</v>
      </c>
      <c r="J16" s="64">
        <v>735600</v>
      </c>
      <c r="K16" s="64" t="s">
        <v>244</v>
      </c>
      <c r="L16" s="64">
        <v>3999</v>
      </c>
      <c r="M16" s="64" t="s">
        <v>241</v>
      </c>
      <c r="O16" s="53">
        <f>'[37]Revised 2021-2025 Summary'!R16</f>
        <v>0</v>
      </c>
      <c r="P16" s="53">
        <f>'[37]Revised 2021-2025 Summary'!S16</f>
        <v>0</v>
      </c>
      <c r="Q16" s="40"/>
      <c r="R16" s="40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>
        <f t="shared" si="1"/>
        <v>0</v>
      </c>
      <c r="AF16" s="53">
        <f t="shared" si="0"/>
        <v>0</v>
      </c>
      <c r="AG16" s="53"/>
      <c r="AH16" s="53">
        <f>'[37]Revised 2021-2025 Summary'!T16</f>
        <v>769500</v>
      </c>
      <c r="AI16" s="53">
        <f>'[37]Revised 2021-2025 Summary'!U16</f>
        <v>804900</v>
      </c>
      <c r="AJ16" s="53">
        <f>'[37]Revised 2021-2025 Summary'!V16</f>
        <v>833100</v>
      </c>
      <c r="AK16" s="49">
        <f>'[37]dea update '!AL16</f>
        <v>0</v>
      </c>
    </row>
    <row r="17" spans="1:37" ht="14.4" x14ac:dyDescent="0.3">
      <c r="A17" s="64">
        <v>0</v>
      </c>
      <c r="B17" s="52" t="s">
        <v>246</v>
      </c>
      <c r="C17" s="64" t="s">
        <v>245</v>
      </c>
      <c r="D17" s="64">
        <v>24000</v>
      </c>
      <c r="E17" s="64" t="s">
        <v>247</v>
      </c>
      <c r="F17" s="64" t="s">
        <v>245</v>
      </c>
      <c r="G17" s="64">
        <v>3310</v>
      </c>
      <c r="H17" s="64" t="s">
        <v>248</v>
      </c>
      <c r="I17" s="64" t="s">
        <v>245</v>
      </c>
      <c r="J17" s="64">
        <v>24000</v>
      </c>
      <c r="K17" s="64" t="s">
        <v>249</v>
      </c>
      <c r="L17" s="64">
        <v>3310</v>
      </c>
      <c r="M17" s="64" t="s">
        <v>250</v>
      </c>
      <c r="O17" s="53">
        <f>'[37]Revised 2021-2025 Summary'!R17</f>
        <v>24000</v>
      </c>
      <c r="P17" s="53">
        <f>'[37]Revised 2021-2025 Summary'!S17</f>
        <v>0</v>
      </c>
      <c r="Q17" s="40"/>
      <c r="R17" s="65">
        <f>'[36]2021 capex &amp; dep'!AE17</f>
        <v>6000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f t="shared" si="1"/>
        <v>0</v>
      </c>
      <c r="AF17" s="53">
        <f t="shared" si="0"/>
        <v>0</v>
      </c>
      <c r="AG17" s="53"/>
      <c r="AH17" s="53">
        <f>'[37]Revised 2021-2025 Summary'!T17</f>
        <v>50000</v>
      </c>
      <c r="AI17" s="53">
        <f>'[37]Revised 2021-2025 Summary'!U17</f>
        <v>50000</v>
      </c>
      <c r="AJ17" s="53">
        <f>'[37]Revised 2021-2025 Summary'!V17</f>
        <v>50000</v>
      </c>
      <c r="AK17" s="49">
        <f>'[37]dea update '!AL17</f>
        <v>0</v>
      </c>
    </row>
    <row r="18" spans="1:37" ht="14.4" x14ac:dyDescent="0.3">
      <c r="A18" s="64">
        <v>3971</v>
      </c>
      <c r="B18" s="52" t="s">
        <v>252</v>
      </c>
      <c r="C18" s="64" t="s">
        <v>251</v>
      </c>
      <c r="D18" s="64">
        <v>65800</v>
      </c>
      <c r="E18" s="64" t="s">
        <v>247</v>
      </c>
      <c r="F18" s="64" t="s">
        <v>251</v>
      </c>
      <c r="G18" s="64">
        <v>3320</v>
      </c>
      <c r="H18" s="64" t="s">
        <v>248</v>
      </c>
      <c r="I18" s="64" t="s">
        <v>251</v>
      </c>
      <c r="J18" s="64">
        <v>42000</v>
      </c>
      <c r="K18" s="64" t="s">
        <v>253</v>
      </c>
      <c r="L18" s="64">
        <v>3320</v>
      </c>
      <c r="M18" s="64" t="s">
        <v>254</v>
      </c>
      <c r="O18" s="53">
        <f>'[37]Revised 2021-2025 Summary'!R18</f>
        <v>42000</v>
      </c>
      <c r="P18" s="53">
        <f>'[37]Revised 2021-2025 Summary'!S18</f>
        <v>48000</v>
      </c>
      <c r="Q18" s="40"/>
      <c r="R18" s="65">
        <f>'[36]2021 capex &amp; dep'!AE18</f>
        <v>0</v>
      </c>
      <c r="S18" s="53">
        <v>0</v>
      </c>
      <c r="T18" s="53">
        <v>0</v>
      </c>
      <c r="U18" s="53">
        <f>$P$18/4</f>
        <v>12000</v>
      </c>
      <c r="V18" s="53">
        <v>0</v>
      </c>
      <c r="W18" s="53">
        <v>0</v>
      </c>
      <c r="X18" s="53">
        <f>$P$18/4</f>
        <v>12000</v>
      </c>
      <c r="Y18" s="53">
        <v>0</v>
      </c>
      <c r="Z18" s="53">
        <v>0</v>
      </c>
      <c r="AA18" s="53">
        <f>$P$18/4</f>
        <v>12000</v>
      </c>
      <c r="AB18" s="53">
        <v>0</v>
      </c>
      <c r="AC18" s="53">
        <v>0</v>
      </c>
      <c r="AD18" s="53">
        <f>$P$18/4</f>
        <v>12000</v>
      </c>
      <c r="AE18" s="53">
        <f t="shared" si="1"/>
        <v>48000</v>
      </c>
      <c r="AF18" s="53">
        <f t="shared" si="0"/>
        <v>0</v>
      </c>
      <c r="AG18" s="53"/>
      <c r="AH18" s="53">
        <f>'[37]Revised 2021-2025 Summary'!T18</f>
        <v>100000</v>
      </c>
      <c r="AI18" s="53">
        <f>'[37]Revised 2021-2025 Summary'!U18</f>
        <v>100000</v>
      </c>
      <c r="AJ18" s="53">
        <f>'[37]Revised 2021-2025 Summary'!V18</f>
        <v>100000</v>
      </c>
      <c r="AK18" s="49">
        <f>'[37]dea update '!AL18</f>
        <v>0</v>
      </c>
    </row>
    <row r="19" spans="1:37" ht="14.4" x14ac:dyDescent="0.3">
      <c r="A19" s="64">
        <v>6871</v>
      </c>
      <c r="B19" s="52" t="s">
        <v>256</v>
      </c>
      <c r="C19" s="64" t="s">
        <v>257</v>
      </c>
      <c r="D19" s="64">
        <v>20200</v>
      </c>
      <c r="E19" s="64" t="s">
        <v>247</v>
      </c>
      <c r="F19" s="64" t="s">
        <v>255</v>
      </c>
      <c r="G19" s="64">
        <v>3330</v>
      </c>
      <c r="H19" s="64" t="s">
        <v>248</v>
      </c>
      <c r="I19" s="64" t="s">
        <v>257</v>
      </c>
      <c r="J19" s="64">
        <v>28100</v>
      </c>
      <c r="K19" s="64" t="s">
        <v>258</v>
      </c>
      <c r="L19" s="64">
        <v>3330</v>
      </c>
      <c r="M19" s="64" t="s">
        <v>254</v>
      </c>
      <c r="O19" s="53">
        <f>'[37]Revised 2021-2025 Summary'!R19</f>
        <v>28100</v>
      </c>
      <c r="P19" s="53">
        <f>'[37]Revised 2021-2025 Summary'!S19</f>
        <v>57700</v>
      </c>
      <c r="Q19" s="40"/>
      <c r="R19" s="65">
        <f>'[36]2021 capex &amp; dep'!AE19</f>
        <v>5300</v>
      </c>
      <c r="S19" s="53">
        <v>0</v>
      </c>
      <c r="T19" s="53">
        <v>0</v>
      </c>
      <c r="U19" s="53">
        <v>0</v>
      </c>
      <c r="V19" s="53">
        <v>0</v>
      </c>
      <c r="W19" s="53">
        <v>57700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f t="shared" si="1"/>
        <v>57700</v>
      </c>
      <c r="AF19" s="53">
        <f t="shared" si="0"/>
        <v>0</v>
      </c>
      <c r="AG19" s="53"/>
      <c r="AH19" s="53">
        <f>'[37]Revised 2021-2025 Summary'!T19</f>
        <v>40000</v>
      </c>
      <c r="AI19" s="53">
        <f>'[37]Revised 2021-2025 Summary'!U19</f>
        <v>40000</v>
      </c>
      <c r="AJ19" s="53">
        <f>'[37]Revised 2021-2025 Summary'!V19</f>
        <v>40000</v>
      </c>
      <c r="AK19" s="49">
        <f>'[37]dea update '!AL19</f>
        <v>0</v>
      </c>
    </row>
    <row r="20" spans="1:37" ht="14.4" x14ac:dyDescent="0.3">
      <c r="A20" s="64">
        <v>101480</v>
      </c>
      <c r="B20" s="52" t="s">
        <v>260</v>
      </c>
      <c r="C20" s="64" t="s">
        <v>261</v>
      </c>
      <c r="D20" s="64">
        <v>97100</v>
      </c>
      <c r="E20" s="64" t="s">
        <v>247</v>
      </c>
      <c r="F20" s="64" t="s">
        <v>259</v>
      </c>
      <c r="G20" s="64">
        <v>3340</v>
      </c>
      <c r="H20" s="64" t="s">
        <v>248</v>
      </c>
      <c r="I20" s="64" t="s">
        <v>262</v>
      </c>
      <c r="J20" s="64">
        <v>18000</v>
      </c>
      <c r="K20" s="64" t="s">
        <v>263</v>
      </c>
      <c r="L20" s="64">
        <v>3340</v>
      </c>
      <c r="M20" s="64" t="s">
        <v>254</v>
      </c>
      <c r="O20" s="53">
        <f>'[37]Revised 2021-2025 Summary'!R20</f>
        <v>18000</v>
      </c>
      <c r="P20" s="53">
        <f>'[37]Revised 2021-2025 Summary'!S20</f>
        <v>20000</v>
      </c>
      <c r="Q20" s="40"/>
      <c r="R20" s="65">
        <f>'[36]2021 capex &amp; dep'!AE20</f>
        <v>0</v>
      </c>
      <c r="S20" s="53">
        <v>0</v>
      </c>
      <c r="T20" s="53">
        <v>0</v>
      </c>
      <c r="U20" s="53">
        <v>6700</v>
      </c>
      <c r="V20" s="53">
        <v>0</v>
      </c>
      <c r="W20" s="53">
        <v>0</v>
      </c>
      <c r="X20" s="53">
        <v>0</v>
      </c>
      <c r="Y20" s="53">
        <v>6700</v>
      </c>
      <c r="Z20" s="53">
        <v>0</v>
      </c>
      <c r="AA20" s="53">
        <v>0</v>
      </c>
      <c r="AB20" s="53">
        <v>0</v>
      </c>
      <c r="AC20" s="53">
        <v>6600</v>
      </c>
      <c r="AD20" s="53">
        <v>0</v>
      </c>
      <c r="AE20" s="53">
        <f t="shared" si="1"/>
        <v>20000</v>
      </c>
      <c r="AF20" s="53">
        <f t="shared" si="0"/>
        <v>0</v>
      </c>
      <c r="AG20" s="53"/>
      <c r="AH20" s="53">
        <f>'[37]Revised 2021-2025 Summary'!T20</f>
        <v>30000</v>
      </c>
      <c r="AI20" s="53">
        <f>'[37]Revised 2021-2025 Summary'!U20</f>
        <v>30000</v>
      </c>
      <c r="AJ20" s="53">
        <f>'[37]Revised 2021-2025 Summary'!V20</f>
        <v>30000</v>
      </c>
      <c r="AK20" s="49">
        <f>'[37]dea update '!AL20</f>
        <v>0</v>
      </c>
    </row>
    <row r="21" spans="1:37" ht="14.4" x14ac:dyDescent="0.3">
      <c r="B21" s="52" t="s">
        <v>265</v>
      </c>
      <c r="C21" s="64" t="s">
        <v>264</v>
      </c>
      <c r="D21" s="64">
        <v>0</v>
      </c>
      <c r="E21" s="64" t="s">
        <v>247</v>
      </c>
      <c r="F21" s="64" t="s">
        <v>264</v>
      </c>
      <c r="G21" s="64">
        <v>3520</v>
      </c>
      <c r="H21" s="64" t="s">
        <v>248</v>
      </c>
      <c r="I21" s="64" t="s">
        <v>264</v>
      </c>
      <c r="J21" s="64">
        <v>10800</v>
      </c>
      <c r="K21" s="64" t="s">
        <v>266</v>
      </c>
      <c r="L21" s="64">
        <v>3520</v>
      </c>
      <c r="M21" s="64" t="s">
        <v>267</v>
      </c>
      <c r="O21" s="53">
        <f>'[37]Revised 2021-2025 Summary'!R21</f>
        <v>10800</v>
      </c>
      <c r="P21" s="53">
        <f>'[37]Revised 2021-2025 Summary'!S21</f>
        <v>240000</v>
      </c>
      <c r="Q21" s="40"/>
      <c r="R21" s="65">
        <f>'[36]2021 capex &amp; dep'!AE21</f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240000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f t="shared" si="1"/>
        <v>240000</v>
      </c>
      <c r="AF21" s="53">
        <f t="shared" si="0"/>
        <v>0</v>
      </c>
      <c r="AG21" s="53"/>
      <c r="AH21" s="53">
        <f>'[37]Revised 2021-2025 Summary'!T21</f>
        <v>10000</v>
      </c>
      <c r="AI21" s="53">
        <f>'[37]Revised 2021-2025 Summary'!U21</f>
        <v>10000</v>
      </c>
      <c r="AJ21" s="53">
        <f>'[37]Revised 2021-2025 Summary'!V21</f>
        <v>10000</v>
      </c>
      <c r="AK21" s="49">
        <f>'[37]dea update '!AL21</f>
        <v>0</v>
      </c>
    </row>
    <row r="22" spans="1:37" ht="14.4" x14ac:dyDescent="0.3">
      <c r="A22" s="64">
        <v>0</v>
      </c>
      <c r="B22" s="52" t="s">
        <v>269</v>
      </c>
      <c r="C22" s="64" t="s">
        <v>268</v>
      </c>
      <c r="D22" s="64">
        <v>11200</v>
      </c>
      <c r="E22" s="64" t="s">
        <v>247</v>
      </c>
      <c r="F22" s="64" t="s">
        <v>268</v>
      </c>
      <c r="G22" s="64">
        <v>3530</v>
      </c>
      <c r="H22" s="64" t="s">
        <v>248</v>
      </c>
      <c r="I22" s="64" t="s">
        <v>268</v>
      </c>
      <c r="J22" s="64">
        <v>10500</v>
      </c>
      <c r="K22" s="64" t="s">
        <v>270</v>
      </c>
      <c r="L22" s="64">
        <v>3530</v>
      </c>
      <c r="M22" s="64" t="s">
        <v>267</v>
      </c>
      <c r="O22" s="53">
        <f>'[37]Revised 2021-2025 Summary'!R22</f>
        <v>10500</v>
      </c>
      <c r="P22" s="53">
        <f>'[37]Revised 2021-2025 Summary'!S22</f>
        <v>13000</v>
      </c>
      <c r="Q22" s="40"/>
      <c r="R22" s="65">
        <f>'[36]2021 capex &amp; dep'!AE22</f>
        <v>0</v>
      </c>
      <c r="S22" s="53">
        <v>0</v>
      </c>
      <c r="T22" s="53">
        <v>0</v>
      </c>
      <c r="U22" s="53">
        <v>0</v>
      </c>
      <c r="V22" s="53">
        <v>0</v>
      </c>
      <c r="W22" s="53">
        <v>6500</v>
      </c>
      <c r="X22" s="53">
        <v>6500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f t="shared" si="1"/>
        <v>13000</v>
      </c>
      <c r="AF22" s="53">
        <f t="shared" si="0"/>
        <v>0</v>
      </c>
      <c r="AG22" s="53"/>
      <c r="AH22" s="53">
        <f>'[37]Revised 2021-2025 Summary'!T22</f>
        <v>12000</v>
      </c>
      <c r="AI22" s="53">
        <f>'[37]Revised 2021-2025 Summary'!U22</f>
        <v>12000</v>
      </c>
      <c r="AJ22" s="53">
        <f>'[37]Revised 2021-2025 Summary'!V22</f>
        <v>12000</v>
      </c>
      <c r="AK22" s="49">
        <f>'[37]dea update '!AL22</f>
        <v>0</v>
      </c>
    </row>
    <row r="23" spans="1:37" ht="14.4" x14ac:dyDescent="0.3">
      <c r="A23" s="64">
        <v>15346</v>
      </c>
      <c r="B23" s="52" t="s">
        <v>272</v>
      </c>
      <c r="C23" s="64" t="s">
        <v>273</v>
      </c>
      <c r="D23" s="64">
        <v>57500</v>
      </c>
      <c r="E23" s="64" t="s">
        <v>247</v>
      </c>
      <c r="F23" s="64" t="s">
        <v>271</v>
      </c>
      <c r="G23" s="64">
        <v>3540</v>
      </c>
      <c r="H23" s="64" t="s">
        <v>248</v>
      </c>
      <c r="I23" s="64" t="s">
        <v>273</v>
      </c>
      <c r="J23" s="64">
        <v>82500</v>
      </c>
      <c r="K23" s="64" t="s">
        <v>274</v>
      </c>
      <c r="L23" s="64">
        <v>3540</v>
      </c>
      <c r="M23" s="64" t="s">
        <v>267</v>
      </c>
      <c r="O23" s="53">
        <f>'[37]Revised 2021-2025 Summary'!R23</f>
        <v>82500</v>
      </c>
      <c r="P23" s="53">
        <f>'[37]Revised 2021-2025 Summary'!S23</f>
        <v>41000</v>
      </c>
      <c r="Q23" s="40"/>
      <c r="R23" s="65">
        <f>'[36]2021 capex &amp; dep'!AE23</f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20500</v>
      </c>
      <c r="Y23" s="53">
        <v>0</v>
      </c>
      <c r="Z23" s="53">
        <v>20500</v>
      </c>
      <c r="AA23" s="53">
        <v>0</v>
      </c>
      <c r="AB23" s="53">
        <v>0</v>
      </c>
      <c r="AC23" s="53">
        <v>0</v>
      </c>
      <c r="AD23" s="53">
        <v>0</v>
      </c>
      <c r="AE23" s="53">
        <f t="shared" si="1"/>
        <v>41000</v>
      </c>
      <c r="AF23" s="53">
        <f t="shared" si="0"/>
        <v>0</v>
      </c>
      <c r="AG23" s="53"/>
      <c r="AH23" s="53">
        <f>'[37]Revised 2021-2025 Summary'!T23</f>
        <v>60000</v>
      </c>
      <c r="AI23" s="53">
        <f>'[37]Revised 2021-2025 Summary'!U23</f>
        <v>60000</v>
      </c>
      <c r="AJ23" s="53">
        <f>'[37]Revised 2021-2025 Summary'!V23</f>
        <v>60000</v>
      </c>
      <c r="AK23" s="49">
        <f>'[37]dea update '!AL23</f>
        <v>0</v>
      </c>
    </row>
    <row r="24" spans="1:37" s="49" customFormat="1" ht="14.4" x14ac:dyDescent="0.3">
      <c r="B24" s="52" t="s">
        <v>276</v>
      </c>
      <c r="C24" s="49" t="s">
        <v>277</v>
      </c>
      <c r="D24" s="49">
        <v>0</v>
      </c>
      <c r="E24" s="49" t="s">
        <v>247</v>
      </c>
      <c r="F24" s="49" t="s">
        <v>277</v>
      </c>
      <c r="H24" s="64" t="s">
        <v>248</v>
      </c>
      <c r="I24" s="49" t="s">
        <v>277</v>
      </c>
      <c r="J24" s="49">
        <v>7900</v>
      </c>
      <c r="K24" s="49" t="s">
        <v>277</v>
      </c>
      <c r="L24" s="49">
        <v>3550</v>
      </c>
      <c r="M24" s="49" t="s">
        <v>267</v>
      </c>
      <c r="O24" s="53">
        <f>'[37]Revised 2021-2025 Summary'!R24</f>
        <v>7900</v>
      </c>
      <c r="P24" s="53">
        <f>'[37]Revised 2021-2025 Summary'!S24</f>
        <v>11800</v>
      </c>
      <c r="Q24" s="40"/>
      <c r="R24" s="65">
        <f>'[36]2021 capex &amp; dep'!AE24</f>
        <v>1975</v>
      </c>
      <c r="S24" s="53">
        <v>0</v>
      </c>
      <c r="T24" s="53">
        <v>0</v>
      </c>
      <c r="U24" s="53">
        <v>0</v>
      </c>
      <c r="V24" s="53">
        <v>11800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f t="shared" si="1"/>
        <v>11800</v>
      </c>
      <c r="AF24" s="53">
        <f t="shared" si="0"/>
        <v>0</v>
      </c>
      <c r="AG24" s="53"/>
      <c r="AH24" s="53">
        <f>'[37]Revised 2021-2025 Summary'!T24</f>
        <v>0</v>
      </c>
      <c r="AI24" s="53">
        <f>'[37]Revised 2021-2025 Summary'!U24</f>
        <v>0</v>
      </c>
      <c r="AJ24" s="53">
        <f>'[37]Revised 2021-2025 Summary'!V24</f>
        <v>0</v>
      </c>
      <c r="AK24" s="49">
        <f>'[37]dea update '!AL24</f>
        <v>0</v>
      </c>
    </row>
    <row r="25" spans="1:37" ht="14.4" x14ac:dyDescent="0.3">
      <c r="A25" s="64">
        <v>0</v>
      </c>
      <c r="B25" s="52" t="s">
        <v>279</v>
      </c>
      <c r="C25" s="64" t="s">
        <v>280</v>
      </c>
      <c r="D25" s="64">
        <v>109200</v>
      </c>
      <c r="E25" s="64" t="s">
        <v>247</v>
      </c>
      <c r="F25" s="64" t="s">
        <v>278</v>
      </c>
      <c r="G25" s="64">
        <v>3560</v>
      </c>
      <c r="H25" s="64" t="s">
        <v>248</v>
      </c>
      <c r="I25" s="64" t="s">
        <v>280</v>
      </c>
      <c r="J25" s="64">
        <v>107500</v>
      </c>
      <c r="K25" s="64" t="s">
        <v>281</v>
      </c>
      <c r="L25" s="64">
        <v>3560</v>
      </c>
      <c r="M25" s="64" t="s">
        <v>218</v>
      </c>
      <c r="O25" s="53">
        <f>'[37]Revised 2021-2025 Summary'!R25</f>
        <v>107500</v>
      </c>
      <c r="P25" s="53">
        <f>'[37]Revised 2021-2025 Summary'!S25</f>
        <v>24000</v>
      </c>
      <c r="Q25" s="40"/>
      <c r="R25" s="65">
        <f>'[36]2021 capex &amp; dep'!AE25</f>
        <v>26875</v>
      </c>
      <c r="S25" s="53">
        <v>0</v>
      </c>
      <c r="T25" s="53">
        <v>0</v>
      </c>
      <c r="U25" s="53">
        <v>0</v>
      </c>
      <c r="V25" s="53">
        <v>0</v>
      </c>
      <c r="W25" s="53">
        <v>12000</v>
      </c>
      <c r="X25" s="53">
        <v>0</v>
      </c>
      <c r="Y25" s="53">
        <v>0</v>
      </c>
      <c r="Z25" s="53">
        <v>12000</v>
      </c>
      <c r="AA25" s="53">
        <v>0</v>
      </c>
      <c r="AB25" s="53">
        <v>0</v>
      </c>
      <c r="AC25" s="53">
        <v>0</v>
      </c>
      <c r="AD25" s="53">
        <v>0</v>
      </c>
      <c r="AE25" s="53">
        <f t="shared" si="1"/>
        <v>24000</v>
      </c>
      <c r="AF25" s="53">
        <f t="shared" si="0"/>
        <v>0</v>
      </c>
      <c r="AG25" s="53"/>
      <c r="AH25" s="53">
        <f>'[37]Revised 2021-2025 Summary'!T25</f>
        <v>25000</v>
      </c>
      <c r="AI25" s="53">
        <f>'[37]Revised 2021-2025 Summary'!U25</f>
        <v>25000</v>
      </c>
      <c r="AJ25" s="53">
        <f>'[37]Revised 2021-2025 Summary'!V25</f>
        <v>25000</v>
      </c>
      <c r="AK25" s="49">
        <f>'[37]dea update '!AL25</f>
        <v>0</v>
      </c>
    </row>
    <row r="26" spans="1:37" ht="14.4" x14ac:dyDescent="0.3">
      <c r="A26" s="64">
        <v>0</v>
      </c>
      <c r="B26" s="52" t="s">
        <v>283</v>
      </c>
      <c r="C26" s="64" t="s">
        <v>284</v>
      </c>
      <c r="D26" s="64">
        <v>2400</v>
      </c>
      <c r="E26" s="64" t="s">
        <v>247</v>
      </c>
      <c r="F26" s="64" t="s">
        <v>282</v>
      </c>
      <c r="G26" s="64">
        <v>3650</v>
      </c>
      <c r="H26" s="64" t="s">
        <v>285</v>
      </c>
      <c r="I26" s="64" t="s">
        <v>284</v>
      </c>
      <c r="J26" s="64">
        <v>384600</v>
      </c>
      <c r="K26" s="64" t="s">
        <v>286</v>
      </c>
      <c r="L26" s="64">
        <v>3650</v>
      </c>
      <c r="M26" s="64" t="s">
        <v>287</v>
      </c>
      <c r="O26" s="53">
        <f>'[37]Revised 2021-2025 Summary'!R26</f>
        <v>455600</v>
      </c>
      <c r="P26" s="53">
        <f>'[37]Revised 2021-2025 Summary'!S26</f>
        <v>1750300</v>
      </c>
      <c r="Q26" s="40"/>
      <c r="R26" s="65">
        <f>'[36]2021 capex &amp; dep'!AE26</f>
        <v>113900</v>
      </c>
      <c r="S26" s="53">
        <v>145800</v>
      </c>
      <c r="T26" s="53">
        <v>145800</v>
      </c>
      <c r="U26" s="53">
        <v>145800</v>
      </c>
      <c r="V26" s="53">
        <v>145800</v>
      </c>
      <c r="W26" s="53">
        <v>145800</v>
      </c>
      <c r="X26" s="53">
        <v>145800</v>
      </c>
      <c r="Y26" s="53">
        <v>145800</v>
      </c>
      <c r="Z26" s="53">
        <v>145800</v>
      </c>
      <c r="AA26" s="53">
        <v>145800</v>
      </c>
      <c r="AB26" s="53">
        <v>145800</v>
      </c>
      <c r="AC26" s="53">
        <v>145800</v>
      </c>
      <c r="AD26" s="53">
        <v>146500</v>
      </c>
      <c r="AE26" s="53">
        <f t="shared" si="1"/>
        <v>1750300</v>
      </c>
      <c r="AF26" s="53">
        <f t="shared" si="0"/>
        <v>0</v>
      </c>
      <c r="AG26" s="53"/>
      <c r="AH26" s="53">
        <f>'[37]Revised 2021-2025 Summary'!T26</f>
        <v>5000</v>
      </c>
      <c r="AI26" s="53">
        <f>'[37]Revised 2021-2025 Summary'!U26</f>
        <v>5000</v>
      </c>
      <c r="AJ26" s="53">
        <f>'[37]Revised 2021-2025 Summary'!V26</f>
        <v>5000</v>
      </c>
      <c r="AK26" s="49">
        <f>'[37]dea update '!AL26</f>
        <v>0</v>
      </c>
    </row>
    <row r="27" spans="1:37" ht="14.4" x14ac:dyDescent="0.3">
      <c r="A27" s="64">
        <v>86671</v>
      </c>
      <c r="B27" s="52" t="s">
        <v>289</v>
      </c>
      <c r="C27" s="64" t="s">
        <v>290</v>
      </c>
      <c r="E27" s="64" t="s">
        <v>247</v>
      </c>
      <c r="F27" s="64" t="s">
        <v>290</v>
      </c>
      <c r="G27" s="64">
        <v>3660</v>
      </c>
      <c r="H27" s="64" t="s">
        <v>248</v>
      </c>
      <c r="I27" s="64" t="s">
        <v>290</v>
      </c>
      <c r="K27" s="64" t="s">
        <v>290</v>
      </c>
      <c r="L27" s="64">
        <v>3660</v>
      </c>
      <c r="M27" s="64" t="s">
        <v>287</v>
      </c>
      <c r="O27" s="53">
        <f>'[37]Revised 2021-2025 Summary'!R27</f>
        <v>0</v>
      </c>
      <c r="P27" s="53">
        <f>'[37]Revised 2021-2025 Summary'!S27</f>
        <v>0</v>
      </c>
      <c r="Q27" s="40"/>
      <c r="R27" s="65">
        <f>'[36]2021 capex &amp; dep'!AE27</f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f t="shared" si="1"/>
        <v>0</v>
      </c>
      <c r="AF27" s="53">
        <f t="shared" si="0"/>
        <v>0</v>
      </c>
      <c r="AG27" s="53"/>
      <c r="AH27" s="53">
        <f>'[37]Revised 2021-2025 Summary'!T27</f>
        <v>0</v>
      </c>
      <c r="AI27" s="53">
        <f>'[37]Revised 2021-2025 Summary'!U27</f>
        <v>0</v>
      </c>
      <c r="AJ27" s="53">
        <f>'[37]Revised 2021-2025 Summary'!V27</f>
        <v>0</v>
      </c>
      <c r="AK27" s="49">
        <f>'[37]dea update '!AL27</f>
        <v>0</v>
      </c>
    </row>
    <row r="28" spans="1:37" ht="14.4" x14ac:dyDescent="0.3">
      <c r="A28" s="64">
        <v>187884</v>
      </c>
      <c r="B28" s="52" t="s">
        <v>292</v>
      </c>
      <c r="C28" s="64" t="s">
        <v>291</v>
      </c>
      <c r="D28" s="64">
        <v>802000</v>
      </c>
      <c r="E28" s="64" t="s">
        <v>247</v>
      </c>
      <c r="F28" s="64" t="s">
        <v>291</v>
      </c>
      <c r="G28" s="64">
        <v>3670</v>
      </c>
      <c r="H28" s="64" t="s">
        <v>248</v>
      </c>
      <c r="I28" s="64" t="s">
        <v>291</v>
      </c>
      <c r="J28" s="64">
        <v>3691000</v>
      </c>
      <c r="K28" s="64" t="s">
        <v>293</v>
      </c>
      <c r="L28" s="64">
        <v>3670</v>
      </c>
      <c r="M28" s="64" t="s">
        <v>287</v>
      </c>
      <c r="O28" s="53">
        <f>'[37]Revised 2021-2025 Summary'!R28</f>
        <v>4006400</v>
      </c>
      <c r="P28" s="53">
        <f>'[37]Revised 2021-2025 Summary'!S28</f>
        <v>1654300</v>
      </c>
      <c r="Q28" s="40"/>
      <c r="R28" s="65">
        <f>'[36]2021 capex &amp; dep'!AE28</f>
        <v>1001600</v>
      </c>
      <c r="S28" s="53">
        <v>0</v>
      </c>
      <c r="T28" s="53">
        <v>0</v>
      </c>
      <c r="U28" s="53">
        <v>0</v>
      </c>
      <c r="V28" s="53">
        <v>0</v>
      </c>
      <c r="W28" s="53">
        <v>551400</v>
      </c>
      <c r="X28" s="53">
        <v>551400</v>
      </c>
      <c r="Y28" s="53">
        <v>551500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f t="shared" si="1"/>
        <v>1654300</v>
      </c>
      <c r="AF28" s="53">
        <f t="shared" si="0"/>
        <v>0</v>
      </c>
      <c r="AG28" s="53"/>
      <c r="AH28" s="53">
        <f>'[37]Revised 2021-2025 Summary'!T28</f>
        <v>2600000</v>
      </c>
      <c r="AI28" s="53">
        <f>'[37]Revised 2021-2025 Summary'!U28</f>
        <v>100000</v>
      </c>
      <c r="AJ28" s="53">
        <f>'[37]Revised 2021-2025 Summary'!V28</f>
        <v>100000</v>
      </c>
      <c r="AK28" s="49">
        <f>'[37]dea update '!AL28</f>
        <v>0</v>
      </c>
    </row>
    <row r="29" spans="1:37" ht="14.4" x14ac:dyDescent="0.3">
      <c r="A29" s="64">
        <v>12772</v>
      </c>
      <c r="B29" s="52" t="s">
        <v>295</v>
      </c>
      <c r="C29" s="64" t="s">
        <v>296</v>
      </c>
      <c r="D29" s="64">
        <v>31400</v>
      </c>
      <c r="E29" s="64" t="s">
        <v>247</v>
      </c>
      <c r="F29" s="64" t="s">
        <v>294</v>
      </c>
      <c r="G29" s="64">
        <v>3680</v>
      </c>
      <c r="H29" s="64" t="s">
        <v>248</v>
      </c>
      <c r="I29" s="64" t="s">
        <v>296</v>
      </c>
      <c r="J29" s="64">
        <v>22600</v>
      </c>
      <c r="K29" s="64" t="s">
        <v>297</v>
      </c>
      <c r="L29" s="64">
        <v>3680</v>
      </c>
      <c r="M29" s="64" t="s">
        <v>287</v>
      </c>
      <c r="O29" s="53">
        <f>'[37]Revised 2021-2025 Summary'!R29</f>
        <v>397600</v>
      </c>
      <c r="P29" s="53">
        <f>'[37]Revised 2021-2025 Summary'!S29</f>
        <v>35000</v>
      </c>
      <c r="Q29" s="40"/>
      <c r="R29" s="65">
        <f>'[36]2021 capex &amp; dep'!AE29</f>
        <v>99400</v>
      </c>
      <c r="S29" s="53">
        <v>0</v>
      </c>
      <c r="T29" s="53">
        <v>0</v>
      </c>
      <c r="U29" s="53">
        <v>0</v>
      </c>
      <c r="V29" s="53">
        <v>0</v>
      </c>
      <c r="W29" s="53">
        <v>17500</v>
      </c>
      <c r="X29" s="53">
        <v>0</v>
      </c>
      <c r="Y29" s="53">
        <v>0</v>
      </c>
      <c r="Z29" s="53">
        <v>0</v>
      </c>
      <c r="AA29" s="53">
        <v>17500</v>
      </c>
      <c r="AB29" s="53">
        <v>0</v>
      </c>
      <c r="AC29" s="53">
        <v>0</v>
      </c>
      <c r="AD29" s="53">
        <v>0</v>
      </c>
      <c r="AE29" s="53">
        <f t="shared" si="1"/>
        <v>35000</v>
      </c>
      <c r="AF29" s="53">
        <f t="shared" si="0"/>
        <v>0</v>
      </c>
      <c r="AG29" s="53"/>
      <c r="AH29" s="53">
        <f>'[37]Revised 2021-2025 Summary'!T29</f>
        <v>40000</v>
      </c>
      <c r="AI29" s="53">
        <f>'[37]Revised 2021-2025 Summary'!U29</f>
        <v>45000</v>
      </c>
      <c r="AJ29" s="53">
        <f>'[37]Revised 2021-2025 Summary'!V29</f>
        <v>50000</v>
      </c>
      <c r="AK29" s="49">
        <f>'[37]dea update '!AL29</f>
        <v>0</v>
      </c>
    </row>
    <row r="30" spans="1:37" ht="14.4" x14ac:dyDescent="0.3">
      <c r="A30" s="64">
        <v>844956</v>
      </c>
      <c r="B30" s="52" t="s">
        <v>299</v>
      </c>
      <c r="C30" s="64" t="s">
        <v>300</v>
      </c>
      <c r="D30" s="64">
        <v>294000</v>
      </c>
      <c r="E30" s="64" t="s">
        <v>247</v>
      </c>
      <c r="F30" s="64" t="s">
        <v>298</v>
      </c>
      <c r="G30" s="64">
        <v>3690</v>
      </c>
      <c r="H30" s="64" t="s">
        <v>248</v>
      </c>
      <c r="I30" s="64" t="s">
        <v>301</v>
      </c>
      <c r="J30" s="64">
        <v>616200</v>
      </c>
      <c r="K30" s="64" t="s">
        <v>302</v>
      </c>
      <c r="L30" s="64">
        <v>3690</v>
      </c>
      <c r="M30" s="64" t="s">
        <v>287</v>
      </c>
      <c r="O30" s="53">
        <f>'[37]Revised 2021-2025 Summary'!R30</f>
        <v>616200</v>
      </c>
      <c r="P30" s="53">
        <f>'[37]Revised 2021-2025 Summary'!S30</f>
        <v>50000</v>
      </c>
      <c r="Q30" s="40"/>
      <c r="R30" s="65">
        <f>'[36]2021 capex &amp; dep'!AE30</f>
        <v>2700</v>
      </c>
      <c r="S30" s="53">
        <v>4200</v>
      </c>
      <c r="T30" s="53">
        <v>4200</v>
      </c>
      <c r="U30" s="53">
        <v>4200</v>
      </c>
      <c r="V30" s="53">
        <v>4200</v>
      </c>
      <c r="W30" s="53">
        <v>4200</v>
      </c>
      <c r="X30" s="53">
        <v>4200</v>
      </c>
      <c r="Y30" s="53">
        <v>4200</v>
      </c>
      <c r="Z30" s="53">
        <v>4200</v>
      </c>
      <c r="AA30" s="53">
        <v>4200</v>
      </c>
      <c r="AB30" s="53">
        <v>4200</v>
      </c>
      <c r="AC30" s="53">
        <v>4200</v>
      </c>
      <c r="AD30" s="53">
        <v>3800</v>
      </c>
      <c r="AE30" s="53">
        <f t="shared" si="1"/>
        <v>50000</v>
      </c>
      <c r="AF30" s="53">
        <f t="shared" si="0"/>
        <v>0</v>
      </c>
      <c r="AG30" s="53"/>
      <c r="AH30" s="53">
        <f>'[37]Revised 2021-2025 Summary'!T30</f>
        <v>60000</v>
      </c>
      <c r="AI30" s="53">
        <f>'[37]Revised 2021-2025 Summary'!U30</f>
        <v>65000</v>
      </c>
      <c r="AJ30" s="53">
        <f>'[37]Revised 2021-2025 Summary'!V30</f>
        <v>70000</v>
      </c>
      <c r="AK30" s="49">
        <f>'[37]dea update '!AL30</f>
        <v>0</v>
      </c>
    </row>
    <row r="31" spans="1:37" ht="14.4" x14ac:dyDescent="0.3">
      <c r="A31" s="64">
        <v>0</v>
      </c>
      <c r="B31" s="52" t="s">
        <v>304</v>
      </c>
      <c r="C31" s="64" t="s">
        <v>305</v>
      </c>
      <c r="D31" s="64">
        <v>9800</v>
      </c>
      <c r="E31" s="64" t="s">
        <v>247</v>
      </c>
      <c r="F31" s="64" t="s">
        <v>303</v>
      </c>
      <c r="G31" s="64">
        <v>3710</v>
      </c>
      <c r="H31" s="64" t="s">
        <v>306</v>
      </c>
      <c r="I31" s="64" t="s">
        <v>305</v>
      </c>
      <c r="J31" s="64">
        <v>9200</v>
      </c>
      <c r="K31" s="64" t="s">
        <v>307</v>
      </c>
      <c r="L31" s="64">
        <v>3710</v>
      </c>
      <c r="M31" s="64" t="s">
        <v>287</v>
      </c>
      <c r="O31" s="53">
        <f>'[37]Revised 2021-2025 Summary'!R31</f>
        <v>9200</v>
      </c>
      <c r="P31" s="53">
        <f>'[37]Revised 2021-2025 Summary'!S31</f>
        <v>9200</v>
      </c>
      <c r="Q31" s="40"/>
      <c r="R31" s="65">
        <f>'[36]2021 capex &amp; dep'!AE31</f>
        <v>2300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4600</v>
      </c>
      <c r="AA31" s="53">
        <v>0</v>
      </c>
      <c r="AB31" s="53">
        <v>4600</v>
      </c>
      <c r="AC31" s="53">
        <v>0</v>
      </c>
      <c r="AD31" s="53">
        <v>0</v>
      </c>
      <c r="AE31" s="53">
        <f t="shared" si="1"/>
        <v>9200</v>
      </c>
      <c r="AF31" s="53">
        <f t="shared" si="0"/>
        <v>0</v>
      </c>
      <c r="AG31" s="53"/>
      <c r="AH31" s="53">
        <f>'[37]Revised 2021-2025 Summary'!T31</f>
        <v>10000</v>
      </c>
      <c r="AI31" s="53">
        <f>'[37]Revised 2021-2025 Summary'!U31</f>
        <v>10000</v>
      </c>
      <c r="AJ31" s="53">
        <f>'[37]Revised 2021-2025 Summary'!V31</f>
        <v>10000</v>
      </c>
      <c r="AK31" s="49">
        <f>'[37]dea update '!AL31</f>
        <v>0</v>
      </c>
    </row>
    <row r="32" spans="1:37" ht="14.4" x14ac:dyDescent="0.3">
      <c r="A32" s="64">
        <v>131</v>
      </c>
      <c r="B32" s="52" t="s">
        <v>309</v>
      </c>
      <c r="C32" s="64" t="s">
        <v>310</v>
      </c>
      <c r="D32" s="64">
        <v>6000</v>
      </c>
      <c r="E32" s="64" t="s">
        <v>247</v>
      </c>
      <c r="F32" s="64" t="s">
        <v>308</v>
      </c>
      <c r="G32" s="64">
        <v>3740</v>
      </c>
      <c r="H32" s="64" t="s">
        <v>285</v>
      </c>
      <c r="I32" s="64" t="s">
        <v>310</v>
      </c>
      <c r="J32" s="64">
        <v>6000</v>
      </c>
      <c r="K32" s="64" t="s">
        <v>311</v>
      </c>
      <c r="L32" s="64">
        <v>3740</v>
      </c>
      <c r="M32" s="64" t="s">
        <v>312</v>
      </c>
      <c r="O32" s="53">
        <f>'[37]Revised 2021-2025 Summary'!R32</f>
        <v>6000</v>
      </c>
      <c r="P32" s="53">
        <f>'[37]Revised 2021-2025 Summary'!S32</f>
        <v>6000</v>
      </c>
      <c r="Q32" s="40"/>
      <c r="R32" s="65">
        <f>'[36]2021 capex &amp; dep'!AE32</f>
        <v>1500</v>
      </c>
      <c r="S32" s="53">
        <v>500</v>
      </c>
      <c r="T32" s="53">
        <v>500</v>
      </c>
      <c r="U32" s="53">
        <v>500</v>
      </c>
      <c r="V32" s="53">
        <v>500</v>
      </c>
      <c r="W32" s="53">
        <v>500</v>
      </c>
      <c r="X32" s="53">
        <v>500</v>
      </c>
      <c r="Y32" s="53">
        <v>500</v>
      </c>
      <c r="Z32" s="53">
        <v>500</v>
      </c>
      <c r="AA32" s="53">
        <v>500</v>
      </c>
      <c r="AB32" s="53">
        <v>500</v>
      </c>
      <c r="AC32" s="53">
        <v>500</v>
      </c>
      <c r="AD32" s="53">
        <v>500</v>
      </c>
      <c r="AE32" s="53">
        <f t="shared" si="1"/>
        <v>6000</v>
      </c>
      <c r="AF32" s="53">
        <f t="shared" si="0"/>
        <v>0</v>
      </c>
      <c r="AG32" s="53"/>
      <c r="AH32" s="53">
        <f>'[37]Revised 2021-2025 Summary'!T32</f>
        <v>5000</v>
      </c>
      <c r="AI32" s="53">
        <f>'[37]Revised 2021-2025 Summary'!U32</f>
        <v>5000</v>
      </c>
      <c r="AJ32" s="53">
        <f>'[37]Revised 2021-2025 Summary'!V32</f>
        <v>5000</v>
      </c>
      <c r="AK32" s="49">
        <f>'[37]dea update '!AL32</f>
        <v>0</v>
      </c>
    </row>
    <row r="33" spans="1:37" ht="14.4" x14ac:dyDescent="0.3">
      <c r="A33" s="64">
        <v>5084</v>
      </c>
      <c r="B33" s="52" t="s">
        <v>314</v>
      </c>
      <c r="C33" s="64" t="s">
        <v>315</v>
      </c>
      <c r="D33" s="64">
        <v>6200</v>
      </c>
      <c r="E33" s="64" t="s">
        <v>247</v>
      </c>
      <c r="F33" s="64" t="s">
        <v>313</v>
      </c>
      <c r="G33" s="64">
        <v>3750</v>
      </c>
      <c r="H33" s="64" t="s">
        <v>316</v>
      </c>
      <c r="I33" s="64" t="s">
        <v>315</v>
      </c>
      <c r="J33" s="64">
        <v>5000</v>
      </c>
      <c r="K33" s="64" t="s">
        <v>317</v>
      </c>
      <c r="L33" s="64">
        <v>3750</v>
      </c>
      <c r="M33" s="64" t="s">
        <v>312</v>
      </c>
      <c r="O33" s="53">
        <f>'[37]Revised 2021-2025 Summary'!R33</f>
        <v>5000</v>
      </c>
      <c r="P33" s="53">
        <f>'[37]Revised 2021-2025 Summary'!S33</f>
        <v>0</v>
      </c>
      <c r="Q33" s="40"/>
      <c r="R33" s="65">
        <f>'[36]2021 capex &amp; dep'!AE33</f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f t="shared" si="1"/>
        <v>0</v>
      </c>
      <c r="AF33" s="53">
        <f t="shared" si="0"/>
        <v>0</v>
      </c>
      <c r="AG33" s="53"/>
      <c r="AH33" s="53">
        <f>'[37]Revised 2021-2025 Summary'!T33</f>
        <v>5000</v>
      </c>
      <c r="AI33" s="53">
        <f>'[37]Revised 2021-2025 Summary'!U33</f>
        <v>5000</v>
      </c>
      <c r="AJ33" s="53">
        <f>'[37]Revised 2021-2025 Summary'!V33</f>
        <v>5000</v>
      </c>
      <c r="AK33" s="49">
        <f>'[37]dea update '!AL33</f>
        <v>0</v>
      </c>
    </row>
    <row r="34" spans="1:37" ht="14.4" x14ac:dyDescent="0.3">
      <c r="A34" s="64">
        <v>6158872</v>
      </c>
      <c r="B34" s="52" t="s">
        <v>319</v>
      </c>
      <c r="C34" s="64" t="s">
        <v>318</v>
      </c>
      <c r="D34" s="64">
        <v>8200000</v>
      </c>
      <c r="E34" s="64" t="s">
        <v>247</v>
      </c>
      <c r="F34" s="64" t="s">
        <v>318</v>
      </c>
      <c r="G34" s="64">
        <v>3760</v>
      </c>
      <c r="H34" s="64" t="s">
        <v>320</v>
      </c>
      <c r="I34" s="64" t="s">
        <v>318</v>
      </c>
      <c r="J34" s="64">
        <v>8100000</v>
      </c>
      <c r="K34" s="64" t="s">
        <v>321</v>
      </c>
      <c r="L34" s="64">
        <v>3760</v>
      </c>
      <c r="M34" s="64" t="s">
        <v>312</v>
      </c>
      <c r="O34" s="53">
        <f>'[37]Revised 2021-2025 Summary'!R34</f>
        <v>5676400</v>
      </c>
      <c r="P34" s="53">
        <f>'[37]Revised 2021-2025 Summary'!S34</f>
        <v>6400000</v>
      </c>
      <c r="Q34" s="40"/>
      <c r="R34" s="65">
        <f>'[36]2021 capex &amp; dep'!AE34</f>
        <v>275000</v>
      </c>
      <c r="S34" s="53">
        <v>50000</v>
      </c>
      <c r="T34" s="53">
        <v>50000</v>
      </c>
      <c r="U34" s="53">
        <v>160000</v>
      </c>
      <c r="V34" s="53">
        <v>660000</v>
      </c>
      <c r="W34" s="53">
        <v>760000</v>
      </c>
      <c r="X34" s="53">
        <v>760000</v>
      </c>
      <c r="Y34" s="53">
        <v>760000</v>
      </c>
      <c r="Z34" s="53">
        <v>760000</v>
      </c>
      <c r="AA34" s="53">
        <v>760000</v>
      </c>
      <c r="AB34" s="53">
        <v>760000</v>
      </c>
      <c r="AC34" s="53">
        <v>560000</v>
      </c>
      <c r="AD34" s="53">
        <v>360000</v>
      </c>
      <c r="AE34" s="53">
        <f t="shared" si="1"/>
        <v>6400000</v>
      </c>
      <c r="AF34" s="53">
        <f t="shared" si="0"/>
        <v>0</v>
      </c>
      <c r="AG34" s="53"/>
      <c r="AH34" s="53">
        <f>'[37]Revised 2021-2025 Summary'!T34</f>
        <v>7000000</v>
      </c>
      <c r="AI34" s="53">
        <f>'[37]Revised 2021-2025 Summary'!U34</f>
        <v>7750000</v>
      </c>
      <c r="AJ34" s="53">
        <f>'[37]Revised 2021-2025 Summary'!V34</f>
        <v>8500000</v>
      </c>
      <c r="AK34" s="49">
        <f>'[37]dea update '!AL34</f>
        <v>0</v>
      </c>
    </row>
    <row r="35" spans="1:37" ht="14.4" x14ac:dyDescent="0.3">
      <c r="A35" s="64">
        <v>20687</v>
      </c>
      <c r="B35" s="52" t="s">
        <v>323</v>
      </c>
      <c r="C35" s="64" t="s">
        <v>324</v>
      </c>
      <c r="D35" s="64">
        <v>72000</v>
      </c>
      <c r="E35" s="64" t="s">
        <v>247</v>
      </c>
      <c r="F35" s="64" t="s">
        <v>322</v>
      </c>
      <c r="G35" s="64">
        <v>3780</v>
      </c>
      <c r="H35" s="64" t="s">
        <v>306</v>
      </c>
      <c r="I35" s="64" t="s">
        <v>324</v>
      </c>
      <c r="J35" s="64">
        <v>72000</v>
      </c>
      <c r="K35" s="64" t="s">
        <v>325</v>
      </c>
      <c r="L35" s="64">
        <v>3780</v>
      </c>
      <c r="M35" s="64" t="s">
        <v>312</v>
      </c>
      <c r="O35" s="53">
        <f>'[37]Revised 2021-2025 Summary'!R35</f>
        <v>72000</v>
      </c>
      <c r="P35" s="53">
        <f>'[37]Revised 2021-2025 Summary'!S35</f>
        <v>70000</v>
      </c>
      <c r="Q35" s="40"/>
      <c r="R35" s="65">
        <f>'[36]2021 capex &amp; dep'!AE35</f>
        <v>6000</v>
      </c>
      <c r="S35" s="53">
        <v>5800</v>
      </c>
      <c r="T35" s="53">
        <v>5800</v>
      </c>
      <c r="U35" s="53">
        <v>5800</v>
      </c>
      <c r="V35" s="53">
        <v>5800</v>
      </c>
      <c r="W35" s="53">
        <v>5800</v>
      </c>
      <c r="X35" s="53">
        <v>5800</v>
      </c>
      <c r="Y35" s="53">
        <v>5800</v>
      </c>
      <c r="Z35" s="53">
        <v>5800</v>
      </c>
      <c r="AA35" s="53">
        <v>5800</v>
      </c>
      <c r="AB35" s="53">
        <v>5800</v>
      </c>
      <c r="AC35" s="53">
        <v>5800</v>
      </c>
      <c r="AD35" s="53">
        <v>6200</v>
      </c>
      <c r="AE35" s="53">
        <f t="shared" si="1"/>
        <v>70000</v>
      </c>
      <c r="AF35" s="53">
        <f t="shared" si="0"/>
        <v>0</v>
      </c>
      <c r="AG35" s="53"/>
      <c r="AH35" s="53">
        <f>'[37]Revised 2021-2025 Summary'!T35</f>
        <v>70000</v>
      </c>
      <c r="AI35" s="53">
        <f>'[37]Revised 2021-2025 Summary'!U35</f>
        <v>70000</v>
      </c>
      <c r="AJ35" s="53">
        <f>'[37]Revised 2021-2025 Summary'!V35</f>
        <v>70000</v>
      </c>
      <c r="AK35" s="49">
        <f>'[37]dea update '!AL35</f>
        <v>0</v>
      </c>
    </row>
    <row r="36" spans="1:37" ht="14.4" x14ac:dyDescent="0.3">
      <c r="A36" s="64">
        <v>0</v>
      </c>
      <c r="B36" s="52" t="s">
        <v>327</v>
      </c>
      <c r="C36" s="64" t="s">
        <v>328</v>
      </c>
      <c r="D36" s="64">
        <v>25000</v>
      </c>
      <c r="E36" s="64" t="s">
        <v>247</v>
      </c>
      <c r="F36" s="64" t="s">
        <v>326</v>
      </c>
      <c r="G36" s="64">
        <v>3790</v>
      </c>
      <c r="H36" s="64" t="s">
        <v>306</v>
      </c>
      <c r="I36" s="64" t="s">
        <v>328</v>
      </c>
      <c r="J36" s="64">
        <v>25000</v>
      </c>
      <c r="K36" s="64" t="s">
        <v>329</v>
      </c>
      <c r="L36" s="64">
        <v>3790</v>
      </c>
      <c r="M36" s="64" t="s">
        <v>312</v>
      </c>
      <c r="O36" s="53">
        <f>'[37]Revised 2021-2025 Summary'!R36</f>
        <v>25000</v>
      </c>
      <c r="P36" s="53">
        <f>'[37]Revised 2021-2025 Summary'!S36</f>
        <v>30000</v>
      </c>
      <c r="Q36" s="40"/>
      <c r="R36" s="65">
        <f>'[36]2021 capex &amp; dep'!AE36</f>
        <v>3000</v>
      </c>
      <c r="S36" s="53">
        <v>2500</v>
      </c>
      <c r="T36" s="53">
        <v>2500</v>
      </c>
      <c r="U36" s="53">
        <v>2500</v>
      </c>
      <c r="V36" s="53">
        <v>2500</v>
      </c>
      <c r="W36" s="53">
        <v>2500</v>
      </c>
      <c r="X36" s="53">
        <v>2500</v>
      </c>
      <c r="Y36" s="53">
        <v>2500</v>
      </c>
      <c r="Z36" s="53">
        <v>2500</v>
      </c>
      <c r="AA36" s="53">
        <v>2500</v>
      </c>
      <c r="AB36" s="53">
        <v>2500</v>
      </c>
      <c r="AC36" s="53">
        <v>2500</v>
      </c>
      <c r="AD36" s="53">
        <v>2500</v>
      </c>
      <c r="AE36" s="53">
        <f t="shared" si="1"/>
        <v>30000</v>
      </c>
      <c r="AF36" s="53">
        <f t="shared" si="0"/>
        <v>0</v>
      </c>
      <c r="AG36" s="53"/>
      <c r="AH36" s="53">
        <f>'[37]Revised 2021-2025 Summary'!T36</f>
        <v>30000</v>
      </c>
      <c r="AI36" s="53">
        <f>'[37]Revised 2021-2025 Summary'!U36</f>
        <v>30000</v>
      </c>
      <c r="AJ36" s="53">
        <f>'[37]Revised 2021-2025 Summary'!V36</f>
        <v>30000</v>
      </c>
      <c r="AK36" s="49">
        <f>'[37]dea update '!AL36</f>
        <v>0</v>
      </c>
    </row>
    <row r="37" spans="1:37" ht="14.4" x14ac:dyDescent="0.3">
      <c r="A37" s="64">
        <v>1713017</v>
      </c>
      <c r="B37" s="52" t="s">
        <v>331</v>
      </c>
      <c r="C37" s="64" t="s">
        <v>332</v>
      </c>
      <c r="D37" s="64">
        <v>1500000</v>
      </c>
      <c r="E37" s="64" t="s">
        <v>247</v>
      </c>
      <c r="F37" s="64" t="s">
        <v>330</v>
      </c>
      <c r="G37" s="64">
        <v>3800</v>
      </c>
      <c r="H37" s="64" t="s">
        <v>320</v>
      </c>
      <c r="I37" s="64" t="s">
        <v>332</v>
      </c>
      <c r="J37" s="64">
        <v>1400000</v>
      </c>
      <c r="K37" s="64" t="s">
        <v>333</v>
      </c>
      <c r="L37" s="64">
        <v>3800</v>
      </c>
      <c r="M37" s="64" t="s">
        <v>312</v>
      </c>
      <c r="O37" s="53">
        <f>'[37]Revised 2021-2025 Summary'!R37</f>
        <v>1800000</v>
      </c>
      <c r="P37" s="53">
        <f>'[37]Revised 2021-2025 Summary'!S37</f>
        <v>1440000</v>
      </c>
      <c r="Q37" s="40"/>
      <c r="R37" s="65">
        <f>'[36]2021 capex &amp; dep'!AE37</f>
        <v>200000</v>
      </c>
      <c r="S37" s="53">
        <v>45000</v>
      </c>
      <c r="T37" s="53">
        <v>45000</v>
      </c>
      <c r="U37" s="53">
        <v>90000</v>
      </c>
      <c r="V37" s="53">
        <v>180000</v>
      </c>
      <c r="W37" s="53">
        <v>180000</v>
      </c>
      <c r="X37" s="53">
        <v>180000</v>
      </c>
      <c r="Y37" s="53">
        <v>180000</v>
      </c>
      <c r="Z37" s="53">
        <v>180000</v>
      </c>
      <c r="AA37" s="53">
        <v>90000</v>
      </c>
      <c r="AB37" s="53">
        <v>90000</v>
      </c>
      <c r="AC37" s="53">
        <v>90000</v>
      </c>
      <c r="AD37" s="53">
        <v>90000</v>
      </c>
      <c r="AE37" s="53">
        <f t="shared" si="1"/>
        <v>1440000</v>
      </c>
      <c r="AF37" s="53">
        <f t="shared" si="0"/>
        <v>0</v>
      </c>
      <c r="AG37" s="53"/>
      <c r="AH37" s="53">
        <f>'[37]Revised 2021-2025 Summary'!T37</f>
        <v>1600000</v>
      </c>
      <c r="AI37" s="53">
        <f>'[37]Revised 2021-2025 Summary'!U37</f>
        <v>1750000</v>
      </c>
      <c r="AJ37" s="53">
        <f>'[37]Revised 2021-2025 Summary'!V37</f>
        <v>1900000</v>
      </c>
      <c r="AK37" s="49">
        <f>'[37]dea update '!AL37</f>
        <v>0</v>
      </c>
    </row>
    <row r="38" spans="1:37" ht="14.4" x14ac:dyDescent="0.3">
      <c r="A38" s="64">
        <v>400538</v>
      </c>
      <c r="B38" s="52" t="s">
        <v>335</v>
      </c>
      <c r="C38" s="64" t="s">
        <v>334</v>
      </c>
      <c r="D38" s="64">
        <v>476400</v>
      </c>
      <c r="E38" s="64" t="s">
        <v>247</v>
      </c>
      <c r="F38" s="64" t="s">
        <v>334</v>
      </c>
      <c r="G38" s="64">
        <v>3810</v>
      </c>
      <c r="H38" s="64" t="s">
        <v>306</v>
      </c>
      <c r="I38" s="64" t="s">
        <v>334</v>
      </c>
      <c r="J38" s="64">
        <v>477400</v>
      </c>
      <c r="K38" s="64" t="s">
        <v>336</v>
      </c>
      <c r="L38" s="64">
        <v>3810</v>
      </c>
      <c r="M38" s="64" t="s">
        <v>312</v>
      </c>
      <c r="O38" s="53">
        <f>'[37]Revised 2021-2025 Summary'!R38</f>
        <v>477400</v>
      </c>
      <c r="P38" s="53">
        <f>'[37]Revised 2021-2025 Summary'!S38</f>
        <v>498000</v>
      </c>
      <c r="Q38" s="40"/>
      <c r="R38" s="65">
        <f>'[36]2021 capex &amp; dep'!AE38</f>
        <v>8400</v>
      </c>
      <c r="S38" s="53">
        <v>64700</v>
      </c>
      <c r="T38" s="53">
        <v>10800</v>
      </c>
      <c r="U38" s="53">
        <v>10800</v>
      </c>
      <c r="V38" s="53">
        <v>325800</v>
      </c>
      <c r="W38" s="53">
        <v>10800</v>
      </c>
      <c r="X38" s="53">
        <v>10800</v>
      </c>
      <c r="Y38" s="53">
        <v>10800</v>
      </c>
      <c r="Z38" s="53">
        <v>10800</v>
      </c>
      <c r="AA38" s="53">
        <v>10800</v>
      </c>
      <c r="AB38" s="53">
        <v>10800</v>
      </c>
      <c r="AC38" s="53">
        <v>10800</v>
      </c>
      <c r="AD38" s="53">
        <v>10300</v>
      </c>
      <c r="AE38" s="53">
        <f t="shared" si="1"/>
        <v>498000</v>
      </c>
      <c r="AF38" s="53">
        <f t="shared" si="0"/>
        <v>0</v>
      </c>
      <c r="AG38" s="53"/>
      <c r="AH38" s="53">
        <f>'[37]Revised 2021-2025 Summary'!T38</f>
        <v>500000</v>
      </c>
      <c r="AI38" s="53">
        <f>'[37]Revised 2021-2025 Summary'!U38</f>
        <v>500000</v>
      </c>
      <c r="AJ38" s="53">
        <f>'[37]Revised 2021-2025 Summary'!V38</f>
        <v>500000</v>
      </c>
      <c r="AK38" s="49">
        <f>'[37]dea update '!AL38</f>
        <v>0</v>
      </c>
    </row>
    <row r="39" spans="1:37" ht="14.4" x14ac:dyDescent="0.3">
      <c r="A39" s="64">
        <v>306855</v>
      </c>
      <c r="B39" s="52" t="s">
        <v>338</v>
      </c>
      <c r="C39" s="64" t="s">
        <v>339</v>
      </c>
      <c r="D39" s="64">
        <v>120000</v>
      </c>
      <c r="E39" s="64" t="s">
        <v>247</v>
      </c>
      <c r="F39" s="64" t="s">
        <v>337</v>
      </c>
      <c r="G39" s="64">
        <v>3820</v>
      </c>
      <c r="H39" s="64" t="s">
        <v>306</v>
      </c>
      <c r="I39" s="64" t="s">
        <v>339</v>
      </c>
      <c r="J39" s="64">
        <v>204000</v>
      </c>
      <c r="K39" s="64" t="s">
        <v>340</v>
      </c>
      <c r="L39" s="64">
        <v>3820</v>
      </c>
      <c r="M39" s="64" t="s">
        <v>312</v>
      </c>
      <c r="O39" s="53">
        <f>'[37]Revised 2021-2025 Summary'!R39</f>
        <v>300000</v>
      </c>
      <c r="P39" s="53">
        <f>'[37]Revised 2021-2025 Summary'!S39</f>
        <v>300000</v>
      </c>
      <c r="Q39" s="40"/>
      <c r="R39" s="65">
        <f>'[36]2021 capex &amp; dep'!AE39</f>
        <v>25000</v>
      </c>
      <c r="S39" s="53">
        <f>$P$39/12</f>
        <v>25000</v>
      </c>
      <c r="T39" s="53">
        <f t="shared" ref="T39:AD39" si="2">$P$39/12</f>
        <v>25000</v>
      </c>
      <c r="U39" s="53">
        <f t="shared" si="2"/>
        <v>25000</v>
      </c>
      <c r="V39" s="53">
        <f t="shared" si="2"/>
        <v>25000</v>
      </c>
      <c r="W39" s="53">
        <f t="shared" si="2"/>
        <v>25000</v>
      </c>
      <c r="X39" s="53">
        <f t="shared" si="2"/>
        <v>25000</v>
      </c>
      <c r="Y39" s="53">
        <f t="shared" si="2"/>
        <v>25000</v>
      </c>
      <c r="Z39" s="53">
        <f t="shared" si="2"/>
        <v>25000</v>
      </c>
      <c r="AA39" s="53">
        <f t="shared" si="2"/>
        <v>25000</v>
      </c>
      <c r="AB39" s="53">
        <f t="shared" si="2"/>
        <v>25000</v>
      </c>
      <c r="AC39" s="53">
        <f t="shared" si="2"/>
        <v>25000</v>
      </c>
      <c r="AD39" s="53">
        <f t="shared" si="2"/>
        <v>25000</v>
      </c>
      <c r="AE39" s="53">
        <f t="shared" si="1"/>
        <v>300000</v>
      </c>
      <c r="AF39" s="53">
        <f t="shared" si="0"/>
        <v>0</v>
      </c>
      <c r="AG39" s="53"/>
      <c r="AH39" s="53">
        <f>'[37]Revised 2021-2025 Summary'!T39</f>
        <v>200000</v>
      </c>
      <c r="AI39" s="53">
        <f>'[37]Revised 2021-2025 Summary'!U39</f>
        <v>200000</v>
      </c>
      <c r="AJ39" s="53">
        <f>'[37]Revised 2021-2025 Summary'!V39</f>
        <v>200000</v>
      </c>
      <c r="AK39" s="49">
        <f>'[37]dea update '!AL39</f>
        <v>0</v>
      </c>
    </row>
    <row r="40" spans="1:37" ht="14.4" x14ac:dyDescent="0.3">
      <c r="A40" s="64">
        <v>174269</v>
      </c>
      <c r="B40" s="52" t="s">
        <v>342</v>
      </c>
      <c r="C40" s="64" t="s">
        <v>343</v>
      </c>
      <c r="D40" s="64">
        <v>148500</v>
      </c>
      <c r="E40" s="64" t="s">
        <v>247</v>
      </c>
      <c r="F40" s="64" t="s">
        <v>341</v>
      </c>
      <c r="G40" s="64">
        <v>3830</v>
      </c>
      <c r="H40" s="64" t="s">
        <v>306</v>
      </c>
      <c r="I40" s="64" t="s">
        <v>343</v>
      </c>
      <c r="J40" s="64">
        <v>150800</v>
      </c>
      <c r="K40" s="64" t="s">
        <v>344</v>
      </c>
      <c r="L40" s="64">
        <v>3830</v>
      </c>
      <c r="M40" s="64" t="s">
        <v>312</v>
      </c>
      <c r="O40" s="53">
        <f>'[37]Revised 2021-2025 Summary'!R40</f>
        <v>150800</v>
      </c>
      <c r="P40" s="53">
        <f>'[37]Revised 2021-2025 Summary'!S40</f>
        <v>179300</v>
      </c>
      <c r="Q40" s="40"/>
      <c r="R40" s="65">
        <f>'[36]2021 capex &amp; dep'!AE40</f>
        <v>12200</v>
      </c>
      <c r="S40" s="53">
        <v>15000</v>
      </c>
      <c r="T40" s="53">
        <v>15000</v>
      </c>
      <c r="U40" s="53">
        <v>15000</v>
      </c>
      <c r="V40" s="53">
        <v>15000</v>
      </c>
      <c r="W40" s="53">
        <v>15000</v>
      </c>
      <c r="X40" s="53">
        <v>15000</v>
      </c>
      <c r="Y40" s="53">
        <v>15000</v>
      </c>
      <c r="Z40" s="53">
        <v>15000</v>
      </c>
      <c r="AA40" s="53">
        <v>15000</v>
      </c>
      <c r="AB40" s="53">
        <v>15000</v>
      </c>
      <c r="AC40" s="53">
        <v>15000</v>
      </c>
      <c r="AD40" s="53">
        <v>14300</v>
      </c>
      <c r="AE40" s="53">
        <f t="shared" si="1"/>
        <v>179300</v>
      </c>
      <c r="AF40" s="53">
        <f t="shared" si="0"/>
        <v>0</v>
      </c>
      <c r="AG40" s="53"/>
      <c r="AH40" s="53">
        <f>'[37]Revised 2021-2025 Summary'!T40</f>
        <v>155000</v>
      </c>
      <c r="AI40" s="53">
        <f>'[37]Revised 2021-2025 Summary'!U40</f>
        <v>160000</v>
      </c>
      <c r="AJ40" s="53">
        <f>'[37]Revised 2021-2025 Summary'!V40</f>
        <v>160000</v>
      </c>
      <c r="AK40" s="49">
        <f>'[37]dea update '!AL40</f>
        <v>0</v>
      </c>
    </row>
    <row r="41" spans="1:37" ht="14.4" x14ac:dyDescent="0.3">
      <c r="A41" s="64">
        <v>126122</v>
      </c>
      <c r="B41" s="52" t="s">
        <v>346</v>
      </c>
      <c r="C41" s="64" t="s">
        <v>347</v>
      </c>
      <c r="D41" s="64">
        <v>36000</v>
      </c>
      <c r="E41" s="64" t="s">
        <v>247</v>
      </c>
      <c r="F41" s="64" t="s">
        <v>345</v>
      </c>
      <c r="G41" s="64">
        <v>3850</v>
      </c>
      <c r="H41" s="64" t="s">
        <v>306</v>
      </c>
      <c r="I41" s="64" t="s">
        <v>347</v>
      </c>
      <c r="J41" s="64">
        <v>52000</v>
      </c>
      <c r="K41" s="64" t="s">
        <v>348</v>
      </c>
      <c r="L41" s="64">
        <v>3850</v>
      </c>
      <c r="M41" s="64" t="s">
        <v>312</v>
      </c>
      <c r="O41" s="53">
        <f>'[37]Revised 2021-2025 Summary'!R41</f>
        <v>52000</v>
      </c>
      <c r="P41" s="53">
        <f>'[37]Revised 2021-2025 Summary'!S41</f>
        <v>50000</v>
      </c>
      <c r="Q41" s="40"/>
      <c r="R41" s="65">
        <f>'[36]2021 capex &amp; dep'!AE41</f>
        <v>4700</v>
      </c>
      <c r="S41" s="53">
        <v>4200</v>
      </c>
      <c r="T41" s="53">
        <v>4200</v>
      </c>
      <c r="U41" s="53">
        <v>4200</v>
      </c>
      <c r="V41" s="53">
        <v>4200</v>
      </c>
      <c r="W41" s="53">
        <v>4200</v>
      </c>
      <c r="X41" s="53">
        <v>4200</v>
      </c>
      <c r="Y41" s="53">
        <v>4200</v>
      </c>
      <c r="Z41" s="53">
        <v>4200</v>
      </c>
      <c r="AA41" s="53">
        <v>4200</v>
      </c>
      <c r="AB41" s="53">
        <v>4200</v>
      </c>
      <c r="AC41" s="53">
        <v>4200</v>
      </c>
      <c r="AD41" s="53">
        <v>3800</v>
      </c>
      <c r="AE41" s="53">
        <f t="shared" si="1"/>
        <v>50000</v>
      </c>
      <c r="AF41" s="53">
        <f t="shared" si="0"/>
        <v>0</v>
      </c>
      <c r="AG41" s="53"/>
      <c r="AH41" s="53">
        <f>'[37]Revised 2021-2025 Summary'!T41</f>
        <v>50000</v>
      </c>
      <c r="AI41" s="53">
        <f>'[37]Revised 2021-2025 Summary'!U41</f>
        <v>50000</v>
      </c>
      <c r="AJ41" s="53">
        <f>'[37]Revised 2021-2025 Summary'!V41</f>
        <v>50000</v>
      </c>
      <c r="AK41" s="49">
        <f>'[37]dea update '!AL41</f>
        <v>0</v>
      </c>
    </row>
    <row r="42" spans="1:37" ht="14.4" x14ac:dyDescent="0.3">
      <c r="A42" s="64">
        <v>27082</v>
      </c>
      <c r="B42" s="52" t="s">
        <v>350</v>
      </c>
      <c r="C42" s="64" t="s">
        <v>349</v>
      </c>
      <c r="D42" s="64">
        <v>48000</v>
      </c>
      <c r="E42" s="64" t="s">
        <v>247</v>
      </c>
      <c r="F42" s="64" t="s">
        <v>349</v>
      </c>
      <c r="G42" s="64">
        <v>3940</v>
      </c>
      <c r="H42" s="64" t="s">
        <v>320</v>
      </c>
      <c r="I42" s="64" t="s">
        <v>349</v>
      </c>
      <c r="J42" s="64">
        <v>51200</v>
      </c>
      <c r="K42" s="64" t="s">
        <v>351</v>
      </c>
      <c r="L42" s="64">
        <v>3940</v>
      </c>
      <c r="M42" s="64" t="s">
        <v>352</v>
      </c>
      <c r="O42" s="53">
        <f>'[37]Revised 2021-2025 Summary'!R42</f>
        <v>51200</v>
      </c>
      <c r="P42" s="53">
        <f>'[37]Revised 2021-2025 Summary'!S42</f>
        <v>30000</v>
      </c>
      <c r="Q42" s="40"/>
      <c r="R42" s="65">
        <f>'[36]2021 capex &amp; dep'!AE42</f>
        <v>2500</v>
      </c>
      <c r="S42" s="53">
        <f>$P$42/12</f>
        <v>2500</v>
      </c>
      <c r="T42" s="53">
        <f t="shared" ref="T42:AD42" si="3">$P$42/12</f>
        <v>2500</v>
      </c>
      <c r="U42" s="53">
        <f t="shared" si="3"/>
        <v>2500</v>
      </c>
      <c r="V42" s="53">
        <f t="shared" si="3"/>
        <v>2500</v>
      </c>
      <c r="W42" s="53">
        <f t="shared" si="3"/>
        <v>2500</v>
      </c>
      <c r="X42" s="53">
        <f t="shared" si="3"/>
        <v>2500</v>
      </c>
      <c r="Y42" s="53">
        <f t="shared" si="3"/>
        <v>2500</v>
      </c>
      <c r="Z42" s="53">
        <f t="shared" si="3"/>
        <v>2500</v>
      </c>
      <c r="AA42" s="53">
        <f t="shared" si="3"/>
        <v>2500</v>
      </c>
      <c r="AB42" s="53">
        <f t="shared" si="3"/>
        <v>2500</v>
      </c>
      <c r="AC42" s="53">
        <f t="shared" si="3"/>
        <v>2500</v>
      </c>
      <c r="AD42" s="53">
        <f t="shared" si="3"/>
        <v>2500</v>
      </c>
      <c r="AE42" s="53">
        <f t="shared" si="1"/>
        <v>30000</v>
      </c>
      <c r="AF42" s="53">
        <f t="shared" si="0"/>
        <v>0</v>
      </c>
      <c r="AG42" s="53"/>
      <c r="AH42" s="53">
        <f>'[37]Revised 2021-2025 Summary'!T42</f>
        <v>60000</v>
      </c>
      <c r="AI42" s="53">
        <f>'[37]Revised 2021-2025 Summary'!U42</f>
        <v>65000</v>
      </c>
      <c r="AJ42" s="53">
        <f>'[37]Revised 2021-2025 Summary'!V42</f>
        <v>65000</v>
      </c>
      <c r="AK42" s="49">
        <f>'[37]dea update '!AL42</f>
        <v>0</v>
      </c>
    </row>
    <row r="43" spans="1:37" ht="16.2" x14ac:dyDescent="0.45">
      <c r="A43" s="54">
        <v>87971</v>
      </c>
      <c r="B43" s="52" t="s">
        <v>354</v>
      </c>
      <c r="C43" s="64" t="s">
        <v>355</v>
      </c>
      <c r="D43" s="54">
        <v>146900</v>
      </c>
      <c r="E43" s="54" t="s">
        <v>247</v>
      </c>
      <c r="F43" s="54" t="s">
        <v>353</v>
      </c>
      <c r="G43" s="54">
        <v>3960</v>
      </c>
      <c r="H43" s="54" t="s">
        <v>320</v>
      </c>
      <c r="I43" s="54" t="s">
        <v>355</v>
      </c>
      <c r="J43" s="54">
        <v>252200</v>
      </c>
      <c r="K43" s="54" t="s">
        <v>356</v>
      </c>
      <c r="L43" s="54">
        <v>3960</v>
      </c>
      <c r="M43" s="54" t="s">
        <v>352</v>
      </c>
      <c r="N43" s="54"/>
      <c r="O43" s="55">
        <f>'[37]Revised 2021-2025 Summary'!R43</f>
        <v>614200</v>
      </c>
      <c r="P43" s="55">
        <f>'[37]Revised 2021-2025 Summary'!S43</f>
        <v>213200</v>
      </c>
      <c r="Q43" s="40"/>
      <c r="R43" s="65">
        <f>'[36]2021 capex &amp; dep'!AE43</f>
        <v>4600</v>
      </c>
      <c r="S43" s="55">
        <v>4600</v>
      </c>
      <c r="T43" s="55">
        <v>4600</v>
      </c>
      <c r="U43" s="55">
        <v>52600</v>
      </c>
      <c r="V43" s="55">
        <v>4600</v>
      </c>
      <c r="W43" s="55">
        <v>4600</v>
      </c>
      <c r="X43" s="55">
        <v>4600</v>
      </c>
      <c r="Y43" s="55">
        <v>4600</v>
      </c>
      <c r="Z43" s="55">
        <v>4600</v>
      </c>
      <c r="AA43" s="55">
        <v>4600</v>
      </c>
      <c r="AB43" s="55">
        <v>4600</v>
      </c>
      <c r="AC43" s="55">
        <v>114600</v>
      </c>
      <c r="AD43" s="55">
        <v>4600</v>
      </c>
      <c r="AE43" s="55">
        <f t="shared" si="1"/>
        <v>213200</v>
      </c>
      <c r="AF43" s="55">
        <f t="shared" si="0"/>
        <v>0</v>
      </c>
      <c r="AG43" s="53"/>
      <c r="AH43" s="55">
        <f>'[37]Revised 2021-2025 Summary'!T43</f>
        <v>300000</v>
      </c>
      <c r="AI43" s="55">
        <f>'[37]Revised 2021-2025 Summary'!U43</f>
        <v>300000</v>
      </c>
      <c r="AJ43" s="55">
        <f>'[37]Revised 2021-2025 Summary'!V43</f>
        <v>300000</v>
      </c>
      <c r="AK43" s="54">
        <f>'[37]dea update '!AL43</f>
        <v>0</v>
      </c>
    </row>
    <row r="44" spans="1:37" ht="14.4" x14ac:dyDescent="0.3">
      <c r="A44" s="64">
        <f>SUM(A5:A43)</f>
        <v>13221445</v>
      </c>
      <c r="D44" s="64">
        <f>SUM(D5:D43)</f>
        <v>15348600</v>
      </c>
      <c r="E44" s="64" t="s">
        <v>357</v>
      </c>
      <c r="F44" s="64" t="s">
        <v>358</v>
      </c>
      <c r="G44" s="64" t="s">
        <v>359</v>
      </c>
      <c r="H44" s="64" t="s">
        <v>360</v>
      </c>
      <c r="J44" s="64">
        <f>SUM(J5:J43)</f>
        <v>18535700</v>
      </c>
      <c r="K44" s="64" t="s">
        <v>176</v>
      </c>
      <c r="M44" s="64" t="s">
        <v>177</v>
      </c>
      <c r="O44" s="64">
        <f t="shared" ref="O44:AK44" si="4">SUM(O5:O43)</f>
        <v>18508300</v>
      </c>
      <c r="P44" s="64">
        <f t="shared" si="4"/>
        <v>17243704</v>
      </c>
      <c r="Q44" s="40"/>
      <c r="R44" s="64">
        <f t="shared" si="4"/>
        <v>2286450</v>
      </c>
      <c r="S44" s="64">
        <f t="shared" si="4"/>
        <v>575766</v>
      </c>
      <c r="T44" s="64">
        <f t="shared" si="4"/>
        <v>530366</v>
      </c>
      <c r="U44" s="64">
        <f t="shared" si="4"/>
        <v>896366</v>
      </c>
      <c r="V44" s="64">
        <f t="shared" si="4"/>
        <v>1969966</v>
      </c>
      <c r="W44" s="64">
        <f t="shared" si="4"/>
        <v>2484166</v>
      </c>
      <c r="X44" s="64">
        <f t="shared" si="4"/>
        <v>2274566</v>
      </c>
      <c r="Y44" s="64">
        <f t="shared" si="4"/>
        <v>2266866</v>
      </c>
      <c r="Z44" s="64">
        <f t="shared" si="4"/>
        <v>1487666</v>
      </c>
      <c r="AA44" s="64">
        <f t="shared" si="4"/>
        <v>1254666</v>
      </c>
      <c r="AB44" s="64">
        <f t="shared" si="4"/>
        <v>1292666</v>
      </c>
      <c r="AC44" s="64">
        <f t="shared" si="4"/>
        <v>1295566</v>
      </c>
      <c r="AD44" s="64">
        <f t="shared" si="4"/>
        <v>915078</v>
      </c>
      <c r="AE44" s="64">
        <f t="shared" si="4"/>
        <v>17243704</v>
      </c>
      <c r="AF44" s="64">
        <f t="shared" si="4"/>
        <v>0</v>
      </c>
      <c r="AG44" s="53"/>
      <c r="AH44" s="64">
        <f t="shared" si="4"/>
        <v>15562500</v>
      </c>
      <c r="AI44" s="64">
        <f t="shared" si="4"/>
        <v>14125400</v>
      </c>
      <c r="AJ44" s="64">
        <f t="shared" si="4"/>
        <v>14861900</v>
      </c>
      <c r="AK44" s="64">
        <f t="shared" si="4"/>
        <v>1159000</v>
      </c>
    </row>
    <row r="45" spans="1:37" s="54" customFormat="1" ht="16.2" x14ac:dyDescent="0.45">
      <c r="A45" s="54">
        <v>13221447</v>
      </c>
      <c r="D45" s="54">
        <v>15348600</v>
      </c>
      <c r="J45" s="54">
        <v>18535700</v>
      </c>
      <c r="Q45" s="40"/>
      <c r="R45" s="58" t="s">
        <v>362</v>
      </c>
      <c r="S45" s="54">
        <f>'[36]PKY 2021 Capex'!D38</f>
        <v>35820</v>
      </c>
      <c r="T45" s="54">
        <f>'[36]PKY 2021 Capex'!E38</f>
        <v>43770</v>
      </c>
      <c r="U45" s="54">
        <f>'[36]PKY 2021 Capex'!F38</f>
        <v>28390</v>
      </c>
      <c r="V45" s="54">
        <f>'[36]PKY 2021 Capex'!G38</f>
        <v>21210</v>
      </c>
      <c r="W45" s="54">
        <f>'[36]PKY 2021 Capex'!H38</f>
        <v>43980</v>
      </c>
      <c r="X45" s="54">
        <f>'[36]PKY 2021 Capex'!I38</f>
        <v>45330</v>
      </c>
      <c r="Y45" s="54">
        <f>'[36]PKY 2021 Capex'!J38</f>
        <v>21500</v>
      </c>
      <c r="Z45" s="54">
        <f>'[36]PKY 2021 Capex'!K38</f>
        <v>16840</v>
      </c>
      <c r="AA45" s="54">
        <f>'[36]PKY 2021 Capex'!L38</f>
        <v>19500</v>
      </c>
      <c r="AB45" s="54">
        <f>'[36]PKY 2021 Capex'!M38</f>
        <v>31400</v>
      </c>
      <c r="AC45" s="54">
        <f>'[36]PKY 2021 Capex'!N38</f>
        <v>13160</v>
      </c>
      <c r="AD45" s="54">
        <f>'[36]PKY 2021 Capex'!O38</f>
        <v>47630</v>
      </c>
      <c r="AE45" s="55">
        <f t="shared" si="1"/>
        <v>368530</v>
      </c>
      <c r="AF45" s="54">
        <f>AE44+AE45</f>
        <v>17612234</v>
      </c>
      <c r="AG45" s="53"/>
      <c r="AH45" s="66" t="s">
        <v>384</v>
      </c>
      <c r="AI45" s="40"/>
    </row>
    <row r="46" spans="1:37" s="57" customFormat="1" ht="16.2" x14ac:dyDescent="0.45">
      <c r="A46" s="57">
        <f>+A44-A45</f>
        <v>-2</v>
      </c>
      <c r="D46" s="57">
        <f>+D44-D45</f>
        <v>0</v>
      </c>
      <c r="J46" s="57">
        <f>+J44-J45</f>
        <v>0</v>
      </c>
      <c r="P46" s="67" t="s">
        <v>385</v>
      </c>
      <c r="Q46" s="40"/>
      <c r="R46" s="68">
        <f>'[36]2021 capex &amp; dep'!AE48</f>
        <v>293472610.56</v>
      </c>
      <c r="S46" s="49">
        <f>S44+S45+R48</f>
        <v>294084196.56</v>
      </c>
      <c r="T46" s="49">
        <f t="shared" ref="T46:AD46" si="5">T44+T45+S48</f>
        <v>294530017.06</v>
      </c>
      <c r="U46" s="49">
        <f t="shared" si="5"/>
        <v>295326457.56</v>
      </c>
      <c r="V46" s="49">
        <f t="shared" si="5"/>
        <v>297189318.06</v>
      </c>
      <c r="W46" s="49">
        <f t="shared" si="5"/>
        <v>299589148.56</v>
      </c>
      <c r="X46" s="49">
        <f t="shared" si="5"/>
        <v>301780729.06</v>
      </c>
      <c r="Y46" s="49">
        <f t="shared" si="5"/>
        <v>303940779.56</v>
      </c>
      <c r="Z46" s="49">
        <f t="shared" si="5"/>
        <v>305316970.06</v>
      </c>
      <c r="AA46" s="49">
        <f t="shared" si="5"/>
        <v>306462820.56</v>
      </c>
      <c r="AB46" s="49">
        <f t="shared" si="5"/>
        <v>307658571.06</v>
      </c>
      <c r="AC46" s="49">
        <f t="shared" si="5"/>
        <v>308838981.56</v>
      </c>
      <c r="AD46" s="49">
        <f t="shared" si="5"/>
        <v>309673374.06</v>
      </c>
      <c r="AE46" s="49">
        <f>SUM(R46:AD46)</f>
        <v>3917863974.2799997</v>
      </c>
      <c r="AF46" s="64">
        <f>AE46/13</f>
        <v>301374151.86769229</v>
      </c>
      <c r="AG46" s="53"/>
      <c r="AH46" s="49">
        <f>SUM(S46:AD46)</f>
        <v>3624391363.7199998</v>
      </c>
      <c r="AI46" s="40"/>
    </row>
    <row r="47" spans="1:37" ht="16.2" x14ac:dyDescent="0.45">
      <c r="Q47" s="64" t="s">
        <v>364</v>
      </c>
      <c r="S47" s="60">
        <f>-1539786/12</f>
        <v>-128315.5</v>
      </c>
      <c r="T47" s="60">
        <f t="shared" ref="T47:AD47" si="6">-1539786/12</f>
        <v>-128315.5</v>
      </c>
      <c r="U47" s="60">
        <f t="shared" si="6"/>
        <v>-128315.5</v>
      </c>
      <c r="V47" s="60">
        <f t="shared" si="6"/>
        <v>-128315.5</v>
      </c>
      <c r="W47" s="60">
        <f t="shared" si="6"/>
        <v>-128315.5</v>
      </c>
      <c r="X47" s="60">
        <f t="shared" si="6"/>
        <v>-128315.5</v>
      </c>
      <c r="Y47" s="60">
        <f t="shared" si="6"/>
        <v>-128315.5</v>
      </c>
      <c r="Z47" s="60">
        <f t="shared" si="6"/>
        <v>-128315.5</v>
      </c>
      <c r="AA47" s="60">
        <f t="shared" si="6"/>
        <v>-128315.5</v>
      </c>
      <c r="AB47" s="60">
        <f t="shared" si="6"/>
        <v>-128315.5</v>
      </c>
      <c r="AC47" s="60">
        <f t="shared" si="6"/>
        <v>-128315.5</v>
      </c>
      <c r="AD47" s="60">
        <f t="shared" si="6"/>
        <v>-128315.5</v>
      </c>
      <c r="AE47" s="54">
        <f>SUM(E47:AD47)</f>
        <v>-1539786</v>
      </c>
      <c r="AF47" s="60">
        <f>AE47/13</f>
        <v>-118445.07692307692</v>
      </c>
      <c r="AI47" s="40"/>
    </row>
    <row r="48" spans="1:37" ht="14.4" x14ac:dyDescent="0.3">
      <c r="R48" s="64">
        <f>R46</f>
        <v>293472610.56</v>
      </c>
      <c r="S48" s="64">
        <f>S46+S47</f>
        <v>293955881.06</v>
      </c>
      <c r="T48" s="64">
        <f t="shared" ref="T48:AD48" si="7">T46+T47</f>
        <v>294401701.56</v>
      </c>
      <c r="U48" s="64">
        <f t="shared" si="7"/>
        <v>295198142.06</v>
      </c>
      <c r="V48" s="64">
        <f t="shared" si="7"/>
        <v>297061002.56</v>
      </c>
      <c r="W48" s="64">
        <f t="shared" si="7"/>
        <v>299460833.06</v>
      </c>
      <c r="X48" s="64">
        <f t="shared" si="7"/>
        <v>301652413.56</v>
      </c>
      <c r="Y48" s="64">
        <f t="shared" si="7"/>
        <v>303812464.06</v>
      </c>
      <c r="Z48" s="64">
        <f t="shared" si="7"/>
        <v>305188654.56</v>
      </c>
      <c r="AA48" s="64">
        <f t="shared" si="7"/>
        <v>306334505.06</v>
      </c>
      <c r="AB48" s="64">
        <f t="shared" si="7"/>
        <v>307530255.56</v>
      </c>
      <c r="AC48" s="64">
        <f t="shared" si="7"/>
        <v>308710666.06</v>
      </c>
      <c r="AD48" s="64">
        <f t="shared" si="7"/>
        <v>309545058.56</v>
      </c>
      <c r="AE48" s="49">
        <f>SUM(R48:AD48)</f>
        <v>3916324188.2799997</v>
      </c>
      <c r="AF48" s="64">
        <f>AE48/13</f>
        <v>301255706.79076922</v>
      </c>
    </row>
    <row r="50" spans="15:32" ht="14.4" x14ac:dyDescent="0.3">
      <c r="P50" s="69" t="s">
        <v>386</v>
      </c>
      <c r="Q50" s="70" t="s">
        <v>387</v>
      </c>
      <c r="R50" s="64">
        <f>'[36]2021 capex &amp; dep'!AG48</f>
        <v>283854710.06461537</v>
      </c>
      <c r="S50" s="64">
        <f>S48</f>
        <v>293955881.06</v>
      </c>
      <c r="T50" s="64">
        <f t="shared" ref="T50:AD50" si="8">T48</f>
        <v>294401701.56</v>
      </c>
      <c r="U50" s="64">
        <f t="shared" si="8"/>
        <v>295198142.06</v>
      </c>
      <c r="V50" s="64">
        <f t="shared" si="8"/>
        <v>297061002.56</v>
      </c>
      <c r="W50" s="64">
        <f t="shared" si="8"/>
        <v>299460833.06</v>
      </c>
      <c r="X50" s="64">
        <f t="shared" si="8"/>
        <v>301652413.56</v>
      </c>
      <c r="Y50" s="64">
        <f t="shared" si="8"/>
        <v>303812464.06</v>
      </c>
      <c r="Z50" s="64">
        <f t="shared" si="8"/>
        <v>305188654.56</v>
      </c>
      <c r="AA50" s="64">
        <f t="shared" si="8"/>
        <v>306334505.06</v>
      </c>
      <c r="AB50" s="64">
        <f t="shared" si="8"/>
        <v>307530255.56</v>
      </c>
      <c r="AC50" s="64">
        <f t="shared" si="8"/>
        <v>308710666.06</v>
      </c>
      <c r="AD50" s="64">
        <f t="shared" si="8"/>
        <v>309545058.56</v>
      </c>
      <c r="AE50" s="49">
        <f>SUM(R50:AD50)</f>
        <v>3906706287.784615</v>
      </c>
      <c r="AF50" s="64">
        <f>AE50/13</f>
        <v>300515868.29112422</v>
      </c>
    </row>
    <row r="54" spans="15:32" ht="14.4" x14ac:dyDescent="0.3">
      <c r="P54" s="63" t="s">
        <v>388</v>
      </c>
      <c r="R54" s="64">
        <f>'[36]2021 capex &amp; dep'!AE55</f>
        <v>-123935778.60459518</v>
      </c>
      <c r="S54" s="64">
        <f>R57</f>
        <v>-123935778.60459518</v>
      </c>
      <c r="T54" s="64">
        <f>S57</f>
        <v>-124576125.59814306</v>
      </c>
      <c r="U54" s="64">
        <f t="shared" ref="U54:AD54" si="9">T57</f>
        <v>-125217637.85490879</v>
      </c>
      <c r="V54" s="64">
        <f t="shared" si="9"/>
        <v>-125861231.80782773</v>
      </c>
      <c r="W54" s="64">
        <f t="shared" si="9"/>
        <v>-126509694.81190211</v>
      </c>
      <c r="X54" s="64">
        <f t="shared" si="9"/>
        <v>-127164430.37233211</v>
      </c>
      <c r="Y54" s="64">
        <f t="shared" si="9"/>
        <v>-127824894.17573351</v>
      </c>
      <c r="Z54" s="64">
        <f t="shared" si="9"/>
        <v>-128491003.81057686</v>
      </c>
      <c r="AA54" s="64">
        <f t="shared" si="9"/>
        <v>-129160710.46298763</v>
      </c>
      <c r="AB54" s="64">
        <f t="shared" si="9"/>
        <v>-129833412.08184972</v>
      </c>
      <c r="AC54" s="64">
        <f t="shared" si="9"/>
        <v>-130509239.09327538</v>
      </c>
      <c r="AD54" s="64">
        <f t="shared" si="9"/>
        <v>-131188151.40234354</v>
      </c>
      <c r="AE54" s="49">
        <f>SUM(R54:AD54)</f>
        <v>-1654208088.6810708</v>
      </c>
      <c r="AF54" s="64">
        <f>AE54/13</f>
        <v>-127246776.05239007</v>
      </c>
    </row>
    <row r="55" spans="15:32" ht="14.4" x14ac:dyDescent="0.3">
      <c r="P55" s="59" t="s">
        <v>366</v>
      </c>
      <c r="S55" s="64">
        <f>-'[36]Sch 4 - Dep Exp'!$BD$91*(S46/$AH$46)</f>
        <v>-768662.49354787904</v>
      </c>
      <c r="T55" s="64">
        <f>-'[36]Sch 4 - Dep Exp'!$BD$91*(T46/$AH$46)</f>
        <v>-769827.75676573743</v>
      </c>
      <c r="U55" s="64">
        <f>-'[36]Sch 4 - Dep Exp'!$BD$91*(U46/$AH$46)</f>
        <v>-771909.4529189259</v>
      </c>
      <c r="V55" s="64">
        <f>-'[36]Sch 4 - Dep Exp'!$BD$91*(V46/$AH$46)</f>
        <v>-776778.50407438213</v>
      </c>
      <c r="W55" s="64">
        <f>-'[36]Sch 4 - Dep Exp'!$BD$91*(W46/$AH$46)</f>
        <v>-783051.06043001032</v>
      </c>
      <c r="X55" s="64">
        <f>-'[36]Sch 4 - Dep Exp'!$BD$91*(X46/$AH$46)</f>
        <v>-788779.30340139766</v>
      </c>
      <c r="Y55" s="64">
        <f>-'[36]Sch 4 - Dep Exp'!$BD$91*(Y46/$AH$46)</f>
        <v>-794425.13484334864</v>
      </c>
      <c r="Z55" s="64">
        <f>-'[36]Sch 4 - Dep Exp'!$BD$91*(Z46/$AH$46)</f>
        <v>-798022.15241076867</v>
      </c>
      <c r="AA55" s="64">
        <f>-'[36]Sch 4 - Dep Exp'!$BD$91*(AA46/$AH$46)</f>
        <v>-801017.11886209715</v>
      </c>
      <c r="AB55" s="64">
        <f>-'[36]Sch 4 - Dep Exp'!$BD$91*(AB46/$AH$46)</f>
        <v>-804142.51142566383</v>
      </c>
      <c r="AC55" s="64">
        <f>-'[36]Sch 4 - Dep Exp'!$BD$91*(AC46/$AH$46)</f>
        <v>-807227.80906815373</v>
      </c>
      <c r="AD55" s="64">
        <f>-'[36]Sch 4 - Dep Exp'!$BD$91*(AD46/$AH$46)</f>
        <v>-809408.70225163619</v>
      </c>
      <c r="AE55" s="49">
        <f>SUM(R55:AD55)</f>
        <v>-9473252</v>
      </c>
      <c r="AF55" s="64">
        <f>AE55/13</f>
        <v>-728711.69230769225</v>
      </c>
    </row>
    <row r="56" spans="15:32" ht="16.2" x14ac:dyDescent="0.45">
      <c r="P56" s="59" t="s">
        <v>364</v>
      </c>
      <c r="S56" s="60">
        <f>-S47</f>
        <v>128315.5</v>
      </c>
      <c r="T56" s="60">
        <f t="shared" ref="T56:AD56" si="10">-T47</f>
        <v>128315.5</v>
      </c>
      <c r="U56" s="60">
        <f t="shared" si="10"/>
        <v>128315.5</v>
      </c>
      <c r="V56" s="60">
        <f t="shared" si="10"/>
        <v>128315.5</v>
      </c>
      <c r="W56" s="60">
        <f t="shared" si="10"/>
        <v>128315.5</v>
      </c>
      <c r="X56" s="60">
        <f t="shared" si="10"/>
        <v>128315.5</v>
      </c>
      <c r="Y56" s="60">
        <f t="shared" si="10"/>
        <v>128315.5</v>
      </c>
      <c r="Z56" s="60">
        <f t="shared" si="10"/>
        <v>128315.5</v>
      </c>
      <c r="AA56" s="60">
        <f t="shared" si="10"/>
        <v>128315.5</v>
      </c>
      <c r="AB56" s="60">
        <f t="shared" si="10"/>
        <v>128315.5</v>
      </c>
      <c r="AC56" s="60">
        <f t="shared" si="10"/>
        <v>128315.5</v>
      </c>
      <c r="AD56" s="60">
        <f t="shared" si="10"/>
        <v>128315.5</v>
      </c>
      <c r="AE56" s="54">
        <f>SUM(R56:AD56)</f>
        <v>1539786</v>
      </c>
      <c r="AF56" s="60">
        <f>AE56/13</f>
        <v>118445.07692307692</v>
      </c>
    </row>
    <row r="57" spans="15:32" ht="14.4" x14ac:dyDescent="0.3">
      <c r="P57" s="71" t="s">
        <v>389</v>
      </c>
      <c r="R57" s="64">
        <f>SUM(R54:R56)</f>
        <v>-123935778.60459518</v>
      </c>
      <c r="S57" s="64">
        <f>SUM(S54:S56)</f>
        <v>-124576125.59814306</v>
      </c>
      <c r="T57" s="64">
        <f t="shared" ref="T57:AC57" si="11">SUM(T54:T56)</f>
        <v>-125217637.85490879</v>
      </c>
      <c r="U57" s="64">
        <f t="shared" si="11"/>
        <v>-125861231.80782773</v>
      </c>
      <c r="V57" s="64">
        <f t="shared" si="11"/>
        <v>-126509694.81190211</v>
      </c>
      <c r="W57" s="64">
        <f t="shared" si="11"/>
        <v>-127164430.37233211</v>
      </c>
      <c r="X57" s="64">
        <f t="shared" si="11"/>
        <v>-127824894.17573351</v>
      </c>
      <c r="Y57" s="64">
        <f t="shared" si="11"/>
        <v>-128491003.81057686</v>
      </c>
      <c r="Z57" s="64">
        <f t="shared" si="11"/>
        <v>-129160710.46298763</v>
      </c>
      <c r="AA57" s="64">
        <f t="shared" si="11"/>
        <v>-129833412.08184972</v>
      </c>
      <c r="AB57" s="64">
        <f t="shared" si="11"/>
        <v>-130509239.09327538</v>
      </c>
      <c r="AC57" s="64">
        <f t="shared" si="11"/>
        <v>-131188151.40234354</v>
      </c>
      <c r="AD57" s="64">
        <f>SUM(AD54:AD56)</f>
        <v>-131869244.60459518</v>
      </c>
      <c r="AE57" s="49">
        <f>SUM(R57:AD57)</f>
        <v>-1662141554.6810708</v>
      </c>
      <c r="AF57" s="64">
        <f>AE57/13</f>
        <v>-127857042.66777468</v>
      </c>
    </row>
    <row r="59" spans="15:32" ht="14.4" x14ac:dyDescent="0.3">
      <c r="O59" s="34" t="s">
        <v>150</v>
      </c>
      <c r="R59" s="64">
        <f>'[36]2021 capex &amp; dep'!AE57</f>
        <v>604905.27461538452</v>
      </c>
      <c r="S59" s="64">
        <f>R59</f>
        <v>604905.27461538452</v>
      </c>
      <c r="T59" s="64">
        <f t="shared" ref="T59:AD59" si="12">S59</f>
        <v>604905.27461538452</v>
      </c>
      <c r="U59" s="64">
        <f t="shared" si="12"/>
        <v>604905.27461538452</v>
      </c>
      <c r="V59" s="64">
        <f t="shared" si="12"/>
        <v>604905.27461538452</v>
      </c>
      <c r="W59" s="64">
        <f t="shared" si="12"/>
        <v>604905.27461538452</v>
      </c>
      <c r="X59" s="64">
        <f t="shared" si="12"/>
        <v>604905.27461538452</v>
      </c>
      <c r="Y59" s="64">
        <f t="shared" si="12"/>
        <v>604905.27461538452</v>
      </c>
      <c r="Z59" s="64">
        <f t="shared" si="12"/>
        <v>604905.27461538452</v>
      </c>
      <c r="AA59" s="64">
        <f t="shared" si="12"/>
        <v>604905.27461538452</v>
      </c>
      <c r="AB59" s="64">
        <f t="shared" si="12"/>
        <v>604905.27461538452</v>
      </c>
      <c r="AC59" s="64">
        <f t="shared" si="12"/>
        <v>604905.27461538452</v>
      </c>
      <c r="AD59" s="64">
        <f t="shared" si="12"/>
        <v>604905.27461538452</v>
      </c>
      <c r="AE59" s="49">
        <f>SUM(R59:AD59)</f>
        <v>7863768.5699999994</v>
      </c>
    </row>
    <row r="60" spans="15:32" ht="14.4" x14ac:dyDescent="0.3">
      <c r="O60" s="34" t="s">
        <v>152</v>
      </c>
      <c r="R60" s="64">
        <f>'[36]2021 capex &amp; dep'!AE58</f>
        <v>1072740.6115384614</v>
      </c>
      <c r="S60" s="64">
        <f t="shared" ref="S60:AD66" si="13">R60</f>
        <v>1072740.6115384614</v>
      </c>
      <c r="T60" s="64">
        <f t="shared" si="13"/>
        <v>1072740.6115384614</v>
      </c>
      <c r="U60" s="64">
        <f t="shared" si="13"/>
        <v>1072740.6115384614</v>
      </c>
      <c r="V60" s="64">
        <f t="shared" si="13"/>
        <v>1072740.6115384614</v>
      </c>
      <c r="W60" s="64">
        <f t="shared" si="13"/>
        <v>1072740.6115384614</v>
      </c>
      <c r="X60" s="64">
        <f t="shared" si="13"/>
        <v>1072740.6115384614</v>
      </c>
      <c r="Y60" s="64">
        <f t="shared" si="13"/>
        <v>1072740.6115384614</v>
      </c>
      <c r="Z60" s="64">
        <f t="shared" si="13"/>
        <v>1072740.6115384614</v>
      </c>
      <c r="AA60" s="64">
        <f t="shared" si="13"/>
        <v>1072740.6115384614</v>
      </c>
      <c r="AB60" s="64">
        <f t="shared" si="13"/>
        <v>1072740.6115384614</v>
      </c>
      <c r="AC60" s="64">
        <f t="shared" si="13"/>
        <v>1072740.6115384614</v>
      </c>
      <c r="AD60" s="64">
        <f t="shared" si="13"/>
        <v>1072740.6115384614</v>
      </c>
      <c r="AE60" s="49">
        <f t="shared" ref="AE60:AE67" si="14">SUM(R60:AD60)</f>
        <v>13945627.950000003</v>
      </c>
    </row>
    <row r="61" spans="15:32" ht="14.4" x14ac:dyDescent="0.3">
      <c r="O61" s="34"/>
      <c r="R61" s="64">
        <f>'[36]2021 capex &amp; dep'!AE59</f>
        <v>0</v>
      </c>
      <c r="S61" s="64">
        <f t="shared" si="13"/>
        <v>0</v>
      </c>
      <c r="T61" s="64">
        <f t="shared" si="13"/>
        <v>0</v>
      </c>
      <c r="U61" s="64">
        <f t="shared" si="13"/>
        <v>0</v>
      </c>
      <c r="V61" s="64">
        <f t="shared" si="13"/>
        <v>0</v>
      </c>
      <c r="W61" s="64">
        <f t="shared" si="13"/>
        <v>0</v>
      </c>
      <c r="X61" s="64">
        <f t="shared" si="13"/>
        <v>0</v>
      </c>
      <c r="Y61" s="64">
        <f t="shared" si="13"/>
        <v>0</v>
      </c>
      <c r="Z61" s="64">
        <f t="shared" si="13"/>
        <v>0</v>
      </c>
      <c r="AA61" s="64">
        <f t="shared" si="13"/>
        <v>0</v>
      </c>
      <c r="AB61" s="64">
        <f t="shared" si="13"/>
        <v>0</v>
      </c>
      <c r="AC61" s="64">
        <f t="shared" si="13"/>
        <v>0</v>
      </c>
      <c r="AD61" s="64">
        <f t="shared" si="13"/>
        <v>0</v>
      </c>
      <c r="AE61" s="49">
        <f t="shared" si="14"/>
        <v>0</v>
      </c>
    </row>
    <row r="62" spans="15:32" ht="14.4" x14ac:dyDescent="0.3">
      <c r="O62" s="34" t="s">
        <v>153</v>
      </c>
      <c r="R62" s="64">
        <f>'[36]2021 capex &amp; dep'!AE60</f>
        <v>1143702.0207692308</v>
      </c>
      <c r="S62" s="64">
        <f t="shared" si="13"/>
        <v>1143702.0207692308</v>
      </c>
      <c r="T62" s="64">
        <f t="shared" si="13"/>
        <v>1143702.0207692308</v>
      </c>
      <c r="U62" s="64">
        <f t="shared" si="13"/>
        <v>1143702.0207692308</v>
      </c>
      <c r="V62" s="64">
        <f t="shared" si="13"/>
        <v>1143702.0207692308</v>
      </c>
      <c r="W62" s="64">
        <f t="shared" si="13"/>
        <v>1143702.0207692308</v>
      </c>
      <c r="X62" s="64">
        <f t="shared" si="13"/>
        <v>1143702.0207692308</v>
      </c>
      <c r="Y62" s="64">
        <f t="shared" si="13"/>
        <v>1143702.0207692308</v>
      </c>
      <c r="Z62" s="64">
        <f t="shared" si="13"/>
        <v>1143702.0207692308</v>
      </c>
      <c r="AA62" s="64">
        <f t="shared" si="13"/>
        <v>1143702.0207692308</v>
      </c>
      <c r="AB62" s="64">
        <f t="shared" si="13"/>
        <v>1143702.0207692308</v>
      </c>
      <c r="AC62" s="64">
        <f t="shared" si="13"/>
        <v>1143702.0207692308</v>
      </c>
      <c r="AD62" s="64">
        <f t="shared" si="13"/>
        <v>1143702.0207692308</v>
      </c>
      <c r="AE62" s="49">
        <f t="shared" si="14"/>
        <v>14868126.270000001</v>
      </c>
    </row>
    <row r="63" spans="15:32" ht="14.4" x14ac:dyDescent="0.3">
      <c r="O63" s="34" t="s">
        <v>154</v>
      </c>
      <c r="R63" s="64">
        <f>'[36]2021 capex &amp; dep'!AE61</f>
        <v>1747660.73</v>
      </c>
      <c r="S63" s="64">
        <f t="shared" si="13"/>
        <v>1747660.73</v>
      </c>
      <c r="T63" s="64">
        <f t="shared" si="13"/>
        <v>1747660.73</v>
      </c>
      <c r="U63" s="64">
        <f t="shared" si="13"/>
        <v>1747660.73</v>
      </c>
      <c r="V63" s="64">
        <f t="shared" si="13"/>
        <v>1747660.73</v>
      </c>
      <c r="W63" s="64">
        <f t="shared" si="13"/>
        <v>1747660.73</v>
      </c>
      <c r="X63" s="64">
        <f t="shared" si="13"/>
        <v>1747660.73</v>
      </c>
      <c r="Y63" s="64">
        <f t="shared" si="13"/>
        <v>1747660.73</v>
      </c>
      <c r="Z63" s="64">
        <f t="shared" si="13"/>
        <v>1747660.73</v>
      </c>
      <c r="AA63" s="64">
        <f t="shared" si="13"/>
        <v>1747660.73</v>
      </c>
      <c r="AB63" s="64">
        <f t="shared" si="13"/>
        <v>1747660.73</v>
      </c>
      <c r="AC63" s="64">
        <f t="shared" si="13"/>
        <v>1747660.73</v>
      </c>
      <c r="AD63" s="64">
        <f t="shared" si="13"/>
        <v>1747660.73</v>
      </c>
      <c r="AE63" s="49">
        <f t="shared" si="14"/>
        <v>22719589.490000002</v>
      </c>
    </row>
    <row r="64" spans="15:32" ht="14.4" x14ac:dyDescent="0.3">
      <c r="O64" s="34" t="s">
        <v>156</v>
      </c>
      <c r="R64" s="64">
        <f>'[36]2021 capex &amp; dep'!AE62</f>
        <v>2000868.7136554644</v>
      </c>
      <c r="S64" s="64">
        <f t="shared" si="13"/>
        <v>2000868.7136554644</v>
      </c>
      <c r="T64" s="64">
        <f t="shared" si="13"/>
        <v>2000868.7136554644</v>
      </c>
      <c r="U64" s="64">
        <f t="shared" si="13"/>
        <v>2000868.7136554644</v>
      </c>
      <c r="V64" s="64">
        <f t="shared" si="13"/>
        <v>2000868.7136554644</v>
      </c>
      <c r="W64" s="64">
        <f t="shared" si="13"/>
        <v>2000868.7136554644</v>
      </c>
      <c r="X64" s="64">
        <f t="shared" si="13"/>
        <v>2000868.7136554644</v>
      </c>
      <c r="Y64" s="64">
        <f t="shared" si="13"/>
        <v>2000868.7136554644</v>
      </c>
      <c r="Z64" s="64">
        <f t="shared" si="13"/>
        <v>2000868.7136554644</v>
      </c>
      <c r="AA64" s="64">
        <f t="shared" si="13"/>
        <v>2000868.7136554644</v>
      </c>
      <c r="AB64" s="64">
        <f t="shared" si="13"/>
        <v>2000868.7136554644</v>
      </c>
      <c r="AC64" s="64">
        <f t="shared" si="13"/>
        <v>2000868.7136554644</v>
      </c>
      <c r="AD64" s="64">
        <f t="shared" si="13"/>
        <v>2000868.7136554644</v>
      </c>
      <c r="AE64" s="49">
        <f t="shared" si="14"/>
        <v>26011293.277521037</v>
      </c>
    </row>
    <row r="65" spans="15:32" ht="14.4" x14ac:dyDescent="0.3">
      <c r="R65" s="64">
        <f>'[36]2021 capex &amp; dep'!AE63</f>
        <v>0</v>
      </c>
      <c r="S65" s="64">
        <f t="shared" si="13"/>
        <v>0</v>
      </c>
      <c r="T65" s="64">
        <f t="shared" si="13"/>
        <v>0</v>
      </c>
      <c r="U65" s="64">
        <f t="shared" si="13"/>
        <v>0</v>
      </c>
      <c r="V65" s="64">
        <f t="shared" si="13"/>
        <v>0</v>
      </c>
      <c r="W65" s="64">
        <f t="shared" si="13"/>
        <v>0</v>
      </c>
      <c r="X65" s="64">
        <f t="shared" si="13"/>
        <v>0</v>
      </c>
      <c r="Y65" s="64">
        <f t="shared" si="13"/>
        <v>0</v>
      </c>
      <c r="Z65" s="64">
        <f t="shared" si="13"/>
        <v>0</v>
      </c>
      <c r="AA65" s="64">
        <f t="shared" si="13"/>
        <v>0</v>
      </c>
      <c r="AB65" s="64">
        <f t="shared" si="13"/>
        <v>0</v>
      </c>
      <c r="AC65" s="64">
        <f t="shared" si="13"/>
        <v>0</v>
      </c>
      <c r="AD65" s="64">
        <f t="shared" si="13"/>
        <v>0</v>
      </c>
      <c r="AE65" s="49">
        <f t="shared" si="14"/>
        <v>0</v>
      </c>
    </row>
    <row r="66" spans="15:32" ht="15" thickBot="1" x14ac:dyDescent="0.35">
      <c r="O66" s="34" t="s">
        <v>161</v>
      </c>
      <c r="R66" s="64">
        <f>'[36]2021 capex &amp; dep'!AE64</f>
        <v>-457600.2</v>
      </c>
      <c r="S66" s="64">
        <f t="shared" si="13"/>
        <v>-457600.2</v>
      </c>
      <c r="T66" s="64">
        <f t="shared" si="13"/>
        <v>-457600.2</v>
      </c>
      <c r="U66" s="64">
        <f t="shared" si="13"/>
        <v>-457600.2</v>
      </c>
      <c r="V66" s="64">
        <f t="shared" si="13"/>
        <v>-457600.2</v>
      </c>
      <c r="W66" s="64">
        <f t="shared" si="13"/>
        <v>-457600.2</v>
      </c>
      <c r="X66" s="64">
        <f t="shared" si="13"/>
        <v>-457600.2</v>
      </c>
      <c r="Y66" s="64">
        <f t="shared" si="13"/>
        <v>-457600.2</v>
      </c>
      <c r="Z66" s="64">
        <f t="shared" si="13"/>
        <v>-457600.2</v>
      </c>
      <c r="AA66" s="64">
        <f t="shared" si="13"/>
        <v>-457600.2</v>
      </c>
      <c r="AB66" s="64">
        <f t="shared" si="13"/>
        <v>-457600.2</v>
      </c>
      <c r="AC66" s="64">
        <f t="shared" si="13"/>
        <v>-457600.2</v>
      </c>
      <c r="AD66" s="64">
        <f t="shared" si="13"/>
        <v>-457600.2</v>
      </c>
      <c r="AE66" s="49">
        <f t="shared" si="14"/>
        <v>-5948802.6000000015</v>
      </c>
    </row>
    <row r="67" spans="15:32" ht="16.8" thickBot="1" x14ac:dyDescent="0.5">
      <c r="O67" s="34" t="s">
        <v>163</v>
      </c>
      <c r="R67" s="60">
        <f>'[36]2021 capex &amp; dep'!AE65</f>
        <v>-42766929.023592241</v>
      </c>
      <c r="S67" s="60">
        <f>-'[36]13 mo Avg ADIT'!$H20</f>
        <v>-42768266.24359417</v>
      </c>
      <c r="T67" s="60">
        <f>-'[36]13 mo Avg ADIT'!$H21</f>
        <v>-42769603.463596106</v>
      </c>
      <c r="U67" s="60">
        <f>-'[36]13 mo Avg ADIT'!$H22</f>
        <v>-42770940.683598042</v>
      </c>
      <c r="V67" s="60">
        <f>-'[36]13 mo Avg ADIT'!$H23</f>
        <v>-42772277.903599977</v>
      </c>
      <c r="W67" s="60">
        <f>-'[36]13 mo Avg ADIT'!$H24</f>
        <v>-42773615.123601913</v>
      </c>
      <c r="X67" s="60">
        <f>-'[36]13 mo Avg ADIT'!$H25</f>
        <v>-42774952.343603849</v>
      </c>
      <c r="Y67" s="60">
        <f>-'[36]13 mo Avg ADIT'!$H26</f>
        <v>-42776289.563605778</v>
      </c>
      <c r="Z67" s="60">
        <f>-'[36]13 mo Avg ADIT'!$H27</f>
        <v>-42777626.783607714</v>
      </c>
      <c r="AA67" s="60">
        <f>-'[36]13 mo Avg ADIT'!$H28</f>
        <v>-42778964.00360965</v>
      </c>
      <c r="AB67" s="60">
        <f>-'[36]13 mo Avg ADIT'!$H29</f>
        <v>-42780301.223611586</v>
      </c>
      <c r="AC67" s="60">
        <f>-'[36]13 mo Avg ADIT'!$H30</f>
        <v>-42781638.443613514</v>
      </c>
      <c r="AD67" s="60">
        <f>-'[36]13 mo Avg ADIT'!$H31</f>
        <v>-42782975.66361545</v>
      </c>
      <c r="AE67" s="54">
        <f t="shared" si="14"/>
        <v>-556074380.46685004</v>
      </c>
      <c r="AF67" s="72">
        <f>AE67/13</f>
        <v>-42774952.343603849</v>
      </c>
    </row>
    <row r="68" spans="15:32" ht="13.8" thickBot="1" x14ac:dyDescent="0.3"/>
    <row r="69" spans="15:32" ht="13.8" thickBot="1" x14ac:dyDescent="0.3">
      <c r="O69" s="64" t="s">
        <v>142</v>
      </c>
      <c r="R69" s="64">
        <f>R48+R57+SUM(R59:R67)</f>
        <v>132882180.08239111</v>
      </c>
      <c r="S69" s="64">
        <f t="shared" ref="S69:AE69" si="15">S48+S57+SUM(S59:S67)</f>
        <v>132723766.36884134</v>
      </c>
      <c r="T69" s="64">
        <f t="shared" si="15"/>
        <v>132526737.39207365</v>
      </c>
      <c r="U69" s="64">
        <f t="shared" si="15"/>
        <v>132678246.71915279</v>
      </c>
      <c r="V69" s="64">
        <f t="shared" si="15"/>
        <v>133891306.99507646</v>
      </c>
      <c r="W69" s="64">
        <f t="shared" si="15"/>
        <v>135635064.71464455</v>
      </c>
      <c r="X69" s="64">
        <f t="shared" si="15"/>
        <v>137164844.1912412</v>
      </c>
      <c r="Y69" s="64">
        <f t="shared" si="15"/>
        <v>138657447.83639592</v>
      </c>
      <c r="Z69" s="64">
        <f t="shared" si="15"/>
        <v>139362594.46398321</v>
      </c>
      <c r="AA69" s="64">
        <f t="shared" si="15"/>
        <v>139834406.12511918</v>
      </c>
      <c r="AB69" s="64">
        <f t="shared" si="15"/>
        <v>140352992.3936916</v>
      </c>
      <c r="AC69" s="64">
        <f t="shared" si="15"/>
        <v>140853153.36462149</v>
      </c>
      <c r="AD69" s="64">
        <f t="shared" si="15"/>
        <v>141005115.44236791</v>
      </c>
      <c r="AE69" s="64">
        <f t="shared" si="15"/>
        <v>1777567856.0896001</v>
      </c>
      <c r="AF69" s="72">
        <f>AE69/13</f>
        <v>136735988.92996925</v>
      </c>
    </row>
  </sheetData>
  <pageMargins left="0.7" right="0.7" top="0.75" bottom="0.75" header="0.3" footer="0.3"/>
  <pageSetup scale="36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65E5-8C7B-41F2-A6D5-2B775DA3BF99}">
  <sheetPr>
    <tabColor rgb="FF66FF33"/>
    <pageSetUpPr fitToPage="1"/>
  </sheetPr>
  <dimension ref="A1:O7"/>
  <sheetViews>
    <sheetView workbookViewId="0">
      <selection sqref="A1:XFD1048576"/>
    </sheetView>
  </sheetViews>
  <sheetFormatPr defaultColWidth="9.109375" defaultRowHeight="10.199999999999999" x14ac:dyDescent="0.2"/>
  <cols>
    <col min="1" max="1" width="26.33203125" style="73" bestFit="1" customWidth="1"/>
    <col min="2" max="2" width="9.109375" style="74" bestFit="1" customWidth="1"/>
    <col min="3" max="13" width="10.33203125" style="74" bestFit="1" customWidth="1"/>
    <col min="14" max="14" width="9.109375" style="74" bestFit="1" customWidth="1"/>
    <col min="15" max="15" width="10.33203125" style="74" bestFit="1" customWidth="1"/>
    <col min="16" max="16384" width="9.109375" style="73"/>
  </cols>
  <sheetData>
    <row r="1" spans="1:15" ht="13.8" x14ac:dyDescent="0.3">
      <c r="O1" s="35" t="s">
        <v>141</v>
      </c>
    </row>
    <row r="2" spans="1:15" ht="13.8" x14ac:dyDescent="0.3">
      <c r="O2" s="37" t="s">
        <v>151</v>
      </c>
    </row>
    <row r="4" spans="1:15" ht="12.6" thickBot="1" x14ac:dyDescent="0.25">
      <c r="A4" s="75" t="s">
        <v>390</v>
      </c>
      <c r="B4" s="76" t="s">
        <v>391</v>
      </c>
      <c r="C4" s="76" t="s">
        <v>392</v>
      </c>
      <c r="D4" s="76" t="s">
        <v>393</v>
      </c>
      <c r="E4" s="76" t="s">
        <v>394</v>
      </c>
      <c r="F4" s="76" t="s">
        <v>395</v>
      </c>
      <c r="G4" s="76" t="s">
        <v>396</v>
      </c>
      <c r="H4" s="76" t="s">
        <v>397</v>
      </c>
      <c r="I4" s="76" t="s">
        <v>398</v>
      </c>
      <c r="J4" s="76" t="s">
        <v>399</v>
      </c>
      <c r="K4" s="76" t="s">
        <v>400</v>
      </c>
      <c r="L4" s="76" t="s">
        <v>401</v>
      </c>
      <c r="M4" s="76" t="s">
        <v>402</v>
      </c>
      <c r="N4" s="76" t="s">
        <v>403</v>
      </c>
      <c r="O4" s="76" t="s">
        <v>404</v>
      </c>
    </row>
    <row r="5" spans="1:15" ht="10.8" thickBot="1" x14ac:dyDescent="0.25">
      <c r="A5" s="75" t="s">
        <v>405</v>
      </c>
      <c r="B5" s="77">
        <v>549558.11</v>
      </c>
      <c r="C5" s="77">
        <v>553801.37</v>
      </c>
      <c r="D5" s="77">
        <v>572421.69999999995</v>
      </c>
      <c r="E5" s="77">
        <v>671985.52</v>
      </c>
      <c r="F5" s="77">
        <v>633486.18999999994</v>
      </c>
      <c r="G5" s="77">
        <v>617948.97</v>
      </c>
      <c r="H5" s="77">
        <v>594764.22</v>
      </c>
      <c r="I5" s="77">
        <v>575294.59</v>
      </c>
      <c r="J5" s="77">
        <v>609276.77</v>
      </c>
      <c r="K5" s="77">
        <v>601154.29</v>
      </c>
      <c r="L5" s="77">
        <v>600820.81000000006</v>
      </c>
      <c r="M5" s="77">
        <v>593693.56999999995</v>
      </c>
      <c r="N5" s="77">
        <v>689562.46</v>
      </c>
      <c r="O5" s="78">
        <f t="shared" ref="O5:O7" si="0">AVERAGE(B5:N5)</f>
        <v>604905.27461538452</v>
      </c>
    </row>
    <row r="6" spans="1:15" ht="10.8" thickBot="1" x14ac:dyDescent="0.25">
      <c r="A6" s="75" t="s">
        <v>406</v>
      </c>
      <c r="B6" s="77">
        <v>539870.9</v>
      </c>
      <c r="C6" s="77">
        <v>1249915.8799999999</v>
      </c>
      <c r="D6" s="77">
        <v>1637946.53</v>
      </c>
      <c r="E6" s="77">
        <v>1638107.01</v>
      </c>
      <c r="F6" s="77">
        <v>1638107.01</v>
      </c>
      <c r="G6" s="77">
        <v>1560039.01</v>
      </c>
      <c r="H6" s="77">
        <v>1560039.01</v>
      </c>
      <c r="I6" s="77">
        <v>1560039.01</v>
      </c>
      <c r="J6" s="77">
        <v>1560039.01</v>
      </c>
      <c r="K6" s="77">
        <v>875744.24</v>
      </c>
      <c r="L6" s="77">
        <v>425656.64</v>
      </c>
      <c r="M6" s="77">
        <v>401058.91</v>
      </c>
      <c r="N6" s="77">
        <v>221563.11</v>
      </c>
      <c r="O6" s="79">
        <f t="shared" si="0"/>
        <v>1143702.0207692308</v>
      </c>
    </row>
    <row r="7" spans="1:15" ht="10.8" thickBot="1" x14ac:dyDescent="0.25">
      <c r="A7" s="75" t="s">
        <v>407</v>
      </c>
      <c r="B7" s="77">
        <v>747431.76</v>
      </c>
      <c r="C7" s="77">
        <v>646352.74</v>
      </c>
      <c r="D7" s="77">
        <v>494021.78</v>
      </c>
      <c r="E7" s="77">
        <v>1470998.67</v>
      </c>
      <c r="F7" s="77">
        <v>1354672.84</v>
      </c>
      <c r="G7" s="77">
        <v>1284682.17</v>
      </c>
      <c r="H7" s="77">
        <v>2096975.05</v>
      </c>
      <c r="I7" s="77">
        <v>1228460.75</v>
      </c>
      <c r="J7" s="77">
        <v>1176704.0900000001</v>
      </c>
      <c r="K7" s="77">
        <v>1163544.02</v>
      </c>
      <c r="L7" s="77">
        <v>1163365.92</v>
      </c>
      <c r="M7" s="77">
        <v>1139548.2</v>
      </c>
      <c r="N7" s="77">
        <v>-21130.04</v>
      </c>
      <c r="O7" s="80">
        <f t="shared" si="0"/>
        <v>1072740.6115384614</v>
      </c>
    </row>
  </sheetData>
  <pageMargins left="0.7" right="0.7" top="0.75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D874-3F31-469C-92A1-3E474BD14721}">
  <sheetPr>
    <tabColor rgb="FF66FF33"/>
    <pageSetUpPr fitToPage="1"/>
  </sheetPr>
  <dimension ref="A1:H18"/>
  <sheetViews>
    <sheetView workbookViewId="0">
      <selection activeCell="G32" sqref="G32"/>
    </sheetView>
  </sheetViews>
  <sheetFormatPr defaultColWidth="9.109375" defaultRowHeight="13.2" x14ac:dyDescent="0.25"/>
  <cols>
    <col min="1" max="1" width="5" style="40" bestFit="1" customWidth="1"/>
    <col min="2" max="2" width="9" style="40" bestFit="1" customWidth="1"/>
    <col min="3" max="3" width="46.6640625" style="40" bestFit="1" customWidth="1"/>
    <col min="4" max="4" width="12.88671875" style="64" bestFit="1" customWidth="1"/>
    <col min="5" max="7" width="11.6640625" style="64" customWidth="1"/>
    <col min="8" max="8" width="6.33203125" style="64" bestFit="1" customWidth="1"/>
    <col min="9" max="16384" width="9.109375" style="40"/>
  </cols>
  <sheetData>
    <row r="1" spans="1:8" ht="13.8" x14ac:dyDescent="0.3">
      <c r="D1" s="40"/>
      <c r="E1" s="40"/>
      <c r="F1" s="40"/>
      <c r="G1" s="35" t="s">
        <v>141</v>
      </c>
      <c r="H1" s="40"/>
    </row>
    <row r="2" spans="1:8" ht="13.8" x14ac:dyDescent="0.3">
      <c r="D2" s="40"/>
      <c r="E2" s="40"/>
      <c r="F2" s="40"/>
      <c r="G2" s="37" t="s">
        <v>155</v>
      </c>
      <c r="H2" s="40"/>
    </row>
    <row r="3" spans="1:8" x14ac:dyDescent="0.25">
      <c r="D3" s="40"/>
      <c r="E3" s="40"/>
      <c r="F3" s="40"/>
      <c r="G3" s="40"/>
      <c r="H3" s="40"/>
    </row>
    <row r="4" spans="1:8" x14ac:dyDescent="0.25">
      <c r="D4" s="40"/>
      <c r="E4" s="40"/>
      <c r="F4" s="40"/>
      <c r="G4" s="40"/>
      <c r="H4" s="40"/>
    </row>
    <row r="5" spans="1:8" x14ac:dyDescent="0.25">
      <c r="D5" s="40"/>
      <c r="E5" s="40"/>
      <c r="F5" s="40"/>
      <c r="G5" s="40"/>
      <c r="H5" s="40"/>
    </row>
    <row r="6" spans="1:8" x14ac:dyDescent="0.25">
      <c r="D6" s="40"/>
      <c r="E6" s="40"/>
      <c r="F6" s="40"/>
      <c r="G6" s="40"/>
      <c r="H6" s="40"/>
    </row>
    <row r="9" spans="1:8" x14ac:dyDescent="0.25">
      <c r="E9" s="81" t="s">
        <v>408</v>
      </c>
      <c r="F9" s="81" t="s">
        <v>409</v>
      </c>
      <c r="G9" s="81" t="s">
        <v>410</v>
      </c>
    </row>
    <row r="10" spans="1:8" x14ac:dyDescent="0.25">
      <c r="A10" s="40" t="s">
        <v>411</v>
      </c>
    </row>
    <row r="12" spans="1:8" x14ac:dyDescent="0.25">
      <c r="A12" s="82">
        <v>1600</v>
      </c>
      <c r="B12" s="82">
        <v>1242150</v>
      </c>
      <c r="C12" s="82" t="s">
        <v>412</v>
      </c>
      <c r="E12" s="83"/>
      <c r="F12" s="84">
        <v>1699057.22</v>
      </c>
      <c r="G12" s="84">
        <f>SUM(E12:F12)</f>
        <v>1699057.22</v>
      </c>
    </row>
    <row r="13" spans="1:8" x14ac:dyDescent="0.25">
      <c r="A13" s="82">
        <v>1600</v>
      </c>
      <c r="B13" s="82">
        <v>1242207</v>
      </c>
      <c r="C13" s="82" t="s">
        <v>413</v>
      </c>
      <c r="E13" s="83"/>
      <c r="F13" s="84">
        <v>48603.51</v>
      </c>
      <c r="G13" s="84">
        <f t="shared" ref="G13" si="0">SUM(E13:F13)</f>
        <v>48603.51</v>
      </c>
    </row>
    <row r="14" spans="1:8" ht="13.8" thickBot="1" x14ac:dyDescent="0.3">
      <c r="F14" s="85"/>
      <c r="G14" s="85"/>
    </row>
    <row r="15" spans="1:8" ht="13.8" thickBot="1" x14ac:dyDescent="0.3">
      <c r="B15" s="40" t="s">
        <v>414</v>
      </c>
      <c r="F15" s="85"/>
      <c r="G15" s="86">
        <f>G12+G13</f>
        <v>1747660.73</v>
      </c>
    </row>
    <row r="18" spans="2:2" x14ac:dyDescent="0.25">
      <c r="B18" s="40" t="s">
        <v>415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C5AE-B306-4C86-B7FD-5A52B50C85A5}">
  <sheetPr>
    <tabColor rgb="FF66FF33"/>
    <pageSetUpPr fitToPage="1"/>
  </sheetPr>
  <dimension ref="B1:L34"/>
  <sheetViews>
    <sheetView topLeftCell="A19" workbookViewId="0">
      <selection activeCell="G32" sqref="G32"/>
    </sheetView>
  </sheetViews>
  <sheetFormatPr defaultColWidth="9.109375" defaultRowHeight="13.2" x14ac:dyDescent="0.25"/>
  <cols>
    <col min="1" max="9" width="9.109375" style="40"/>
    <col min="10" max="10" width="14" style="40" bestFit="1" customWidth="1"/>
    <col min="11" max="11" width="11.33203125" style="40" bestFit="1" customWidth="1"/>
    <col min="12" max="16384" width="9.109375" style="40"/>
  </cols>
  <sheetData>
    <row r="1" spans="2:12" ht="20.399999999999999" x14ac:dyDescent="0.35">
      <c r="E1" s="87" t="s">
        <v>416</v>
      </c>
      <c r="L1" s="35" t="s">
        <v>141</v>
      </c>
    </row>
    <row r="2" spans="2:12" ht="13.8" x14ac:dyDescent="0.3">
      <c r="L2" s="37" t="s">
        <v>157</v>
      </c>
    </row>
    <row r="5" spans="2:12" x14ac:dyDescent="0.25">
      <c r="B5" s="40" t="s">
        <v>417</v>
      </c>
      <c r="J5" s="88"/>
      <c r="K5" s="88"/>
    </row>
    <row r="6" spans="2:12" x14ac:dyDescent="0.25">
      <c r="J6" s="88"/>
      <c r="K6" s="88"/>
    </row>
    <row r="7" spans="2:12" x14ac:dyDescent="0.25">
      <c r="J7" s="88"/>
      <c r="K7" s="88"/>
    </row>
    <row r="8" spans="2:12" x14ac:dyDescent="0.25">
      <c r="C8" s="40" t="s">
        <v>418</v>
      </c>
      <c r="J8" s="88">
        <v>15283587.460000005</v>
      </c>
      <c r="K8" s="88">
        <v>15283587.460000005</v>
      </c>
    </row>
    <row r="9" spans="2:12" x14ac:dyDescent="0.25">
      <c r="C9" s="40" t="s">
        <v>419</v>
      </c>
      <c r="J9" s="88"/>
      <c r="K9" s="88"/>
    </row>
    <row r="10" spans="2:12" x14ac:dyDescent="0.25">
      <c r="D10" s="40" t="s">
        <v>420</v>
      </c>
      <c r="J10" s="89">
        <v>599120</v>
      </c>
      <c r="K10" s="88">
        <v>599120</v>
      </c>
    </row>
    <row r="11" spans="2:12" x14ac:dyDescent="0.25">
      <c r="J11" s="89"/>
      <c r="K11" s="88"/>
    </row>
    <row r="13" spans="2:12" x14ac:dyDescent="0.25">
      <c r="J13" s="89"/>
      <c r="K13" s="88">
        <v>0</v>
      </c>
    </row>
    <row r="14" spans="2:12" x14ac:dyDescent="0.25">
      <c r="J14" s="89">
        <v>0</v>
      </c>
      <c r="K14" s="88">
        <v>0</v>
      </c>
    </row>
    <row r="15" spans="2:12" x14ac:dyDescent="0.25">
      <c r="J15" s="90">
        <v>0</v>
      </c>
      <c r="K15" s="88">
        <v>0</v>
      </c>
    </row>
    <row r="16" spans="2:12" x14ac:dyDescent="0.25">
      <c r="J16" s="90">
        <v>0</v>
      </c>
      <c r="K16" s="88">
        <v>0</v>
      </c>
    </row>
    <row r="17" spans="2:11" x14ac:dyDescent="0.25">
      <c r="D17" s="40" t="s">
        <v>421</v>
      </c>
      <c r="J17" s="90">
        <v>327945.7372437109</v>
      </c>
      <c r="K17" s="88">
        <v>327945.7372437109</v>
      </c>
    </row>
    <row r="18" spans="2:11" x14ac:dyDescent="0.25">
      <c r="D18" s="40" t="s">
        <v>422</v>
      </c>
      <c r="J18" s="90">
        <v>523277.22799999989</v>
      </c>
      <c r="K18" s="88">
        <v>523277.22799999989</v>
      </c>
    </row>
    <row r="19" spans="2:11" x14ac:dyDescent="0.25">
      <c r="D19" s="40" t="s">
        <v>423</v>
      </c>
      <c r="J19" s="90">
        <v>81948.794000000024</v>
      </c>
      <c r="K19" s="88">
        <v>81948.794000000024</v>
      </c>
    </row>
    <row r="20" spans="2:11" x14ac:dyDescent="0.25">
      <c r="D20" s="40" t="s">
        <v>424</v>
      </c>
      <c r="J20" s="90">
        <v>310198.49000000022</v>
      </c>
      <c r="K20" s="88">
        <v>310198.49000000022</v>
      </c>
    </row>
    <row r="21" spans="2:11" x14ac:dyDescent="0.25">
      <c r="D21" s="40" t="s">
        <v>425</v>
      </c>
      <c r="J21" s="90">
        <v>-1298734</v>
      </c>
      <c r="K21" s="88">
        <v>-1298734</v>
      </c>
    </row>
    <row r="22" spans="2:11" x14ac:dyDescent="0.25">
      <c r="D22" s="40" t="s">
        <v>426</v>
      </c>
      <c r="J22" s="90">
        <v>210000</v>
      </c>
      <c r="K22" s="88">
        <v>210000</v>
      </c>
    </row>
    <row r="23" spans="2:11" x14ac:dyDescent="0.25">
      <c r="D23" s="40" t="s">
        <v>427</v>
      </c>
      <c r="J23" s="88">
        <v>-7350</v>
      </c>
      <c r="K23" s="88">
        <v>-7350</v>
      </c>
    </row>
    <row r="24" spans="2:11" x14ac:dyDescent="0.25">
      <c r="D24" s="40" t="s">
        <v>428</v>
      </c>
      <c r="J24" s="88">
        <v>-23044</v>
      </c>
      <c r="K24" s="88">
        <v>-23044</v>
      </c>
    </row>
    <row r="25" spans="2:11" x14ac:dyDescent="0.25">
      <c r="J25" s="88"/>
      <c r="K25" s="88"/>
    </row>
    <row r="26" spans="2:11" x14ac:dyDescent="0.25">
      <c r="J26" s="88">
        <v>0</v>
      </c>
      <c r="K26" s="88">
        <f t="shared" ref="K26:K28" si="0">J26</f>
        <v>0</v>
      </c>
    </row>
    <row r="27" spans="2:11" x14ac:dyDescent="0.25">
      <c r="J27" s="88">
        <v>0</v>
      </c>
      <c r="K27" s="88">
        <f t="shared" si="0"/>
        <v>0</v>
      </c>
    </row>
    <row r="28" spans="2:11" ht="16.8" x14ac:dyDescent="0.55000000000000004">
      <c r="J28" s="60">
        <v>0</v>
      </c>
      <c r="K28" s="91">
        <f t="shared" si="0"/>
        <v>0</v>
      </c>
    </row>
    <row r="29" spans="2:11" ht="16.8" x14ac:dyDescent="0.55000000000000004">
      <c r="E29" s="40" t="s">
        <v>429</v>
      </c>
      <c r="J29" s="91">
        <f t="shared" ref="J29:K29" si="1">SUM(J10:J28)</f>
        <v>723362.24924371089</v>
      </c>
      <c r="K29" s="91">
        <f t="shared" si="1"/>
        <v>723362.24924371089</v>
      </c>
    </row>
    <row r="30" spans="2:11" ht="16.8" x14ac:dyDescent="0.55000000000000004">
      <c r="B30" s="40" t="s">
        <v>430</v>
      </c>
      <c r="J30" s="91">
        <f t="shared" ref="J30:K30" si="2">+J29+J8</f>
        <v>16006949.709243715</v>
      </c>
      <c r="K30" s="91">
        <f t="shared" si="2"/>
        <v>16006949.709243715</v>
      </c>
    </row>
    <row r="34" spans="2:11" ht="20.399999999999999" x14ac:dyDescent="0.35">
      <c r="B34" s="87" t="s">
        <v>431</v>
      </c>
      <c r="C34" s="92" t="s">
        <v>432</v>
      </c>
      <c r="D34" s="40" t="s">
        <v>416</v>
      </c>
      <c r="J34" s="93">
        <f>J30/8</f>
        <v>2000868.7136554644</v>
      </c>
      <c r="K34" s="93">
        <f>K30/8</f>
        <v>2000868.7136554644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2BFA-2970-4581-879D-0C3C4A7F3D13}">
  <sheetPr>
    <tabColor rgb="FF66FF33"/>
    <pageSetUpPr fitToPage="1"/>
  </sheetPr>
  <dimension ref="A1:K135"/>
  <sheetViews>
    <sheetView workbookViewId="0">
      <selection activeCell="G32" sqref="G32"/>
    </sheetView>
  </sheetViews>
  <sheetFormatPr defaultColWidth="11" defaultRowHeight="13.2" x14ac:dyDescent="0.25"/>
  <cols>
    <col min="1" max="1" width="7.5546875" style="97" customWidth="1"/>
    <col min="2" max="3" width="9.5546875" style="97" customWidth="1"/>
    <col min="4" max="4" width="37.6640625" style="97" bestFit="1" customWidth="1"/>
    <col min="5" max="5" width="15.5546875" style="97" bestFit="1" customWidth="1"/>
    <col min="6" max="6" width="14.6640625" style="97" customWidth="1"/>
    <col min="7" max="7" width="15.5546875" style="97" bestFit="1" customWidth="1"/>
    <col min="8" max="10" width="13.6640625" style="97" customWidth="1"/>
    <col min="11" max="208" width="11" style="97"/>
    <col min="209" max="209" width="7.5546875" style="97" customWidth="1"/>
    <col min="210" max="211" width="9.5546875" style="97" customWidth="1"/>
    <col min="212" max="212" width="32.6640625" style="97" customWidth="1"/>
    <col min="213" max="216" width="13.6640625" style="97" customWidth="1"/>
    <col min="217" max="217" width="11.5546875" style="97" customWidth="1"/>
    <col min="218" max="218" width="11.109375" style="97" customWidth="1"/>
    <col min="219" max="219" width="12.44140625" style="97" customWidth="1"/>
    <col min="220" max="220" width="8.88671875" style="97" customWidth="1"/>
    <col min="221" max="221" width="13.33203125" style="97" customWidth="1"/>
    <col min="222" max="222" width="11.33203125" style="97" customWidth="1"/>
    <col min="223" max="223" width="10.6640625" style="97" customWidth="1"/>
    <col min="224" max="224" width="11.33203125" style="97" customWidth="1"/>
    <col min="225" max="225" width="8.6640625" style="97" customWidth="1"/>
    <col min="226" max="226" width="13.88671875" style="97" customWidth="1"/>
    <col min="227" max="227" width="10.88671875" style="97" customWidth="1"/>
    <col min="228" max="228" width="9.88671875" style="97" customWidth="1"/>
    <col min="229" max="240" width="10.44140625" style="97" customWidth="1"/>
    <col min="241" max="241" width="12" style="97" customWidth="1"/>
    <col min="242" max="464" width="11" style="97"/>
    <col min="465" max="465" width="7.5546875" style="97" customWidth="1"/>
    <col min="466" max="467" width="9.5546875" style="97" customWidth="1"/>
    <col min="468" max="468" width="32.6640625" style="97" customWidth="1"/>
    <col min="469" max="472" width="13.6640625" style="97" customWidth="1"/>
    <col min="473" max="473" width="11.5546875" style="97" customWidth="1"/>
    <col min="474" max="474" width="11.109375" style="97" customWidth="1"/>
    <col min="475" max="475" width="12.44140625" style="97" customWidth="1"/>
    <col min="476" max="476" width="8.88671875" style="97" customWidth="1"/>
    <col min="477" max="477" width="13.33203125" style="97" customWidth="1"/>
    <col min="478" max="478" width="11.33203125" style="97" customWidth="1"/>
    <col min="479" max="479" width="10.6640625" style="97" customWidth="1"/>
    <col min="480" max="480" width="11.33203125" style="97" customWidth="1"/>
    <col min="481" max="481" width="8.6640625" style="97" customWidth="1"/>
    <col min="482" max="482" width="13.88671875" style="97" customWidth="1"/>
    <col min="483" max="483" width="10.88671875" style="97" customWidth="1"/>
    <col min="484" max="484" width="9.88671875" style="97" customWidth="1"/>
    <col min="485" max="496" width="10.44140625" style="97" customWidth="1"/>
    <col min="497" max="497" width="12" style="97" customWidth="1"/>
    <col min="498" max="720" width="11" style="97"/>
    <col min="721" max="721" width="7.5546875" style="97" customWidth="1"/>
    <col min="722" max="723" width="9.5546875" style="97" customWidth="1"/>
    <col min="724" max="724" width="32.6640625" style="97" customWidth="1"/>
    <col min="725" max="728" width="13.6640625" style="97" customWidth="1"/>
    <col min="729" max="729" width="11.5546875" style="97" customWidth="1"/>
    <col min="730" max="730" width="11.109375" style="97" customWidth="1"/>
    <col min="731" max="731" width="12.44140625" style="97" customWidth="1"/>
    <col min="732" max="732" width="8.88671875" style="97" customWidth="1"/>
    <col min="733" max="733" width="13.33203125" style="97" customWidth="1"/>
    <col min="734" max="734" width="11.33203125" style="97" customWidth="1"/>
    <col min="735" max="735" width="10.6640625" style="97" customWidth="1"/>
    <col min="736" max="736" width="11.33203125" style="97" customWidth="1"/>
    <col min="737" max="737" width="8.6640625" style="97" customWidth="1"/>
    <col min="738" max="738" width="13.88671875" style="97" customWidth="1"/>
    <col min="739" max="739" width="10.88671875" style="97" customWidth="1"/>
    <col min="740" max="740" width="9.88671875" style="97" customWidth="1"/>
    <col min="741" max="752" width="10.44140625" style="97" customWidth="1"/>
    <col min="753" max="753" width="12" style="97" customWidth="1"/>
    <col min="754" max="976" width="11" style="97"/>
    <col min="977" max="977" width="7.5546875" style="97" customWidth="1"/>
    <col min="978" max="979" width="9.5546875" style="97" customWidth="1"/>
    <col min="980" max="980" width="32.6640625" style="97" customWidth="1"/>
    <col min="981" max="984" width="13.6640625" style="97" customWidth="1"/>
    <col min="985" max="985" width="11.5546875" style="97" customWidth="1"/>
    <col min="986" max="986" width="11.109375" style="97" customWidth="1"/>
    <col min="987" max="987" width="12.44140625" style="97" customWidth="1"/>
    <col min="988" max="988" width="8.88671875" style="97" customWidth="1"/>
    <col min="989" max="989" width="13.33203125" style="97" customWidth="1"/>
    <col min="990" max="990" width="11.33203125" style="97" customWidth="1"/>
    <col min="991" max="991" width="10.6640625" style="97" customWidth="1"/>
    <col min="992" max="992" width="11.33203125" style="97" customWidth="1"/>
    <col min="993" max="993" width="8.6640625" style="97" customWidth="1"/>
    <col min="994" max="994" width="13.88671875" style="97" customWidth="1"/>
    <col min="995" max="995" width="10.88671875" style="97" customWidth="1"/>
    <col min="996" max="996" width="9.88671875" style="97" customWidth="1"/>
    <col min="997" max="1008" width="10.44140625" style="97" customWidth="1"/>
    <col min="1009" max="1009" width="12" style="97" customWidth="1"/>
    <col min="1010" max="1232" width="11" style="97"/>
    <col min="1233" max="1233" width="7.5546875" style="97" customWidth="1"/>
    <col min="1234" max="1235" width="9.5546875" style="97" customWidth="1"/>
    <col min="1236" max="1236" width="32.6640625" style="97" customWidth="1"/>
    <col min="1237" max="1240" width="13.6640625" style="97" customWidth="1"/>
    <col min="1241" max="1241" width="11.5546875" style="97" customWidth="1"/>
    <col min="1242" max="1242" width="11.109375" style="97" customWidth="1"/>
    <col min="1243" max="1243" width="12.44140625" style="97" customWidth="1"/>
    <col min="1244" max="1244" width="8.88671875" style="97" customWidth="1"/>
    <col min="1245" max="1245" width="13.33203125" style="97" customWidth="1"/>
    <col min="1246" max="1246" width="11.33203125" style="97" customWidth="1"/>
    <col min="1247" max="1247" width="10.6640625" style="97" customWidth="1"/>
    <col min="1248" max="1248" width="11.33203125" style="97" customWidth="1"/>
    <col min="1249" max="1249" width="8.6640625" style="97" customWidth="1"/>
    <col min="1250" max="1250" width="13.88671875" style="97" customWidth="1"/>
    <col min="1251" max="1251" width="10.88671875" style="97" customWidth="1"/>
    <col min="1252" max="1252" width="9.88671875" style="97" customWidth="1"/>
    <col min="1253" max="1264" width="10.44140625" style="97" customWidth="1"/>
    <col min="1265" max="1265" width="12" style="97" customWidth="1"/>
    <col min="1266" max="1488" width="11" style="97"/>
    <col min="1489" max="1489" width="7.5546875" style="97" customWidth="1"/>
    <col min="1490" max="1491" width="9.5546875" style="97" customWidth="1"/>
    <col min="1492" max="1492" width="32.6640625" style="97" customWidth="1"/>
    <col min="1493" max="1496" width="13.6640625" style="97" customWidth="1"/>
    <col min="1497" max="1497" width="11.5546875" style="97" customWidth="1"/>
    <col min="1498" max="1498" width="11.109375" style="97" customWidth="1"/>
    <col min="1499" max="1499" width="12.44140625" style="97" customWidth="1"/>
    <col min="1500" max="1500" width="8.88671875" style="97" customWidth="1"/>
    <col min="1501" max="1501" width="13.33203125" style="97" customWidth="1"/>
    <col min="1502" max="1502" width="11.33203125" style="97" customWidth="1"/>
    <col min="1503" max="1503" width="10.6640625" style="97" customWidth="1"/>
    <col min="1504" max="1504" width="11.33203125" style="97" customWidth="1"/>
    <col min="1505" max="1505" width="8.6640625" style="97" customWidth="1"/>
    <col min="1506" max="1506" width="13.88671875" style="97" customWidth="1"/>
    <col min="1507" max="1507" width="10.88671875" style="97" customWidth="1"/>
    <col min="1508" max="1508" width="9.88671875" style="97" customWidth="1"/>
    <col min="1509" max="1520" width="10.44140625" style="97" customWidth="1"/>
    <col min="1521" max="1521" width="12" style="97" customWidth="1"/>
    <col min="1522" max="1744" width="11" style="97"/>
    <col min="1745" max="1745" width="7.5546875" style="97" customWidth="1"/>
    <col min="1746" max="1747" width="9.5546875" style="97" customWidth="1"/>
    <col min="1748" max="1748" width="32.6640625" style="97" customWidth="1"/>
    <col min="1749" max="1752" width="13.6640625" style="97" customWidth="1"/>
    <col min="1753" max="1753" width="11.5546875" style="97" customWidth="1"/>
    <col min="1754" max="1754" width="11.109375" style="97" customWidth="1"/>
    <col min="1755" max="1755" width="12.44140625" style="97" customWidth="1"/>
    <col min="1756" max="1756" width="8.88671875" style="97" customWidth="1"/>
    <col min="1757" max="1757" width="13.33203125" style="97" customWidth="1"/>
    <col min="1758" max="1758" width="11.33203125" style="97" customWidth="1"/>
    <col min="1759" max="1759" width="10.6640625" style="97" customWidth="1"/>
    <col min="1760" max="1760" width="11.33203125" style="97" customWidth="1"/>
    <col min="1761" max="1761" width="8.6640625" style="97" customWidth="1"/>
    <col min="1762" max="1762" width="13.88671875" style="97" customWidth="1"/>
    <col min="1763" max="1763" width="10.88671875" style="97" customWidth="1"/>
    <col min="1764" max="1764" width="9.88671875" style="97" customWidth="1"/>
    <col min="1765" max="1776" width="10.44140625" style="97" customWidth="1"/>
    <col min="1777" max="1777" width="12" style="97" customWidth="1"/>
    <col min="1778" max="2000" width="11" style="97"/>
    <col min="2001" max="2001" width="7.5546875" style="97" customWidth="1"/>
    <col min="2002" max="2003" width="9.5546875" style="97" customWidth="1"/>
    <col min="2004" max="2004" width="32.6640625" style="97" customWidth="1"/>
    <col min="2005" max="2008" width="13.6640625" style="97" customWidth="1"/>
    <col min="2009" max="2009" width="11.5546875" style="97" customWidth="1"/>
    <col min="2010" max="2010" width="11.109375" style="97" customWidth="1"/>
    <col min="2011" max="2011" width="12.44140625" style="97" customWidth="1"/>
    <col min="2012" max="2012" width="8.88671875" style="97" customWidth="1"/>
    <col min="2013" max="2013" width="13.33203125" style="97" customWidth="1"/>
    <col min="2014" max="2014" width="11.33203125" style="97" customWidth="1"/>
    <col min="2015" max="2015" width="10.6640625" style="97" customWidth="1"/>
    <col min="2016" max="2016" width="11.33203125" style="97" customWidth="1"/>
    <col min="2017" max="2017" width="8.6640625" style="97" customWidth="1"/>
    <col min="2018" max="2018" width="13.88671875" style="97" customWidth="1"/>
    <col min="2019" max="2019" width="10.88671875" style="97" customWidth="1"/>
    <col min="2020" max="2020" width="9.88671875" style="97" customWidth="1"/>
    <col min="2021" max="2032" width="10.44140625" style="97" customWidth="1"/>
    <col min="2033" max="2033" width="12" style="97" customWidth="1"/>
    <col min="2034" max="2256" width="11" style="97"/>
    <col min="2257" max="2257" width="7.5546875" style="97" customWidth="1"/>
    <col min="2258" max="2259" width="9.5546875" style="97" customWidth="1"/>
    <col min="2260" max="2260" width="32.6640625" style="97" customWidth="1"/>
    <col min="2261" max="2264" width="13.6640625" style="97" customWidth="1"/>
    <col min="2265" max="2265" width="11.5546875" style="97" customWidth="1"/>
    <col min="2266" max="2266" width="11.109375" style="97" customWidth="1"/>
    <col min="2267" max="2267" width="12.44140625" style="97" customWidth="1"/>
    <col min="2268" max="2268" width="8.88671875" style="97" customWidth="1"/>
    <col min="2269" max="2269" width="13.33203125" style="97" customWidth="1"/>
    <col min="2270" max="2270" width="11.33203125" style="97" customWidth="1"/>
    <col min="2271" max="2271" width="10.6640625" style="97" customWidth="1"/>
    <col min="2272" max="2272" width="11.33203125" style="97" customWidth="1"/>
    <col min="2273" max="2273" width="8.6640625" style="97" customWidth="1"/>
    <col min="2274" max="2274" width="13.88671875" style="97" customWidth="1"/>
    <col min="2275" max="2275" width="10.88671875" style="97" customWidth="1"/>
    <col min="2276" max="2276" width="9.88671875" style="97" customWidth="1"/>
    <col min="2277" max="2288" width="10.44140625" style="97" customWidth="1"/>
    <col min="2289" max="2289" width="12" style="97" customWidth="1"/>
    <col min="2290" max="2512" width="11" style="97"/>
    <col min="2513" max="2513" width="7.5546875" style="97" customWidth="1"/>
    <col min="2514" max="2515" width="9.5546875" style="97" customWidth="1"/>
    <col min="2516" max="2516" width="32.6640625" style="97" customWidth="1"/>
    <col min="2517" max="2520" width="13.6640625" style="97" customWidth="1"/>
    <col min="2521" max="2521" width="11.5546875" style="97" customWidth="1"/>
    <col min="2522" max="2522" width="11.109375" style="97" customWidth="1"/>
    <col min="2523" max="2523" width="12.44140625" style="97" customWidth="1"/>
    <col min="2524" max="2524" width="8.88671875" style="97" customWidth="1"/>
    <col min="2525" max="2525" width="13.33203125" style="97" customWidth="1"/>
    <col min="2526" max="2526" width="11.33203125" style="97" customWidth="1"/>
    <col min="2527" max="2527" width="10.6640625" style="97" customWidth="1"/>
    <col min="2528" max="2528" width="11.33203125" style="97" customWidth="1"/>
    <col min="2529" max="2529" width="8.6640625" style="97" customWidth="1"/>
    <col min="2530" max="2530" width="13.88671875" style="97" customWidth="1"/>
    <col min="2531" max="2531" width="10.88671875" style="97" customWidth="1"/>
    <col min="2532" max="2532" width="9.88671875" style="97" customWidth="1"/>
    <col min="2533" max="2544" width="10.44140625" style="97" customWidth="1"/>
    <col min="2545" max="2545" width="12" style="97" customWidth="1"/>
    <col min="2546" max="2768" width="11" style="97"/>
    <col min="2769" max="2769" width="7.5546875" style="97" customWidth="1"/>
    <col min="2770" max="2771" width="9.5546875" style="97" customWidth="1"/>
    <col min="2772" max="2772" width="32.6640625" style="97" customWidth="1"/>
    <col min="2773" max="2776" width="13.6640625" style="97" customWidth="1"/>
    <col min="2777" max="2777" width="11.5546875" style="97" customWidth="1"/>
    <col min="2778" max="2778" width="11.109375" style="97" customWidth="1"/>
    <col min="2779" max="2779" width="12.44140625" style="97" customWidth="1"/>
    <col min="2780" max="2780" width="8.88671875" style="97" customWidth="1"/>
    <col min="2781" max="2781" width="13.33203125" style="97" customWidth="1"/>
    <col min="2782" max="2782" width="11.33203125" style="97" customWidth="1"/>
    <col min="2783" max="2783" width="10.6640625" style="97" customWidth="1"/>
    <col min="2784" max="2784" width="11.33203125" style="97" customWidth="1"/>
    <col min="2785" max="2785" width="8.6640625" style="97" customWidth="1"/>
    <col min="2786" max="2786" width="13.88671875" style="97" customWidth="1"/>
    <col min="2787" max="2787" width="10.88671875" style="97" customWidth="1"/>
    <col min="2788" max="2788" width="9.88671875" style="97" customWidth="1"/>
    <col min="2789" max="2800" width="10.44140625" style="97" customWidth="1"/>
    <col min="2801" max="2801" width="12" style="97" customWidth="1"/>
    <col min="2802" max="3024" width="11" style="97"/>
    <col min="3025" max="3025" width="7.5546875" style="97" customWidth="1"/>
    <col min="3026" max="3027" width="9.5546875" style="97" customWidth="1"/>
    <col min="3028" max="3028" width="32.6640625" style="97" customWidth="1"/>
    <col min="3029" max="3032" width="13.6640625" style="97" customWidth="1"/>
    <col min="3033" max="3033" width="11.5546875" style="97" customWidth="1"/>
    <col min="3034" max="3034" width="11.109375" style="97" customWidth="1"/>
    <col min="3035" max="3035" width="12.44140625" style="97" customWidth="1"/>
    <col min="3036" max="3036" width="8.88671875" style="97" customWidth="1"/>
    <col min="3037" max="3037" width="13.33203125" style="97" customWidth="1"/>
    <col min="3038" max="3038" width="11.33203125" style="97" customWidth="1"/>
    <col min="3039" max="3039" width="10.6640625" style="97" customWidth="1"/>
    <col min="3040" max="3040" width="11.33203125" style="97" customWidth="1"/>
    <col min="3041" max="3041" width="8.6640625" style="97" customWidth="1"/>
    <col min="3042" max="3042" width="13.88671875" style="97" customWidth="1"/>
    <col min="3043" max="3043" width="10.88671875" style="97" customWidth="1"/>
    <col min="3044" max="3044" width="9.88671875" style="97" customWidth="1"/>
    <col min="3045" max="3056" width="10.44140625" style="97" customWidth="1"/>
    <col min="3057" max="3057" width="12" style="97" customWidth="1"/>
    <col min="3058" max="3280" width="11" style="97"/>
    <col min="3281" max="3281" width="7.5546875" style="97" customWidth="1"/>
    <col min="3282" max="3283" width="9.5546875" style="97" customWidth="1"/>
    <col min="3284" max="3284" width="32.6640625" style="97" customWidth="1"/>
    <col min="3285" max="3288" width="13.6640625" style="97" customWidth="1"/>
    <col min="3289" max="3289" width="11.5546875" style="97" customWidth="1"/>
    <col min="3290" max="3290" width="11.109375" style="97" customWidth="1"/>
    <col min="3291" max="3291" width="12.44140625" style="97" customWidth="1"/>
    <col min="3292" max="3292" width="8.88671875" style="97" customWidth="1"/>
    <col min="3293" max="3293" width="13.33203125" style="97" customWidth="1"/>
    <col min="3294" max="3294" width="11.33203125" style="97" customWidth="1"/>
    <col min="3295" max="3295" width="10.6640625" style="97" customWidth="1"/>
    <col min="3296" max="3296" width="11.33203125" style="97" customWidth="1"/>
    <col min="3297" max="3297" width="8.6640625" style="97" customWidth="1"/>
    <col min="3298" max="3298" width="13.88671875" style="97" customWidth="1"/>
    <col min="3299" max="3299" width="10.88671875" style="97" customWidth="1"/>
    <col min="3300" max="3300" width="9.88671875" style="97" customWidth="1"/>
    <col min="3301" max="3312" width="10.44140625" style="97" customWidth="1"/>
    <col min="3313" max="3313" width="12" style="97" customWidth="1"/>
    <col min="3314" max="3536" width="11" style="97"/>
    <col min="3537" max="3537" width="7.5546875" style="97" customWidth="1"/>
    <col min="3538" max="3539" width="9.5546875" style="97" customWidth="1"/>
    <col min="3540" max="3540" width="32.6640625" style="97" customWidth="1"/>
    <col min="3541" max="3544" width="13.6640625" style="97" customWidth="1"/>
    <col min="3545" max="3545" width="11.5546875" style="97" customWidth="1"/>
    <col min="3546" max="3546" width="11.109375" style="97" customWidth="1"/>
    <col min="3547" max="3547" width="12.44140625" style="97" customWidth="1"/>
    <col min="3548" max="3548" width="8.88671875" style="97" customWidth="1"/>
    <col min="3549" max="3549" width="13.33203125" style="97" customWidth="1"/>
    <col min="3550" max="3550" width="11.33203125" style="97" customWidth="1"/>
    <col min="3551" max="3551" width="10.6640625" style="97" customWidth="1"/>
    <col min="3552" max="3552" width="11.33203125" style="97" customWidth="1"/>
    <col min="3553" max="3553" width="8.6640625" style="97" customWidth="1"/>
    <col min="3554" max="3554" width="13.88671875" style="97" customWidth="1"/>
    <col min="3555" max="3555" width="10.88671875" style="97" customWidth="1"/>
    <col min="3556" max="3556" width="9.88671875" style="97" customWidth="1"/>
    <col min="3557" max="3568" width="10.44140625" style="97" customWidth="1"/>
    <col min="3569" max="3569" width="12" style="97" customWidth="1"/>
    <col min="3570" max="3792" width="11" style="97"/>
    <col min="3793" max="3793" width="7.5546875" style="97" customWidth="1"/>
    <col min="3794" max="3795" width="9.5546875" style="97" customWidth="1"/>
    <col min="3796" max="3796" width="32.6640625" style="97" customWidth="1"/>
    <col min="3797" max="3800" width="13.6640625" style="97" customWidth="1"/>
    <col min="3801" max="3801" width="11.5546875" style="97" customWidth="1"/>
    <col min="3802" max="3802" width="11.109375" style="97" customWidth="1"/>
    <col min="3803" max="3803" width="12.44140625" style="97" customWidth="1"/>
    <col min="3804" max="3804" width="8.88671875" style="97" customWidth="1"/>
    <col min="3805" max="3805" width="13.33203125" style="97" customWidth="1"/>
    <col min="3806" max="3806" width="11.33203125" style="97" customWidth="1"/>
    <col min="3807" max="3807" width="10.6640625" style="97" customWidth="1"/>
    <col min="3808" max="3808" width="11.33203125" style="97" customWidth="1"/>
    <col min="3809" max="3809" width="8.6640625" style="97" customWidth="1"/>
    <col min="3810" max="3810" width="13.88671875" style="97" customWidth="1"/>
    <col min="3811" max="3811" width="10.88671875" style="97" customWidth="1"/>
    <col min="3812" max="3812" width="9.88671875" style="97" customWidth="1"/>
    <col min="3813" max="3824" width="10.44140625" style="97" customWidth="1"/>
    <col min="3825" max="3825" width="12" style="97" customWidth="1"/>
    <col min="3826" max="4048" width="11" style="97"/>
    <col min="4049" max="4049" width="7.5546875" style="97" customWidth="1"/>
    <col min="4050" max="4051" width="9.5546875" style="97" customWidth="1"/>
    <col min="4052" max="4052" width="32.6640625" style="97" customWidth="1"/>
    <col min="4053" max="4056" width="13.6640625" style="97" customWidth="1"/>
    <col min="4057" max="4057" width="11.5546875" style="97" customWidth="1"/>
    <col min="4058" max="4058" width="11.109375" style="97" customWidth="1"/>
    <col min="4059" max="4059" width="12.44140625" style="97" customWidth="1"/>
    <col min="4060" max="4060" width="8.88671875" style="97" customWidth="1"/>
    <col min="4061" max="4061" width="13.33203125" style="97" customWidth="1"/>
    <col min="4062" max="4062" width="11.33203125" style="97" customWidth="1"/>
    <col min="4063" max="4063" width="10.6640625" style="97" customWidth="1"/>
    <col min="4064" max="4064" width="11.33203125" style="97" customWidth="1"/>
    <col min="4065" max="4065" width="8.6640625" style="97" customWidth="1"/>
    <col min="4066" max="4066" width="13.88671875" style="97" customWidth="1"/>
    <col min="4067" max="4067" width="10.88671875" style="97" customWidth="1"/>
    <col min="4068" max="4068" width="9.88671875" style="97" customWidth="1"/>
    <col min="4069" max="4080" width="10.44140625" style="97" customWidth="1"/>
    <col min="4081" max="4081" width="12" style="97" customWidth="1"/>
    <col min="4082" max="4304" width="11" style="97"/>
    <col min="4305" max="4305" width="7.5546875" style="97" customWidth="1"/>
    <col min="4306" max="4307" width="9.5546875" style="97" customWidth="1"/>
    <col min="4308" max="4308" width="32.6640625" style="97" customWidth="1"/>
    <col min="4309" max="4312" width="13.6640625" style="97" customWidth="1"/>
    <col min="4313" max="4313" width="11.5546875" style="97" customWidth="1"/>
    <col min="4314" max="4314" width="11.109375" style="97" customWidth="1"/>
    <col min="4315" max="4315" width="12.44140625" style="97" customWidth="1"/>
    <col min="4316" max="4316" width="8.88671875" style="97" customWidth="1"/>
    <col min="4317" max="4317" width="13.33203125" style="97" customWidth="1"/>
    <col min="4318" max="4318" width="11.33203125" style="97" customWidth="1"/>
    <col min="4319" max="4319" width="10.6640625" style="97" customWidth="1"/>
    <col min="4320" max="4320" width="11.33203125" style="97" customWidth="1"/>
    <col min="4321" max="4321" width="8.6640625" style="97" customWidth="1"/>
    <col min="4322" max="4322" width="13.88671875" style="97" customWidth="1"/>
    <col min="4323" max="4323" width="10.88671875" style="97" customWidth="1"/>
    <col min="4324" max="4324" width="9.88671875" style="97" customWidth="1"/>
    <col min="4325" max="4336" width="10.44140625" style="97" customWidth="1"/>
    <col min="4337" max="4337" width="12" style="97" customWidth="1"/>
    <col min="4338" max="4560" width="11" style="97"/>
    <col min="4561" max="4561" width="7.5546875" style="97" customWidth="1"/>
    <col min="4562" max="4563" width="9.5546875" style="97" customWidth="1"/>
    <col min="4564" max="4564" width="32.6640625" style="97" customWidth="1"/>
    <col min="4565" max="4568" width="13.6640625" style="97" customWidth="1"/>
    <col min="4569" max="4569" width="11.5546875" style="97" customWidth="1"/>
    <col min="4570" max="4570" width="11.109375" style="97" customWidth="1"/>
    <col min="4571" max="4571" width="12.44140625" style="97" customWidth="1"/>
    <col min="4572" max="4572" width="8.88671875" style="97" customWidth="1"/>
    <col min="4573" max="4573" width="13.33203125" style="97" customWidth="1"/>
    <col min="4574" max="4574" width="11.33203125" style="97" customWidth="1"/>
    <col min="4575" max="4575" width="10.6640625" style="97" customWidth="1"/>
    <col min="4576" max="4576" width="11.33203125" style="97" customWidth="1"/>
    <col min="4577" max="4577" width="8.6640625" style="97" customWidth="1"/>
    <col min="4578" max="4578" width="13.88671875" style="97" customWidth="1"/>
    <col min="4579" max="4579" width="10.88671875" style="97" customWidth="1"/>
    <col min="4580" max="4580" width="9.88671875" style="97" customWidth="1"/>
    <col min="4581" max="4592" width="10.44140625" style="97" customWidth="1"/>
    <col min="4593" max="4593" width="12" style="97" customWidth="1"/>
    <col min="4594" max="4816" width="11" style="97"/>
    <col min="4817" max="4817" width="7.5546875" style="97" customWidth="1"/>
    <col min="4818" max="4819" width="9.5546875" style="97" customWidth="1"/>
    <col min="4820" max="4820" width="32.6640625" style="97" customWidth="1"/>
    <col min="4821" max="4824" width="13.6640625" style="97" customWidth="1"/>
    <col min="4825" max="4825" width="11.5546875" style="97" customWidth="1"/>
    <col min="4826" max="4826" width="11.109375" style="97" customWidth="1"/>
    <col min="4827" max="4827" width="12.44140625" style="97" customWidth="1"/>
    <col min="4828" max="4828" width="8.88671875" style="97" customWidth="1"/>
    <col min="4829" max="4829" width="13.33203125" style="97" customWidth="1"/>
    <col min="4830" max="4830" width="11.33203125" style="97" customWidth="1"/>
    <col min="4831" max="4831" width="10.6640625" style="97" customWidth="1"/>
    <col min="4832" max="4832" width="11.33203125" style="97" customWidth="1"/>
    <col min="4833" max="4833" width="8.6640625" style="97" customWidth="1"/>
    <col min="4834" max="4834" width="13.88671875" style="97" customWidth="1"/>
    <col min="4835" max="4835" width="10.88671875" style="97" customWidth="1"/>
    <col min="4836" max="4836" width="9.88671875" style="97" customWidth="1"/>
    <col min="4837" max="4848" width="10.44140625" style="97" customWidth="1"/>
    <col min="4849" max="4849" width="12" style="97" customWidth="1"/>
    <col min="4850" max="5072" width="11" style="97"/>
    <col min="5073" max="5073" width="7.5546875" style="97" customWidth="1"/>
    <col min="5074" max="5075" width="9.5546875" style="97" customWidth="1"/>
    <col min="5076" max="5076" width="32.6640625" style="97" customWidth="1"/>
    <col min="5077" max="5080" width="13.6640625" style="97" customWidth="1"/>
    <col min="5081" max="5081" width="11.5546875" style="97" customWidth="1"/>
    <col min="5082" max="5082" width="11.109375" style="97" customWidth="1"/>
    <col min="5083" max="5083" width="12.44140625" style="97" customWidth="1"/>
    <col min="5084" max="5084" width="8.88671875" style="97" customWidth="1"/>
    <col min="5085" max="5085" width="13.33203125" style="97" customWidth="1"/>
    <col min="5086" max="5086" width="11.33203125" style="97" customWidth="1"/>
    <col min="5087" max="5087" width="10.6640625" style="97" customWidth="1"/>
    <col min="5088" max="5088" width="11.33203125" style="97" customWidth="1"/>
    <col min="5089" max="5089" width="8.6640625" style="97" customWidth="1"/>
    <col min="5090" max="5090" width="13.88671875" style="97" customWidth="1"/>
    <col min="5091" max="5091" width="10.88671875" style="97" customWidth="1"/>
    <col min="5092" max="5092" width="9.88671875" style="97" customWidth="1"/>
    <col min="5093" max="5104" width="10.44140625" style="97" customWidth="1"/>
    <col min="5105" max="5105" width="12" style="97" customWidth="1"/>
    <col min="5106" max="5328" width="11" style="97"/>
    <col min="5329" max="5329" width="7.5546875" style="97" customWidth="1"/>
    <col min="5330" max="5331" width="9.5546875" style="97" customWidth="1"/>
    <col min="5332" max="5332" width="32.6640625" style="97" customWidth="1"/>
    <col min="5333" max="5336" width="13.6640625" style="97" customWidth="1"/>
    <col min="5337" max="5337" width="11.5546875" style="97" customWidth="1"/>
    <col min="5338" max="5338" width="11.109375" style="97" customWidth="1"/>
    <col min="5339" max="5339" width="12.44140625" style="97" customWidth="1"/>
    <col min="5340" max="5340" width="8.88671875" style="97" customWidth="1"/>
    <col min="5341" max="5341" width="13.33203125" style="97" customWidth="1"/>
    <col min="5342" max="5342" width="11.33203125" style="97" customWidth="1"/>
    <col min="5343" max="5343" width="10.6640625" style="97" customWidth="1"/>
    <col min="5344" max="5344" width="11.33203125" style="97" customWidth="1"/>
    <col min="5345" max="5345" width="8.6640625" style="97" customWidth="1"/>
    <col min="5346" max="5346" width="13.88671875" style="97" customWidth="1"/>
    <col min="5347" max="5347" width="10.88671875" style="97" customWidth="1"/>
    <col min="5348" max="5348" width="9.88671875" style="97" customWidth="1"/>
    <col min="5349" max="5360" width="10.44140625" style="97" customWidth="1"/>
    <col min="5361" max="5361" width="12" style="97" customWidth="1"/>
    <col min="5362" max="5584" width="11" style="97"/>
    <col min="5585" max="5585" width="7.5546875" style="97" customWidth="1"/>
    <col min="5586" max="5587" width="9.5546875" style="97" customWidth="1"/>
    <col min="5588" max="5588" width="32.6640625" style="97" customWidth="1"/>
    <col min="5589" max="5592" width="13.6640625" style="97" customWidth="1"/>
    <col min="5593" max="5593" width="11.5546875" style="97" customWidth="1"/>
    <col min="5594" max="5594" width="11.109375" style="97" customWidth="1"/>
    <col min="5595" max="5595" width="12.44140625" style="97" customWidth="1"/>
    <col min="5596" max="5596" width="8.88671875" style="97" customWidth="1"/>
    <col min="5597" max="5597" width="13.33203125" style="97" customWidth="1"/>
    <col min="5598" max="5598" width="11.33203125" style="97" customWidth="1"/>
    <col min="5599" max="5599" width="10.6640625" style="97" customWidth="1"/>
    <col min="5600" max="5600" width="11.33203125" style="97" customWidth="1"/>
    <col min="5601" max="5601" width="8.6640625" style="97" customWidth="1"/>
    <col min="5602" max="5602" width="13.88671875" style="97" customWidth="1"/>
    <col min="5603" max="5603" width="10.88671875" style="97" customWidth="1"/>
    <col min="5604" max="5604" width="9.88671875" style="97" customWidth="1"/>
    <col min="5605" max="5616" width="10.44140625" style="97" customWidth="1"/>
    <col min="5617" max="5617" width="12" style="97" customWidth="1"/>
    <col min="5618" max="5840" width="11" style="97"/>
    <col min="5841" max="5841" width="7.5546875" style="97" customWidth="1"/>
    <col min="5842" max="5843" width="9.5546875" style="97" customWidth="1"/>
    <col min="5844" max="5844" width="32.6640625" style="97" customWidth="1"/>
    <col min="5845" max="5848" width="13.6640625" style="97" customWidth="1"/>
    <col min="5849" max="5849" width="11.5546875" style="97" customWidth="1"/>
    <col min="5850" max="5850" width="11.109375" style="97" customWidth="1"/>
    <col min="5851" max="5851" width="12.44140625" style="97" customWidth="1"/>
    <col min="5852" max="5852" width="8.88671875" style="97" customWidth="1"/>
    <col min="5853" max="5853" width="13.33203125" style="97" customWidth="1"/>
    <col min="5854" max="5854" width="11.33203125" style="97" customWidth="1"/>
    <col min="5855" max="5855" width="10.6640625" style="97" customWidth="1"/>
    <col min="5856" max="5856" width="11.33203125" style="97" customWidth="1"/>
    <col min="5857" max="5857" width="8.6640625" style="97" customWidth="1"/>
    <col min="5858" max="5858" width="13.88671875" style="97" customWidth="1"/>
    <col min="5859" max="5859" width="10.88671875" style="97" customWidth="1"/>
    <col min="5860" max="5860" width="9.88671875" style="97" customWidth="1"/>
    <col min="5861" max="5872" width="10.44140625" style="97" customWidth="1"/>
    <col min="5873" max="5873" width="12" style="97" customWidth="1"/>
    <col min="5874" max="6096" width="11" style="97"/>
    <col min="6097" max="6097" width="7.5546875" style="97" customWidth="1"/>
    <col min="6098" max="6099" width="9.5546875" style="97" customWidth="1"/>
    <col min="6100" max="6100" width="32.6640625" style="97" customWidth="1"/>
    <col min="6101" max="6104" width="13.6640625" style="97" customWidth="1"/>
    <col min="6105" max="6105" width="11.5546875" style="97" customWidth="1"/>
    <col min="6106" max="6106" width="11.109375" style="97" customWidth="1"/>
    <col min="6107" max="6107" width="12.44140625" style="97" customWidth="1"/>
    <col min="6108" max="6108" width="8.88671875" style="97" customWidth="1"/>
    <col min="6109" max="6109" width="13.33203125" style="97" customWidth="1"/>
    <col min="6110" max="6110" width="11.33203125" style="97" customWidth="1"/>
    <col min="6111" max="6111" width="10.6640625" style="97" customWidth="1"/>
    <col min="6112" max="6112" width="11.33203125" style="97" customWidth="1"/>
    <col min="6113" max="6113" width="8.6640625" style="97" customWidth="1"/>
    <col min="6114" max="6114" width="13.88671875" style="97" customWidth="1"/>
    <col min="6115" max="6115" width="10.88671875" style="97" customWidth="1"/>
    <col min="6116" max="6116" width="9.88671875" style="97" customWidth="1"/>
    <col min="6117" max="6128" width="10.44140625" style="97" customWidth="1"/>
    <col min="6129" max="6129" width="12" style="97" customWidth="1"/>
    <col min="6130" max="6352" width="11" style="97"/>
    <col min="6353" max="6353" width="7.5546875" style="97" customWidth="1"/>
    <col min="6354" max="6355" width="9.5546875" style="97" customWidth="1"/>
    <col min="6356" max="6356" width="32.6640625" style="97" customWidth="1"/>
    <col min="6357" max="6360" width="13.6640625" style="97" customWidth="1"/>
    <col min="6361" max="6361" width="11.5546875" style="97" customWidth="1"/>
    <col min="6362" max="6362" width="11.109375" style="97" customWidth="1"/>
    <col min="6363" max="6363" width="12.44140625" style="97" customWidth="1"/>
    <col min="6364" max="6364" width="8.88671875" style="97" customWidth="1"/>
    <col min="6365" max="6365" width="13.33203125" style="97" customWidth="1"/>
    <col min="6366" max="6366" width="11.33203125" style="97" customWidth="1"/>
    <col min="6367" max="6367" width="10.6640625" style="97" customWidth="1"/>
    <col min="6368" max="6368" width="11.33203125" style="97" customWidth="1"/>
    <col min="6369" max="6369" width="8.6640625" style="97" customWidth="1"/>
    <col min="6370" max="6370" width="13.88671875" style="97" customWidth="1"/>
    <col min="6371" max="6371" width="10.88671875" style="97" customWidth="1"/>
    <col min="6372" max="6372" width="9.88671875" style="97" customWidth="1"/>
    <col min="6373" max="6384" width="10.44140625" style="97" customWidth="1"/>
    <col min="6385" max="6385" width="12" style="97" customWidth="1"/>
    <col min="6386" max="6608" width="11" style="97"/>
    <col min="6609" max="6609" width="7.5546875" style="97" customWidth="1"/>
    <col min="6610" max="6611" width="9.5546875" style="97" customWidth="1"/>
    <col min="6612" max="6612" width="32.6640625" style="97" customWidth="1"/>
    <col min="6613" max="6616" width="13.6640625" style="97" customWidth="1"/>
    <col min="6617" max="6617" width="11.5546875" style="97" customWidth="1"/>
    <col min="6618" max="6618" width="11.109375" style="97" customWidth="1"/>
    <col min="6619" max="6619" width="12.44140625" style="97" customWidth="1"/>
    <col min="6620" max="6620" width="8.88671875" style="97" customWidth="1"/>
    <col min="6621" max="6621" width="13.33203125" style="97" customWidth="1"/>
    <col min="6622" max="6622" width="11.33203125" style="97" customWidth="1"/>
    <col min="6623" max="6623" width="10.6640625" style="97" customWidth="1"/>
    <col min="6624" max="6624" width="11.33203125" style="97" customWidth="1"/>
    <col min="6625" max="6625" width="8.6640625" style="97" customWidth="1"/>
    <col min="6626" max="6626" width="13.88671875" style="97" customWidth="1"/>
    <col min="6627" max="6627" width="10.88671875" style="97" customWidth="1"/>
    <col min="6628" max="6628" width="9.88671875" style="97" customWidth="1"/>
    <col min="6629" max="6640" width="10.44140625" style="97" customWidth="1"/>
    <col min="6641" max="6641" width="12" style="97" customWidth="1"/>
    <col min="6642" max="6864" width="11" style="97"/>
    <col min="6865" max="6865" width="7.5546875" style="97" customWidth="1"/>
    <col min="6866" max="6867" width="9.5546875" style="97" customWidth="1"/>
    <col min="6868" max="6868" width="32.6640625" style="97" customWidth="1"/>
    <col min="6869" max="6872" width="13.6640625" style="97" customWidth="1"/>
    <col min="6873" max="6873" width="11.5546875" style="97" customWidth="1"/>
    <col min="6874" max="6874" width="11.109375" style="97" customWidth="1"/>
    <col min="6875" max="6875" width="12.44140625" style="97" customWidth="1"/>
    <col min="6876" max="6876" width="8.88671875" style="97" customWidth="1"/>
    <col min="6877" max="6877" width="13.33203125" style="97" customWidth="1"/>
    <col min="6878" max="6878" width="11.33203125" style="97" customWidth="1"/>
    <col min="6879" max="6879" width="10.6640625" style="97" customWidth="1"/>
    <col min="6880" max="6880" width="11.33203125" style="97" customWidth="1"/>
    <col min="6881" max="6881" width="8.6640625" style="97" customWidth="1"/>
    <col min="6882" max="6882" width="13.88671875" style="97" customWidth="1"/>
    <col min="6883" max="6883" width="10.88671875" style="97" customWidth="1"/>
    <col min="6884" max="6884" width="9.88671875" style="97" customWidth="1"/>
    <col min="6885" max="6896" width="10.44140625" style="97" customWidth="1"/>
    <col min="6897" max="6897" width="12" style="97" customWidth="1"/>
    <col min="6898" max="7120" width="11" style="97"/>
    <col min="7121" max="7121" width="7.5546875" style="97" customWidth="1"/>
    <col min="7122" max="7123" width="9.5546875" style="97" customWidth="1"/>
    <col min="7124" max="7124" width="32.6640625" style="97" customWidth="1"/>
    <col min="7125" max="7128" width="13.6640625" style="97" customWidth="1"/>
    <col min="7129" max="7129" width="11.5546875" style="97" customWidth="1"/>
    <col min="7130" max="7130" width="11.109375" style="97" customWidth="1"/>
    <col min="7131" max="7131" width="12.44140625" style="97" customWidth="1"/>
    <col min="7132" max="7132" width="8.88671875" style="97" customWidth="1"/>
    <col min="7133" max="7133" width="13.33203125" style="97" customWidth="1"/>
    <col min="7134" max="7134" width="11.33203125" style="97" customWidth="1"/>
    <col min="7135" max="7135" width="10.6640625" style="97" customWidth="1"/>
    <col min="7136" max="7136" width="11.33203125" style="97" customWidth="1"/>
    <col min="7137" max="7137" width="8.6640625" style="97" customWidth="1"/>
    <col min="7138" max="7138" width="13.88671875" style="97" customWidth="1"/>
    <col min="7139" max="7139" width="10.88671875" style="97" customWidth="1"/>
    <col min="7140" max="7140" width="9.88671875" style="97" customWidth="1"/>
    <col min="7141" max="7152" width="10.44140625" style="97" customWidth="1"/>
    <col min="7153" max="7153" width="12" style="97" customWidth="1"/>
    <col min="7154" max="7376" width="11" style="97"/>
    <col min="7377" max="7377" width="7.5546875" style="97" customWidth="1"/>
    <col min="7378" max="7379" width="9.5546875" style="97" customWidth="1"/>
    <col min="7380" max="7380" width="32.6640625" style="97" customWidth="1"/>
    <col min="7381" max="7384" width="13.6640625" style="97" customWidth="1"/>
    <col min="7385" max="7385" width="11.5546875" style="97" customWidth="1"/>
    <col min="7386" max="7386" width="11.109375" style="97" customWidth="1"/>
    <col min="7387" max="7387" width="12.44140625" style="97" customWidth="1"/>
    <col min="7388" max="7388" width="8.88671875" style="97" customWidth="1"/>
    <col min="7389" max="7389" width="13.33203125" style="97" customWidth="1"/>
    <col min="7390" max="7390" width="11.33203125" style="97" customWidth="1"/>
    <col min="7391" max="7391" width="10.6640625" style="97" customWidth="1"/>
    <col min="7392" max="7392" width="11.33203125" style="97" customWidth="1"/>
    <col min="7393" max="7393" width="8.6640625" style="97" customWidth="1"/>
    <col min="7394" max="7394" width="13.88671875" style="97" customWidth="1"/>
    <col min="7395" max="7395" width="10.88671875" style="97" customWidth="1"/>
    <col min="7396" max="7396" width="9.88671875" style="97" customWidth="1"/>
    <col min="7397" max="7408" width="10.44140625" style="97" customWidth="1"/>
    <col min="7409" max="7409" width="12" style="97" customWidth="1"/>
    <col min="7410" max="7632" width="11" style="97"/>
    <col min="7633" max="7633" width="7.5546875" style="97" customWidth="1"/>
    <col min="7634" max="7635" width="9.5546875" style="97" customWidth="1"/>
    <col min="7636" max="7636" width="32.6640625" style="97" customWidth="1"/>
    <col min="7637" max="7640" width="13.6640625" style="97" customWidth="1"/>
    <col min="7641" max="7641" width="11.5546875" style="97" customWidth="1"/>
    <col min="7642" max="7642" width="11.109375" style="97" customWidth="1"/>
    <col min="7643" max="7643" width="12.44140625" style="97" customWidth="1"/>
    <col min="7644" max="7644" width="8.88671875" style="97" customWidth="1"/>
    <col min="7645" max="7645" width="13.33203125" style="97" customWidth="1"/>
    <col min="7646" max="7646" width="11.33203125" style="97" customWidth="1"/>
    <col min="7647" max="7647" width="10.6640625" style="97" customWidth="1"/>
    <col min="7648" max="7648" width="11.33203125" style="97" customWidth="1"/>
    <col min="7649" max="7649" width="8.6640625" style="97" customWidth="1"/>
    <col min="7650" max="7650" width="13.88671875" style="97" customWidth="1"/>
    <col min="7651" max="7651" width="10.88671875" style="97" customWidth="1"/>
    <col min="7652" max="7652" width="9.88671875" style="97" customWidth="1"/>
    <col min="7653" max="7664" width="10.44140625" style="97" customWidth="1"/>
    <col min="7665" max="7665" width="12" style="97" customWidth="1"/>
    <col min="7666" max="7888" width="11" style="97"/>
    <col min="7889" max="7889" width="7.5546875" style="97" customWidth="1"/>
    <col min="7890" max="7891" width="9.5546875" style="97" customWidth="1"/>
    <col min="7892" max="7892" width="32.6640625" style="97" customWidth="1"/>
    <col min="7893" max="7896" width="13.6640625" style="97" customWidth="1"/>
    <col min="7897" max="7897" width="11.5546875" style="97" customWidth="1"/>
    <col min="7898" max="7898" width="11.109375" style="97" customWidth="1"/>
    <col min="7899" max="7899" width="12.44140625" style="97" customWidth="1"/>
    <col min="7900" max="7900" width="8.88671875" style="97" customWidth="1"/>
    <col min="7901" max="7901" width="13.33203125" style="97" customWidth="1"/>
    <col min="7902" max="7902" width="11.33203125" style="97" customWidth="1"/>
    <col min="7903" max="7903" width="10.6640625" style="97" customWidth="1"/>
    <col min="7904" max="7904" width="11.33203125" style="97" customWidth="1"/>
    <col min="7905" max="7905" width="8.6640625" style="97" customWidth="1"/>
    <col min="7906" max="7906" width="13.88671875" style="97" customWidth="1"/>
    <col min="7907" max="7907" width="10.88671875" style="97" customWidth="1"/>
    <col min="7908" max="7908" width="9.88671875" style="97" customWidth="1"/>
    <col min="7909" max="7920" width="10.44140625" style="97" customWidth="1"/>
    <col min="7921" max="7921" width="12" style="97" customWidth="1"/>
    <col min="7922" max="8144" width="11" style="97"/>
    <col min="8145" max="8145" width="7.5546875" style="97" customWidth="1"/>
    <col min="8146" max="8147" width="9.5546875" style="97" customWidth="1"/>
    <col min="8148" max="8148" width="32.6640625" style="97" customWidth="1"/>
    <col min="8149" max="8152" width="13.6640625" style="97" customWidth="1"/>
    <col min="8153" max="8153" width="11.5546875" style="97" customWidth="1"/>
    <col min="8154" max="8154" width="11.109375" style="97" customWidth="1"/>
    <col min="8155" max="8155" width="12.44140625" style="97" customWidth="1"/>
    <col min="8156" max="8156" width="8.88671875" style="97" customWidth="1"/>
    <col min="8157" max="8157" width="13.33203125" style="97" customWidth="1"/>
    <col min="8158" max="8158" width="11.33203125" style="97" customWidth="1"/>
    <col min="8159" max="8159" width="10.6640625" style="97" customWidth="1"/>
    <col min="8160" max="8160" width="11.33203125" style="97" customWidth="1"/>
    <col min="8161" max="8161" width="8.6640625" style="97" customWidth="1"/>
    <col min="8162" max="8162" width="13.88671875" style="97" customWidth="1"/>
    <col min="8163" max="8163" width="10.88671875" style="97" customWidth="1"/>
    <col min="8164" max="8164" width="9.88671875" style="97" customWidth="1"/>
    <col min="8165" max="8176" width="10.44140625" style="97" customWidth="1"/>
    <col min="8177" max="8177" width="12" style="97" customWidth="1"/>
    <col min="8178" max="8400" width="11" style="97"/>
    <col min="8401" max="8401" width="7.5546875" style="97" customWidth="1"/>
    <col min="8402" max="8403" width="9.5546875" style="97" customWidth="1"/>
    <col min="8404" max="8404" width="32.6640625" style="97" customWidth="1"/>
    <col min="8405" max="8408" width="13.6640625" style="97" customWidth="1"/>
    <col min="8409" max="8409" width="11.5546875" style="97" customWidth="1"/>
    <col min="8410" max="8410" width="11.109375" style="97" customWidth="1"/>
    <col min="8411" max="8411" width="12.44140625" style="97" customWidth="1"/>
    <col min="8412" max="8412" width="8.88671875" style="97" customWidth="1"/>
    <col min="8413" max="8413" width="13.33203125" style="97" customWidth="1"/>
    <col min="8414" max="8414" width="11.33203125" style="97" customWidth="1"/>
    <col min="8415" max="8415" width="10.6640625" style="97" customWidth="1"/>
    <col min="8416" max="8416" width="11.33203125" style="97" customWidth="1"/>
    <col min="8417" max="8417" width="8.6640625" style="97" customWidth="1"/>
    <col min="8418" max="8418" width="13.88671875" style="97" customWidth="1"/>
    <col min="8419" max="8419" width="10.88671875" style="97" customWidth="1"/>
    <col min="8420" max="8420" width="9.88671875" style="97" customWidth="1"/>
    <col min="8421" max="8432" width="10.44140625" style="97" customWidth="1"/>
    <col min="8433" max="8433" width="12" style="97" customWidth="1"/>
    <col min="8434" max="8656" width="11" style="97"/>
    <col min="8657" max="8657" width="7.5546875" style="97" customWidth="1"/>
    <col min="8658" max="8659" width="9.5546875" style="97" customWidth="1"/>
    <col min="8660" max="8660" width="32.6640625" style="97" customWidth="1"/>
    <col min="8661" max="8664" width="13.6640625" style="97" customWidth="1"/>
    <col min="8665" max="8665" width="11.5546875" style="97" customWidth="1"/>
    <col min="8666" max="8666" width="11.109375" style="97" customWidth="1"/>
    <col min="8667" max="8667" width="12.44140625" style="97" customWidth="1"/>
    <col min="8668" max="8668" width="8.88671875" style="97" customWidth="1"/>
    <col min="8669" max="8669" width="13.33203125" style="97" customWidth="1"/>
    <col min="8670" max="8670" width="11.33203125" style="97" customWidth="1"/>
    <col min="8671" max="8671" width="10.6640625" style="97" customWidth="1"/>
    <col min="8672" max="8672" width="11.33203125" style="97" customWidth="1"/>
    <col min="8673" max="8673" width="8.6640625" style="97" customWidth="1"/>
    <col min="8674" max="8674" width="13.88671875" style="97" customWidth="1"/>
    <col min="8675" max="8675" width="10.88671875" style="97" customWidth="1"/>
    <col min="8676" max="8676" width="9.88671875" style="97" customWidth="1"/>
    <col min="8677" max="8688" width="10.44140625" style="97" customWidth="1"/>
    <col min="8689" max="8689" width="12" style="97" customWidth="1"/>
    <col min="8690" max="8912" width="11" style="97"/>
    <col min="8913" max="8913" width="7.5546875" style="97" customWidth="1"/>
    <col min="8914" max="8915" width="9.5546875" style="97" customWidth="1"/>
    <col min="8916" max="8916" width="32.6640625" style="97" customWidth="1"/>
    <col min="8917" max="8920" width="13.6640625" style="97" customWidth="1"/>
    <col min="8921" max="8921" width="11.5546875" style="97" customWidth="1"/>
    <col min="8922" max="8922" width="11.109375" style="97" customWidth="1"/>
    <col min="8923" max="8923" width="12.44140625" style="97" customWidth="1"/>
    <col min="8924" max="8924" width="8.88671875" style="97" customWidth="1"/>
    <col min="8925" max="8925" width="13.33203125" style="97" customWidth="1"/>
    <col min="8926" max="8926" width="11.33203125" style="97" customWidth="1"/>
    <col min="8927" max="8927" width="10.6640625" style="97" customWidth="1"/>
    <col min="8928" max="8928" width="11.33203125" style="97" customWidth="1"/>
    <col min="8929" max="8929" width="8.6640625" style="97" customWidth="1"/>
    <col min="8930" max="8930" width="13.88671875" style="97" customWidth="1"/>
    <col min="8931" max="8931" width="10.88671875" style="97" customWidth="1"/>
    <col min="8932" max="8932" width="9.88671875" style="97" customWidth="1"/>
    <col min="8933" max="8944" width="10.44140625" style="97" customWidth="1"/>
    <col min="8945" max="8945" width="12" style="97" customWidth="1"/>
    <col min="8946" max="9168" width="11" style="97"/>
    <col min="9169" max="9169" width="7.5546875" style="97" customWidth="1"/>
    <col min="9170" max="9171" width="9.5546875" style="97" customWidth="1"/>
    <col min="9172" max="9172" width="32.6640625" style="97" customWidth="1"/>
    <col min="9173" max="9176" width="13.6640625" style="97" customWidth="1"/>
    <col min="9177" max="9177" width="11.5546875" style="97" customWidth="1"/>
    <col min="9178" max="9178" width="11.109375" style="97" customWidth="1"/>
    <col min="9179" max="9179" width="12.44140625" style="97" customWidth="1"/>
    <col min="9180" max="9180" width="8.88671875" style="97" customWidth="1"/>
    <col min="9181" max="9181" width="13.33203125" style="97" customWidth="1"/>
    <col min="9182" max="9182" width="11.33203125" style="97" customWidth="1"/>
    <col min="9183" max="9183" width="10.6640625" style="97" customWidth="1"/>
    <col min="9184" max="9184" width="11.33203125" style="97" customWidth="1"/>
    <col min="9185" max="9185" width="8.6640625" style="97" customWidth="1"/>
    <col min="9186" max="9186" width="13.88671875" style="97" customWidth="1"/>
    <col min="9187" max="9187" width="10.88671875" style="97" customWidth="1"/>
    <col min="9188" max="9188" width="9.88671875" style="97" customWidth="1"/>
    <col min="9189" max="9200" width="10.44140625" style="97" customWidth="1"/>
    <col min="9201" max="9201" width="12" style="97" customWidth="1"/>
    <col min="9202" max="9424" width="11" style="97"/>
    <col min="9425" max="9425" width="7.5546875" style="97" customWidth="1"/>
    <col min="9426" max="9427" width="9.5546875" style="97" customWidth="1"/>
    <col min="9428" max="9428" width="32.6640625" style="97" customWidth="1"/>
    <col min="9429" max="9432" width="13.6640625" style="97" customWidth="1"/>
    <col min="9433" max="9433" width="11.5546875" style="97" customWidth="1"/>
    <col min="9434" max="9434" width="11.109375" style="97" customWidth="1"/>
    <col min="9435" max="9435" width="12.44140625" style="97" customWidth="1"/>
    <col min="9436" max="9436" width="8.88671875" style="97" customWidth="1"/>
    <col min="9437" max="9437" width="13.33203125" style="97" customWidth="1"/>
    <col min="9438" max="9438" width="11.33203125" style="97" customWidth="1"/>
    <col min="9439" max="9439" width="10.6640625" style="97" customWidth="1"/>
    <col min="9440" max="9440" width="11.33203125" style="97" customWidth="1"/>
    <col min="9441" max="9441" width="8.6640625" style="97" customWidth="1"/>
    <col min="9442" max="9442" width="13.88671875" style="97" customWidth="1"/>
    <col min="9443" max="9443" width="10.88671875" style="97" customWidth="1"/>
    <col min="9444" max="9444" width="9.88671875" style="97" customWidth="1"/>
    <col min="9445" max="9456" width="10.44140625" style="97" customWidth="1"/>
    <col min="9457" max="9457" width="12" style="97" customWidth="1"/>
    <col min="9458" max="9680" width="11" style="97"/>
    <col min="9681" max="9681" width="7.5546875" style="97" customWidth="1"/>
    <col min="9682" max="9683" width="9.5546875" style="97" customWidth="1"/>
    <col min="9684" max="9684" width="32.6640625" style="97" customWidth="1"/>
    <col min="9685" max="9688" width="13.6640625" style="97" customWidth="1"/>
    <col min="9689" max="9689" width="11.5546875" style="97" customWidth="1"/>
    <col min="9690" max="9690" width="11.109375" style="97" customWidth="1"/>
    <col min="9691" max="9691" width="12.44140625" style="97" customWidth="1"/>
    <col min="9692" max="9692" width="8.88671875" style="97" customWidth="1"/>
    <col min="9693" max="9693" width="13.33203125" style="97" customWidth="1"/>
    <col min="9694" max="9694" width="11.33203125" style="97" customWidth="1"/>
    <col min="9695" max="9695" width="10.6640625" style="97" customWidth="1"/>
    <col min="9696" max="9696" width="11.33203125" style="97" customWidth="1"/>
    <col min="9697" max="9697" width="8.6640625" style="97" customWidth="1"/>
    <col min="9698" max="9698" width="13.88671875" style="97" customWidth="1"/>
    <col min="9699" max="9699" width="10.88671875" style="97" customWidth="1"/>
    <col min="9700" max="9700" width="9.88671875" style="97" customWidth="1"/>
    <col min="9701" max="9712" width="10.44140625" style="97" customWidth="1"/>
    <col min="9713" max="9713" width="12" style="97" customWidth="1"/>
    <col min="9714" max="9936" width="11" style="97"/>
    <col min="9937" max="9937" width="7.5546875" style="97" customWidth="1"/>
    <col min="9938" max="9939" width="9.5546875" style="97" customWidth="1"/>
    <col min="9940" max="9940" width="32.6640625" style="97" customWidth="1"/>
    <col min="9941" max="9944" width="13.6640625" style="97" customWidth="1"/>
    <col min="9945" max="9945" width="11.5546875" style="97" customWidth="1"/>
    <col min="9946" max="9946" width="11.109375" style="97" customWidth="1"/>
    <col min="9947" max="9947" width="12.44140625" style="97" customWidth="1"/>
    <col min="9948" max="9948" width="8.88671875" style="97" customWidth="1"/>
    <col min="9949" max="9949" width="13.33203125" style="97" customWidth="1"/>
    <col min="9950" max="9950" width="11.33203125" style="97" customWidth="1"/>
    <col min="9951" max="9951" width="10.6640625" style="97" customWidth="1"/>
    <col min="9952" max="9952" width="11.33203125" style="97" customWidth="1"/>
    <col min="9953" max="9953" width="8.6640625" style="97" customWidth="1"/>
    <col min="9954" max="9954" width="13.88671875" style="97" customWidth="1"/>
    <col min="9955" max="9955" width="10.88671875" style="97" customWidth="1"/>
    <col min="9956" max="9956" width="9.88671875" style="97" customWidth="1"/>
    <col min="9957" max="9968" width="10.44140625" style="97" customWidth="1"/>
    <col min="9969" max="9969" width="12" style="97" customWidth="1"/>
    <col min="9970" max="10192" width="11" style="97"/>
    <col min="10193" max="10193" width="7.5546875" style="97" customWidth="1"/>
    <col min="10194" max="10195" width="9.5546875" style="97" customWidth="1"/>
    <col min="10196" max="10196" width="32.6640625" style="97" customWidth="1"/>
    <col min="10197" max="10200" width="13.6640625" style="97" customWidth="1"/>
    <col min="10201" max="10201" width="11.5546875" style="97" customWidth="1"/>
    <col min="10202" max="10202" width="11.109375" style="97" customWidth="1"/>
    <col min="10203" max="10203" width="12.44140625" style="97" customWidth="1"/>
    <col min="10204" max="10204" width="8.88671875" style="97" customWidth="1"/>
    <col min="10205" max="10205" width="13.33203125" style="97" customWidth="1"/>
    <col min="10206" max="10206" width="11.33203125" style="97" customWidth="1"/>
    <col min="10207" max="10207" width="10.6640625" style="97" customWidth="1"/>
    <col min="10208" max="10208" width="11.33203125" style="97" customWidth="1"/>
    <col min="10209" max="10209" width="8.6640625" style="97" customWidth="1"/>
    <col min="10210" max="10210" width="13.88671875" style="97" customWidth="1"/>
    <col min="10211" max="10211" width="10.88671875" style="97" customWidth="1"/>
    <col min="10212" max="10212" width="9.88671875" style="97" customWidth="1"/>
    <col min="10213" max="10224" width="10.44140625" style="97" customWidth="1"/>
    <col min="10225" max="10225" width="12" style="97" customWidth="1"/>
    <col min="10226" max="10448" width="11" style="97"/>
    <col min="10449" max="10449" width="7.5546875" style="97" customWidth="1"/>
    <col min="10450" max="10451" width="9.5546875" style="97" customWidth="1"/>
    <col min="10452" max="10452" width="32.6640625" style="97" customWidth="1"/>
    <col min="10453" max="10456" width="13.6640625" style="97" customWidth="1"/>
    <col min="10457" max="10457" width="11.5546875" style="97" customWidth="1"/>
    <col min="10458" max="10458" width="11.109375" style="97" customWidth="1"/>
    <col min="10459" max="10459" width="12.44140625" style="97" customWidth="1"/>
    <col min="10460" max="10460" width="8.88671875" style="97" customWidth="1"/>
    <col min="10461" max="10461" width="13.33203125" style="97" customWidth="1"/>
    <col min="10462" max="10462" width="11.33203125" style="97" customWidth="1"/>
    <col min="10463" max="10463" width="10.6640625" style="97" customWidth="1"/>
    <col min="10464" max="10464" width="11.33203125" style="97" customWidth="1"/>
    <col min="10465" max="10465" width="8.6640625" style="97" customWidth="1"/>
    <col min="10466" max="10466" width="13.88671875" style="97" customWidth="1"/>
    <col min="10467" max="10467" width="10.88671875" style="97" customWidth="1"/>
    <col min="10468" max="10468" width="9.88671875" style="97" customWidth="1"/>
    <col min="10469" max="10480" width="10.44140625" style="97" customWidth="1"/>
    <col min="10481" max="10481" width="12" style="97" customWidth="1"/>
    <col min="10482" max="10704" width="11" style="97"/>
    <col min="10705" max="10705" width="7.5546875" style="97" customWidth="1"/>
    <col min="10706" max="10707" width="9.5546875" style="97" customWidth="1"/>
    <col min="10708" max="10708" width="32.6640625" style="97" customWidth="1"/>
    <col min="10709" max="10712" width="13.6640625" style="97" customWidth="1"/>
    <col min="10713" max="10713" width="11.5546875" style="97" customWidth="1"/>
    <col min="10714" max="10714" width="11.109375" style="97" customWidth="1"/>
    <col min="10715" max="10715" width="12.44140625" style="97" customWidth="1"/>
    <col min="10716" max="10716" width="8.88671875" style="97" customWidth="1"/>
    <col min="10717" max="10717" width="13.33203125" style="97" customWidth="1"/>
    <col min="10718" max="10718" width="11.33203125" style="97" customWidth="1"/>
    <col min="10719" max="10719" width="10.6640625" style="97" customWidth="1"/>
    <col min="10720" max="10720" width="11.33203125" style="97" customWidth="1"/>
    <col min="10721" max="10721" width="8.6640625" style="97" customWidth="1"/>
    <col min="10722" max="10722" width="13.88671875" style="97" customWidth="1"/>
    <col min="10723" max="10723" width="10.88671875" style="97" customWidth="1"/>
    <col min="10724" max="10724" width="9.88671875" style="97" customWidth="1"/>
    <col min="10725" max="10736" width="10.44140625" style="97" customWidth="1"/>
    <col min="10737" max="10737" width="12" style="97" customWidth="1"/>
    <col min="10738" max="10960" width="11" style="97"/>
    <col min="10961" max="10961" width="7.5546875" style="97" customWidth="1"/>
    <col min="10962" max="10963" width="9.5546875" style="97" customWidth="1"/>
    <col min="10964" max="10964" width="32.6640625" style="97" customWidth="1"/>
    <col min="10965" max="10968" width="13.6640625" style="97" customWidth="1"/>
    <col min="10969" max="10969" width="11.5546875" style="97" customWidth="1"/>
    <col min="10970" max="10970" width="11.109375" style="97" customWidth="1"/>
    <col min="10971" max="10971" width="12.44140625" style="97" customWidth="1"/>
    <col min="10972" max="10972" width="8.88671875" style="97" customWidth="1"/>
    <col min="10973" max="10973" width="13.33203125" style="97" customWidth="1"/>
    <col min="10974" max="10974" width="11.33203125" style="97" customWidth="1"/>
    <col min="10975" max="10975" width="10.6640625" style="97" customWidth="1"/>
    <col min="10976" max="10976" width="11.33203125" style="97" customWidth="1"/>
    <col min="10977" max="10977" width="8.6640625" style="97" customWidth="1"/>
    <col min="10978" max="10978" width="13.88671875" style="97" customWidth="1"/>
    <col min="10979" max="10979" width="10.88671875" style="97" customWidth="1"/>
    <col min="10980" max="10980" width="9.88671875" style="97" customWidth="1"/>
    <col min="10981" max="10992" width="10.44140625" style="97" customWidth="1"/>
    <col min="10993" max="10993" width="12" style="97" customWidth="1"/>
    <col min="10994" max="11216" width="11" style="97"/>
    <col min="11217" max="11217" width="7.5546875" style="97" customWidth="1"/>
    <col min="11218" max="11219" width="9.5546875" style="97" customWidth="1"/>
    <col min="11220" max="11220" width="32.6640625" style="97" customWidth="1"/>
    <col min="11221" max="11224" width="13.6640625" style="97" customWidth="1"/>
    <col min="11225" max="11225" width="11.5546875" style="97" customWidth="1"/>
    <col min="11226" max="11226" width="11.109375" style="97" customWidth="1"/>
    <col min="11227" max="11227" width="12.44140625" style="97" customWidth="1"/>
    <col min="11228" max="11228" width="8.88671875" style="97" customWidth="1"/>
    <col min="11229" max="11229" width="13.33203125" style="97" customWidth="1"/>
    <col min="11230" max="11230" width="11.33203125" style="97" customWidth="1"/>
    <col min="11231" max="11231" width="10.6640625" style="97" customWidth="1"/>
    <col min="11232" max="11232" width="11.33203125" style="97" customWidth="1"/>
    <col min="11233" max="11233" width="8.6640625" style="97" customWidth="1"/>
    <col min="11234" max="11234" width="13.88671875" style="97" customWidth="1"/>
    <col min="11235" max="11235" width="10.88671875" style="97" customWidth="1"/>
    <col min="11236" max="11236" width="9.88671875" style="97" customWidth="1"/>
    <col min="11237" max="11248" width="10.44140625" style="97" customWidth="1"/>
    <col min="11249" max="11249" width="12" style="97" customWidth="1"/>
    <col min="11250" max="11472" width="11" style="97"/>
    <col min="11473" max="11473" width="7.5546875" style="97" customWidth="1"/>
    <col min="11474" max="11475" width="9.5546875" style="97" customWidth="1"/>
    <col min="11476" max="11476" width="32.6640625" style="97" customWidth="1"/>
    <col min="11477" max="11480" width="13.6640625" style="97" customWidth="1"/>
    <col min="11481" max="11481" width="11.5546875" style="97" customWidth="1"/>
    <col min="11482" max="11482" width="11.109375" style="97" customWidth="1"/>
    <col min="11483" max="11483" width="12.44140625" style="97" customWidth="1"/>
    <col min="11484" max="11484" width="8.88671875" style="97" customWidth="1"/>
    <col min="11485" max="11485" width="13.33203125" style="97" customWidth="1"/>
    <col min="11486" max="11486" width="11.33203125" style="97" customWidth="1"/>
    <col min="11487" max="11487" width="10.6640625" style="97" customWidth="1"/>
    <col min="11488" max="11488" width="11.33203125" style="97" customWidth="1"/>
    <col min="11489" max="11489" width="8.6640625" style="97" customWidth="1"/>
    <col min="11490" max="11490" width="13.88671875" style="97" customWidth="1"/>
    <col min="11491" max="11491" width="10.88671875" style="97" customWidth="1"/>
    <col min="11492" max="11492" width="9.88671875" style="97" customWidth="1"/>
    <col min="11493" max="11504" width="10.44140625" style="97" customWidth="1"/>
    <col min="11505" max="11505" width="12" style="97" customWidth="1"/>
    <col min="11506" max="11728" width="11" style="97"/>
    <col min="11729" max="11729" width="7.5546875" style="97" customWidth="1"/>
    <col min="11730" max="11731" width="9.5546875" style="97" customWidth="1"/>
    <col min="11732" max="11732" width="32.6640625" style="97" customWidth="1"/>
    <col min="11733" max="11736" width="13.6640625" style="97" customWidth="1"/>
    <col min="11737" max="11737" width="11.5546875" style="97" customWidth="1"/>
    <col min="11738" max="11738" width="11.109375" style="97" customWidth="1"/>
    <col min="11739" max="11739" width="12.44140625" style="97" customWidth="1"/>
    <col min="11740" max="11740" width="8.88671875" style="97" customWidth="1"/>
    <col min="11741" max="11741" width="13.33203125" style="97" customWidth="1"/>
    <col min="11742" max="11742" width="11.33203125" style="97" customWidth="1"/>
    <col min="11743" max="11743" width="10.6640625" style="97" customWidth="1"/>
    <col min="11744" max="11744" width="11.33203125" style="97" customWidth="1"/>
    <col min="11745" max="11745" width="8.6640625" style="97" customWidth="1"/>
    <col min="11746" max="11746" width="13.88671875" style="97" customWidth="1"/>
    <col min="11747" max="11747" width="10.88671875" style="97" customWidth="1"/>
    <col min="11748" max="11748" width="9.88671875" style="97" customWidth="1"/>
    <col min="11749" max="11760" width="10.44140625" style="97" customWidth="1"/>
    <col min="11761" max="11761" width="12" style="97" customWidth="1"/>
    <col min="11762" max="11984" width="11" style="97"/>
    <col min="11985" max="11985" width="7.5546875" style="97" customWidth="1"/>
    <col min="11986" max="11987" width="9.5546875" style="97" customWidth="1"/>
    <col min="11988" max="11988" width="32.6640625" style="97" customWidth="1"/>
    <col min="11989" max="11992" width="13.6640625" style="97" customWidth="1"/>
    <col min="11993" max="11993" width="11.5546875" style="97" customWidth="1"/>
    <col min="11994" max="11994" width="11.109375" style="97" customWidth="1"/>
    <col min="11995" max="11995" width="12.44140625" style="97" customWidth="1"/>
    <col min="11996" max="11996" width="8.88671875" style="97" customWidth="1"/>
    <col min="11997" max="11997" width="13.33203125" style="97" customWidth="1"/>
    <col min="11998" max="11998" width="11.33203125" style="97" customWidth="1"/>
    <col min="11999" max="11999" width="10.6640625" style="97" customWidth="1"/>
    <col min="12000" max="12000" width="11.33203125" style="97" customWidth="1"/>
    <col min="12001" max="12001" width="8.6640625" style="97" customWidth="1"/>
    <col min="12002" max="12002" width="13.88671875" style="97" customWidth="1"/>
    <col min="12003" max="12003" width="10.88671875" style="97" customWidth="1"/>
    <col min="12004" max="12004" width="9.88671875" style="97" customWidth="1"/>
    <col min="12005" max="12016" width="10.44140625" style="97" customWidth="1"/>
    <col min="12017" max="12017" width="12" style="97" customWidth="1"/>
    <col min="12018" max="12240" width="11" style="97"/>
    <col min="12241" max="12241" width="7.5546875" style="97" customWidth="1"/>
    <col min="12242" max="12243" width="9.5546875" style="97" customWidth="1"/>
    <col min="12244" max="12244" width="32.6640625" style="97" customWidth="1"/>
    <col min="12245" max="12248" width="13.6640625" style="97" customWidth="1"/>
    <col min="12249" max="12249" width="11.5546875" style="97" customWidth="1"/>
    <col min="12250" max="12250" width="11.109375" style="97" customWidth="1"/>
    <col min="12251" max="12251" width="12.44140625" style="97" customWidth="1"/>
    <col min="12252" max="12252" width="8.88671875" style="97" customWidth="1"/>
    <col min="12253" max="12253" width="13.33203125" style="97" customWidth="1"/>
    <col min="12254" max="12254" width="11.33203125" style="97" customWidth="1"/>
    <col min="12255" max="12255" width="10.6640625" style="97" customWidth="1"/>
    <col min="12256" max="12256" width="11.33203125" style="97" customWidth="1"/>
    <col min="12257" max="12257" width="8.6640625" style="97" customWidth="1"/>
    <col min="12258" max="12258" width="13.88671875" style="97" customWidth="1"/>
    <col min="12259" max="12259" width="10.88671875" style="97" customWidth="1"/>
    <col min="12260" max="12260" width="9.88671875" style="97" customWidth="1"/>
    <col min="12261" max="12272" width="10.44140625" style="97" customWidth="1"/>
    <col min="12273" max="12273" width="12" style="97" customWidth="1"/>
    <col min="12274" max="12496" width="11" style="97"/>
    <col min="12497" max="12497" width="7.5546875" style="97" customWidth="1"/>
    <col min="12498" max="12499" width="9.5546875" style="97" customWidth="1"/>
    <col min="12500" max="12500" width="32.6640625" style="97" customWidth="1"/>
    <col min="12501" max="12504" width="13.6640625" style="97" customWidth="1"/>
    <col min="12505" max="12505" width="11.5546875" style="97" customWidth="1"/>
    <col min="12506" max="12506" width="11.109375" style="97" customWidth="1"/>
    <col min="12507" max="12507" width="12.44140625" style="97" customWidth="1"/>
    <col min="12508" max="12508" width="8.88671875" style="97" customWidth="1"/>
    <col min="12509" max="12509" width="13.33203125" style="97" customWidth="1"/>
    <col min="12510" max="12510" width="11.33203125" style="97" customWidth="1"/>
    <col min="12511" max="12511" width="10.6640625" style="97" customWidth="1"/>
    <col min="12512" max="12512" width="11.33203125" style="97" customWidth="1"/>
    <col min="12513" max="12513" width="8.6640625" style="97" customWidth="1"/>
    <col min="12514" max="12514" width="13.88671875" style="97" customWidth="1"/>
    <col min="12515" max="12515" width="10.88671875" style="97" customWidth="1"/>
    <col min="12516" max="12516" width="9.88671875" style="97" customWidth="1"/>
    <col min="12517" max="12528" width="10.44140625" style="97" customWidth="1"/>
    <col min="12529" max="12529" width="12" style="97" customWidth="1"/>
    <col min="12530" max="12752" width="11" style="97"/>
    <col min="12753" max="12753" width="7.5546875" style="97" customWidth="1"/>
    <col min="12754" max="12755" width="9.5546875" style="97" customWidth="1"/>
    <col min="12756" max="12756" width="32.6640625" style="97" customWidth="1"/>
    <col min="12757" max="12760" width="13.6640625" style="97" customWidth="1"/>
    <col min="12761" max="12761" width="11.5546875" style="97" customWidth="1"/>
    <col min="12762" max="12762" width="11.109375" style="97" customWidth="1"/>
    <col min="12763" max="12763" width="12.44140625" style="97" customWidth="1"/>
    <col min="12764" max="12764" width="8.88671875" style="97" customWidth="1"/>
    <col min="12765" max="12765" width="13.33203125" style="97" customWidth="1"/>
    <col min="12766" max="12766" width="11.33203125" style="97" customWidth="1"/>
    <col min="12767" max="12767" width="10.6640625" style="97" customWidth="1"/>
    <col min="12768" max="12768" width="11.33203125" style="97" customWidth="1"/>
    <col min="12769" max="12769" width="8.6640625" style="97" customWidth="1"/>
    <col min="12770" max="12770" width="13.88671875" style="97" customWidth="1"/>
    <col min="12771" max="12771" width="10.88671875" style="97" customWidth="1"/>
    <col min="12772" max="12772" width="9.88671875" style="97" customWidth="1"/>
    <col min="12773" max="12784" width="10.44140625" style="97" customWidth="1"/>
    <col min="12785" max="12785" width="12" style="97" customWidth="1"/>
    <col min="12786" max="13008" width="11" style="97"/>
    <col min="13009" max="13009" width="7.5546875" style="97" customWidth="1"/>
    <col min="13010" max="13011" width="9.5546875" style="97" customWidth="1"/>
    <col min="13012" max="13012" width="32.6640625" style="97" customWidth="1"/>
    <col min="13013" max="13016" width="13.6640625" style="97" customWidth="1"/>
    <col min="13017" max="13017" width="11.5546875" style="97" customWidth="1"/>
    <col min="13018" max="13018" width="11.109375" style="97" customWidth="1"/>
    <col min="13019" max="13019" width="12.44140625" style="97" customWidth="1"/>
    <col min="13020" max="13020" width="8.88671875" style="97" customWidth="1"/>
    <col min="13021" max="13021" width="13.33203125" style="97" customWidth="1"/>
    <col min="13022" max="13022" width="11.33203125" style="97" customWidth="1"/>
    <col min="13023" max="13023" width="10.6640625" style="97" customWidth="1"/>
    <col min="13024" max="13024" width="11.33203125" style="97" customWidth="1"/>
    <col min="13025" max="13025" width="8.6640625" style="97" customWidth="1"/>
    <col min="13026" max="13026" width="13.88671875" style="97" customWidth="1"/>
    <col min="13027" max="13027" width="10.88671875" style="97" customWidth="1"/>
    <col min="13028" max="13028" width="9.88671875" style="97" customWidth="1"/>
    <col min="13029" max="13040" width="10.44140625" style="97" customWidth="1"/>
    <col min="13041" max="13041" width="12" style="97" customWidth="1"/>
    <col min="13042" max="13264" width="11" style="97"/>
    <col min="13265" max="13265" width="7.5546875" style="97" customWidth="1"/>
    <col min="13266" max="13267" width="9.5546875" style="97" customWidth="1"/>
    <col min="13268" max="13268" width="32.6640625" style="97" customWidth="1"/>
    <col min="13269" max="13272" width="13.6640625" style="97" customWidth="1"/>
    <col min="13273" max="13273" width="11.5546875" style="97" customWidth="1"/>
    <col min="13274" max="13274" width="11.109375" style="97" customWidth="1"/>
    <col min="13275" max="13275" width="12.44140625" style="97" customWidth="1"/>
    <col min="13276" max="13276" width="8.88671875" style="97" customWidth="1"/>
    <col min="13277" max="13277" width="13.33203125" style="97" customWidth="1"/>
    <col min="13278" max="13278" width="11.33203125" style="97" customWidth="1"/>
    <col min="13279" max="13279" width="10.6640625" style="97" customWidth="1"/>
    <col min="13280" max="13280" width="11.33203125" style="97" customWidth="1"/>
    <col min="13281" max="13281" width="8.6640625" style="97" customWidth="1"/>
    <col min="13282" max="13282" width="13.88671875" style="97" customWidth="1"/>
    <col min="13283" max="13283" width="10.88671875" style="97" customWidth="1"/>
    <col min="13284" max="13284" width="9.88671875" style="97" customWidth="1"/>
    <col min="13285" max="13296" width="10.44140625" style="97" customWidth="1"/>
    <col min="13297" max="13297" width="12" style="97" customWidth="1"/>
    <col min="13298" max="13520" width="11" style="97"/>
    <col min="13521" max="13521" width="7.5546875" style="97" customWidth="1"/>
    <col min="13522" max="13523" width="9.5546875" style="97" customWidth="1"/>
    <col min="13524" max="13524" width="32.6640625" style="97" customWidth="1"/>
    <col min="13525" max="13528" width="13.6640625" style="97" customWidth="1"/>
    <col min="13529" max="13529" width="11.5546875" style="97" customWidth="1"/>
    <col min="13530" max="13530" width="11.109375" style="97" customWidth="1"/>
    <col min="13531" max="13531" width="12.44140625" style="97" customWidth="1"/>
    <col min="13532" max="13532" width="8.88671875" style="97" customWidth="1"/>
    <col min="13533" max="13533" width="13.33203125" style="97" customWidth="1"/>
    <col min="13534" max="13534" width="11.33203125" style="97" customWidth="1"/>
    <col min="13535" max="13535" width="10.6640625" style="97" customWidth="1"/>
    <col min="13536" max="13536" width="11.33203125" style="97" customWidth="1"/>
    <col min="13537" max="13537" width="8.6640625" style="97" customWidth="1"/>
    <col min="13538" max="13538" width="13.88671875" style="97" customWidth="1"/>
    <col min="13539" max="13539" width="10.88671875" style="97" customWidth="1"/>
    <col min="13540" max="13540" width="9.88671875" style="97" customWidth="1"/>
    <col min="13541" max="13552" width="10.44140625" style="97" customWidth="1"/>
    <col min="13553" max="13553" width="12" style="97" customWidth="1"/>
    <col min="13554" max="13776" width="11" style="97"/>
    <col min="13777" max="13777" width="7.5546875" style="97" customWidth="1"/>
    <col min="13778" max="13779" width="9.5546875" style="97" customWidth="1"/>
    <col min="13780" max="13780" width="32.6640625" style="97" customWidth="1"/>
    <col min="13781" max="13784" width="13.6640625" style="97" customWidth="1"/>
    <col min="13785" max="13785" width="11.5546875" style="97" customWidth="1"/>
    <col min="13786" max="13786" width="11.109375" style="97" customWidth="1"/>
    <col min="13787" max="13787" width="12.44140625" style="97" customWidth="1"/>
    <col min="13788" max="13788" width="8.88671875" style="97" customWidth="1"/>
    <col min="13789" max="13789" width="13.33203125" style="97" customWidth="1"/>
    <col min="13790" max="13790" width="11.33203125" style="97" customWidth="1"/>
    <col min="13791" max="13791" width="10.6640625" style="97" customWidth="1"/>
    <col min="13792" max="13792" width="11.33203125" style="97" customWidth="1"/>
    <col min="13793" max="13793" width="8.6640625" style="97" customWidth="1"/>
    <col min="13794" max="13794" width="13.88671875" style="97" customWidth="1"/>
    <col min="13795" max="13795" width="10.88671875" style="97" customWidth="1"/>
    <col min="13796" max="13796" width="9.88671875" style="97" customWidth="1"/>
    <col min="13797" max="13808" width="10.44140625" style="97" customWidth="1"/>
    <col min="13809" max="13809" width="12" style="97" customWidth="1"/>
    <col min="13810" max="14032" width="11" style="97"/>
    <col min="14033" max="14033" width="7.5546875" style="97" customWidth="1"/>
    <col min="14034" max="14035" width="9.5546875" style="97" customWidth="1"/>
    <col min="14036" max="14036" width="32.6640625" style="97" customWidth="1"/>
    <col min="14037" max="14040" width="13.6640625" style="97" customWidth="1"/>
    <col min="14041" max="14041" width="11.5546875" style="97" customWidth="1"/>
    <col min="14042" max="14042" width="11.109375" style="97" customWidth="1"/>
    <col min="14043" max="14043" width="12.44140625" style="97" customWidth="1"/>
    <col min="14044" max="14044" width="8.88671875" style="97" customWidth="1"/>
    <col min="14045" max="14045" width="13.33203125" style="97" customWidth="1"/>
    <col min="14046" max="14046" width="11.33203125" style="97" customWidth="1"/>
    <col min="14047" max="14047" width="10.6640625" style="97" customWidth="1"/>
    <col min="14048" max="14048" width="11.33203125" style="97" customWidth="1"/>
    <col min="14049" max="14049" width="8.6640625" style="97" customWidth="1"/>
    <col min="14050" max="14050" width="13.88671875" style="97" customWidth="1"/>
    <col min="14051" max="14051" width="10.88671875" style="97" customWidth="1"/>
    <col min="14052" max="14052" width="9.88671875" style="97" customWidth="1"/>
    <col min="14053" max="14064" width="10.44140625" style="97" customWidth="1"/>
    <col min="14065" max="14065" width="12" style="97" customWidth="1"/>
    <col min="14066" max="14288" width="11" style="97"/>
    <col min="14289" max="14289" width="7.5546875" style="97" customWidth="1"/>
    <col min="14290" max="14291" width="9.5546875" style="97" customWidth="1"/>
    <col min="14292" max="14292" width="32.6640625" style="97" customWidth="1"/>
    <col min="14293" max="14296" width="13.6640625" style="97" customWidth="1"/>
    <col min="14297" max="14297" width="11.5546875" style="97" customWidth="1"/>
    <col min="14298" max="14298" width="11.109375" style="97" customWidth="1"/>
    <col min="14299" max="14299" width="12.44140625" style="97" customWidth="1"/>
    <col min="14300" max="14300" width="8.88671875" style="97" customWidth="1"/>
    <col min="14301" max="14301" width="13.33203125" style="97" customWidth="1"/>
    <col min="14302" max="14302" width="11.33203125" style="97" customWidth="1"/>
    <col min="14303" max="14303" width="10.6640625" style="97" customWidth="1"/>
    <col min="14304" max="14304" width="11.33203125" style="97" customWidth="1"/>
    <col min="14305" max="14305" width="8.6640625" style="97" customWidth="1"/>
    <col min="14306" max="14306" width="13.88671875" style="97" customWidth="1"/>
    <col min="14307" max="14307" width="10.88671875" style="97" customWidth="1"/>
    <col min="14308" max="14308" width="9.88671875" style="97" customWidth="1"/>
    <col min="14309" max="14320" width="10.44140625" style="97" customWidth="1"/>
    <col min="14321" max="14321" width="12" style="97" customWidth="1"/>
    <col min="14322" max="14544" width="11" style="97"/>
    <col min="14545" max="14545" width="7.5546875" style="97" customWidth="1"/>
    <col min="14546" max="14547" width="9.5546875" style="97" customWidth="1"/>
    <col min="14548" max="14548" width="32.6640625" style="97" customWidth="1"/>
    <col min="14549" max="14552" width="13.6640625" style="97" customWidth="1"/>
    <col min="14553" max="14553" width="11.5546875" style="97" customWidth="1"/>
    <col min="14554" max="14554" width="11.109375" style="97" customWidth="1"/>
    <col min="14555" max="14555" width="12.44140625" style="97" customWidth="1"/>
    <col min="14556" max="14556" width="8.88671875" style="97" customWidth="1"/>
    <col min="14557" max="14557" width="13.33203125" style="97" customWidth="1"/>
    <col min="14558" max="14558" width="11.33203125" style="97" customWidth="1"/>
    <col min="14559" max="14559" width="10.6640625" style="97" customWidth="1"/>
    <col min="14560" max="14560" width="11.33203125" style="97" customWidth="1"/>
    <col min="14561" max="14561" width="8.6640625" style="97" customWidth="1"/>
    <col min="14562" max="14562" width="13.88671875" style="97" customWidth="1"/>
    <col min="14563" max="14563" width="10.88671875" style="97" customWidth="1"/>
    <col min="14564" max="14564" width="9.88671875" style="97" customWidth="1"/>
    <col min="14565" max="14576" width="10.44140625" style="97" customWidth="1"/>
    <col min="14577" max="14577" width="12" style="97" customWidth="1"/>
    <col min="14578" max="14800" width="11" style="97"/>
    <col min="14801" max="14801" width="7.5546875" style="97" customWidth="1"/>
    <col min="14802" max="14803" width="9.5546875" style="97" customWidth="1"/>
    <col min="14804" max="14804" width="32.6640625" style="97" customWidth="1"/>
    <col min="14805" max="14808" width="13.6640625" style="97" customWidth="1"/>
    <col min="14809" max="14809" width="11.5546875" style="97" customWidth="1"/>
    <col min="14810" max="14810" width="11.109375" style="97" customWidth="1"/>
    <col min="14811" max="14811" width="12.44140625" style="97" customWidth="1"/>
    <col min="14812" max="14812" width="8.88671875" style="97" customWidth="1"/>
    <col min="14813" max="14813" width="13.33203125" style="97" customWidth="1"/>
    <col min="14814" max="14814" width="11.33203125" style="97" customWidth="1"/>
    <col min="14815" max="14815" width="10.6640625" style="97" customWidth="1"/>
    <col min="14816" max="14816" width="11.33203125" style="97" customWidth="1"/>
    <col min="14817" max="14817" width="8.6640625" style="97" customWidth="1"/>
    <col min="14818" max="14818" width="13.88671875" style="97" customWidth="1"/>
    <col min="14819" max="14819" width="10.88671875" style="97" customWidth="1"/>
    <col min="14820" max="14820" width="9.88671875" style="97" customWidth="1"/>
    <col min="14821" max="14832" width="10.44140625" style="97" customWidth="1"/>
    <col min="14833" max="14833" width="12" style="97" customWidth="1"/>
    <col min="14834" max="15056" width="11" style="97"/>
    <col min="15057" max="15057" width="7.5546875" style="97" customWidth="1"/>
    <col min="15058" max="15059" width="9.5546875" style="97" customWidth="1"/>
    <col min="15060" max="15060" width="32.6640625" style="97" customWidth="1"/>
    <col min="15061" max="15064" width="13.6640625" style="97" customWidth="1"/>
    <col min="15065" max="15065" width="11.5546875" style="97" customWidth="1"/>
    <col min="15066" max="15066" width="11.109375" style="97" customWidth="1"/>
    <col min="15067" max="15067" width="12.44140625" style="97" customWidth="1"/>
    <col min="15068" max="15068" width="8.88671875" style="97" customWidth="1"/>
    <col min="15069" max="15069" width="13.33203125" style="97" customWidth="1"/>
    <col min="15070" max="15070" width="11.33203125" style="97" customWidth="1"/>
    <col min="15071" max="15071" width="10.6640625" style="97" customWidth="1"/>
    <col min="15072" max="15072" width="11.33203125" style="97" customWidth="1"/>
    <col min="15073" max="15073" width="8.6640625" style="97" customWidth="1"/>
    <col min="15074" max="15074" width="13.88671875" style="97" customWidth="1"/>
    <col min="15075" max="15075" width="10.88671875" style="97" customWidth="1"/>
    <col min="15076" max="15076" width="9.88671875" style="97" customWidth="1"/>
    <col min="15077" max="15088" width="10.44140625" style="97" customWidth="1"/>
    <col min="15089" max="15089" width="12" style="97" customWidth="1"/>
    <col min="15090" max="15312" width="11" style="97"/>
    <col min="15313" max="15313" width="7.5546875" style="97" customWidth="1"/>
    <col min="15314" max="15315" width="9.5546875" style="97" customWidth="1"/>
    <col min="15316" max="15316" width="32.6640625" style="97" customWidth="1"/>
    <col min="15317" max="15320" width="13.6640625" style="97" customWidth="1"/>
    <col min="15321" max="15321" width="11.5546875" style="97" customWidth="1"/>
    <col min="15322" max="15322" width="11.109375" style="97" customWidth="1"/>
    <col min="15323" max="15323" width="12.44140625" style="97" customWidth="1"/>
    <col min="15324" max="15324" width="8.88671875" style="97" customWidth="1"/>
    <col min="15325" max="15325" width="13.33203125" style="97" customWidth="1"/>
    <col min="15326" max="15326" width="11.33203125" style="97" customWidth="1"/>
    <col min="15327" max="15327" width="10.6640625" style="97" customWidth="1"/>
    <col min="15328" max="15328" width="11.33203125" style="97" customWidth="1"/>
    <col min="15329" max="15329" width="8.6640625" style="97" customWidth="1"/>
    <col min="15330" max="15330" width="13.88671875" style="97" customWidth="1"/>
    <col min="15331" max="15331" width="10.88671875" style="97" customWidth="1"/>
    <col min="15332" max="15332" width="9.88671875" style="97" customWidth="1"/>
    <col min="15333" max="15344" width="10.44140625" style="97" customWidth="1"/>
    <col min="15345" max="15345" width="12" style="97" customWidth="1"/>
    <col min="15346" max="15568" width="11" style="97"/>
    <col min="15569" max="15569" width="7.5546875" style="97" customWidth="1"/>
    <col min="15570" max="15571" width="9.5546875" style="97" customWidth="1"/>
    <col min="15572" max="15572" width="32.6640625" style="97" customWidth="1"/>
    <col min="15573" max="15576" width="13.6640625" style="97" customWidth="1"/>
    <col min="15577" max="15577" width="11.5546875" style="97" customWidth="1"/>
    <col min="15578" max="15578" width="11.109375" style="97" customWidth="1"/>
    <col min="15579" max="15579" width="12.44140625" style="97" customWidth="1"/>
    <col min="15580" max="15580" width="8.88671875" style="97" customWidth="1"/>
    <col min="15581" max="15581" width="13.33203125" style="97" customWidth="1"/>
    <col min="15582" max="15582" width="11.33203125" style="97" customWidth="1"/>
    <col min="15583" max="15583" width="10.6640625" style="97" customWidth="1"/>
    <col min="15584" max="15584" width="11.33203125" style="97" customWidth="1"/>
    <col min="15585" max="15585" width="8.6640625" style="97" customWidth="1"/>
    <col min="15586" max="15586" width="13.88671875" style="97" customWidth="1"/>
    <col min="15587" max="15587" width="10.88671875" style="97" customWidth="1"/>
    <col min="15588" max="15588" width="9.88671875" style="97" customWidth="1"/>
    <col min="15589" max="15600" width="10.44140625" style="97" customWidth="1"/>
    <col min="15601" max="15601" width="12" style="97" customWidth="1"/>
    <col min="15602" max="15824" width="11" style="97"/>
    <col min="15825" max="15825" width="7.5546875" style="97" customWidth="1"/>
    <col min="15826" max="15827" width="9.5546875" style="97" customWidth="1"/>
    <col min="15828" max="15828" width="32.6640625" style="97" customWidth="1"/>
    <col min="15829" max="15832" width="13.6640625" style="97" customWidth="1"/>
    <col min="15833" max="15833" width="11.5546875" style="97" customWidth="1"/>
    <col min="15834" max="15834" width="11.109375" style="97" customWidth="1"/>
    <col min="15835" max="15835" width="12.44140625" style="97" customWidth="1"/>
    <col min="15836" max="15836" width="8.88671875" style="97" customWidth="1"/>
    <col min="15837" max="15837" width="13.33203125" style="97" customWidth="1"/>
    <col min="15838" max="15838" width="11.33203125" style="97" customWidth="1"/>
    <col min="15839" max="15839" width="10.6640625" style="97" customWidth="1"/>
    <col min="15840" max="15840" width="11.33203125" style="97" customWidth="1"/>
    <col min="15841" max="15841" width="8.6640625" style="97" customWidth="1"/>
    <col min="15842" max="15842" width="13.88671875" style="97" customWidth="1"/>
    <col min="15843" max="15843" width="10.88671875" style="97" customWidth="1"/>
    <col min="15844" max="15844" width="9.88671875" style="97" customWidth="1"/>
    <col min="15845" max="15856" width="10.44140625" style="97" customWidth="1"/>
    <col min="15857" max="15857" width="12" style="97" customWidth="1"/>
    <col min="15858" max="16080" width="11" style="97"/>
    <col min="16081" max="16081" width="7.5546875" style="97" customWidth="1"/>
    <col min="16082" max="16083" width="9.5546875" style="97" customWidth="1"/>
    <col min="16084" max="16084" width="32.6640625" style="97" customWidth="1"/>
    <col min="16085" max="16088" width="13.6640625" style="97" customWidth="1"/>
    <col min="16089" max="16089" width="11.5546875" style="97" customWidth="1"/>
    <col min="16090" max="16090" width="11.109375" style="97" customWidth="1"/>
    <col min="16091" max="16091" width="12.44140625" style="97" customWidth="1"/>
    <col min="16092" max="16092" width="8.88671875" style="97" customWidth="1"/>
    <col min="16093" max="16093" width="13.33203125" style="97" customWidth="1"/>
    <col min="16094" max="16094" width="11.33203125" style="97" customWidth="1"/>
    <col min="16095" max="16095" width="10.6640625" style="97" customWidth="1"/>
    <col min="16096" max="16096" width="11.33203125" style="97" customWidth="1"/>
    <col min="16097" max="16097" width="8.6640625" style="97" customWidth="1"/>
    <col min="16098" max="16098" width="13.88671875" style="97" customWidth="1"/>
    <col min="16099" max="16099" width="10.88671875" style="97" customWidth="1"/>
    <col min="16100" max="16100" width="9.88671875" style="97" customWidth="1"/>
    <col min="16101" max="16112" width="10.44140625" style="97" customWidth="1"/>
    <col min="16113" max="16113" width="12" style="97" customWidth="1"/>
    <col min="16114" max="16384" width="11" style="97"/>
  </cols>
  <sheetData>
    <row r="1" spans="1:10" ht="13.8" x14ac:dyDescent="0.3">
      <c r="A1" s="94" t="s">
        <v>113</v>
      </c>
      <c r="B1" s="94"/>
      <c r="C1" s="94"/>
      <c r="D1" s="95"/>
      <c r="E1" s="95"/>
      <c r="F1" s="95"/>
      <c r="G1" s="94"/>
      <c r="H1" s="94"/>
      <c r="I1" s="94"/>
      <c r="J1" s="96" t="s">
        <v>141</v>
      </c>
    </row>
    <row r="2" spans="1:10" ht="13.8" x14ac:dyDescent="0.3">
      <c r="A2" s="98" t="s">
        <v>433</v>
      </c>
      <c r="B2" s="98"/>
      <c r="C2" s="98"/>
      <c r="D2" s="95"/>
      <c r="E2" s="95"/>
      <c r="F2" s="95"/>
      <c r="G2" s="95"/>
      <c r="H2" s="95"/>
      <c r="I2" s="95"/>
      <c r="J2" s="37" t="s">
        <v>434</v>
      </c>
    </row>
    <row r="3" spans="1:10" x14ac:dyDescent="0.25">
      <c r="A3" s="99"/>
      <c r="B3" s="99"/>
      <c r="C3" s="99"/>
      <c r="D3" s="95"/>
      <c r="E3" s="95"/>
      <c r="F3" s="95"/>
      <c r="G3" s="95"/>
      <c r="H3" s="95"/>
      <c r="I3" s="95"/>
      <c r="J3" s="95"/>
    </row>
    <row r="4" spans="1:10" x14ac:dyDescent="0.25">
      <c r="A4" s="99"/>
      <c r="B4" s="99"/>
      <c r="C4" s="99"/>
      <c r="D4" s="95"/>
      <c r="E4" s="95"/>
      <c r="F4" s="95"/>
      <c r="G4" s="95"/>
      <c r="H4" s="95"/>
      <c r="I4" s="95"/>
      <c r="J4" s="95"/>
    </row>
    <row r="5" spans="1:10" ht="13.5" customHeight="1" x14ac:dyDescent="0.25">
      <c r="A5" s="95"/>
      <c r="B5" s="95"/>
      <c r="C5" s="95"/>
      <c r="D5" s="95"/>
      <c r="E5" s="100">
        <v>44196</v>
      </c>
      <c r="F5" s="100" t="s">
        <v>435</v>
      </c>
      <c r="G5" s="100">
        <v>44196</v>
      </c>
      <c r="H5" s="100" t="s">
        <v>435</v>
      </c>
      <c r="I5" s="100" t="s">
        <v>435</v>
      </c>
      <c r="J5" s="100">
        <v>44561</v>
      </c>
    </row>
    <row r="6" spans="1:10" x14ac:dyDescent="0.25">
      <c r="A6" s="101" t="s">
        <v>436</v>
      </c>
      <c r="B6" s="101" t="s">
        <v>437</v>
      </c>
      <c r="C6" s="101" t="s">
        <v>438</v>
      </c>
      <c r="D6" s="102"/>
      <c r="E6" s="102" t="s">
        <v>439</v>
      </c>
      <c r="F6" s="102" t="s">
        <v>440</v>
      </c>
      <c r="G6" s="102" t="s">
        <v>439</v>
      </c>
      <c r="H6" s="102" t="s">
        <v>440</v>
      </c>
      <c r="I6" s="102" t="s">
        <v>440</v>
      </c>
      <c r="J6" s="102" t="s">
        <v>440</v>
      </c>
    </row>
    <row r="7" spans="1:10" x14ac:dyDescent="0.25">
      <c r="A7" s="103" t="s">
        <v>441</v>
      </c>
      <c r="B7" s="103" t="s">
        <v>442</v>
      </c>
      <c r="C7" s="103" t="s">
        <v>442</v>
      </c>
      <c r="D7" s="104" t="s">
        <v>443</v>
      </c>
      <c r="E7" s="102" t="s">
        <v>444</v>
      </c>
      <c r="F7" s="102" t="s">
        <v>445</v>
      </c>
      <c r="G7" s="102" t="s">
        <v>446</v>
      </c>
      <c r="H7" s="102" t="s">
        <v>445</v>
      </c>
      <c r="I7" s="102" t="s">
        <v>447</v>
      </c>
      <c r="J7" s="102" t="s">
        <v>446</v>
      </c>
    </row>
    <row r="8" spans="1:10" x14ac:dyDescent="0.25">
      <c r="A8" s="103"/>
      <c r="B8" s="103"/>
      <c r="C8" s="103"/>
      <c r="D8" s="98" t="s">
        <v>448</v>
      </c>
      <c r="E8" s="102" t="s">
        <v>449</v>
      </c>
      <c r="F8" s="102"/>
      <c r="G8" s="102"/>
      <c r="H8" s="102"/>
      <c r="I8" s="102"/>
      <c r="J8" s="102"/>
    </row>
    <row r="9" spans="1:10" x14ac:dyDescent="0.25">
      <c r="A9" s="105" t="s">
        <v>450</v>
      </c>
      <c r="B9" s="105">
        <v>1311020</v>
      </c>
      <c r="C9" s="105" t="s">
        <v>451</v>
      </c>
      <c r="D9" s="106" t="s">
        <v>452</v>
      </c>
      <c r="E9" s="107">
        <v>0</v>
      </c>
      <c r="F9" s="107"/>
      <c r="G9" s="107">
        <v>53151</v>
      </c>
      <c r="H9" s="107"/>
      <c r="I9" s="107">
        <v>-305.66945538622377</v>
      </c>
      <c r="J9" s="107">
        <v>52845.330544613775</v>
      </c>
    </row>
    <row r="10" spans="1:10" x14ac:dyDescent="0.25">
      <c r="A10" s="105">
        <v>303</v>
      </c>
      <c r="B10" s="105">
        <v>1311020</v>
      </c>
      <c r="C10" s="105">
        <v>5505010</v>
      </c>
      <c r="D10" s="106" t="s">
        <v>453</v>
      </c>
      <c r="E10" s="107">
        <v>0</v>
      </c>
      <c r="F10" s="107"/>
      <c r="G10" s="107">
        <v>1377728</v>
      </c>
      <c r="H10" s="107"/>
      <c r="I10" s="107">
        <v>-7923.2632957112992</v>
      </c>
      <c r="J10" s="107">
        <v>1369804.7367042887</v>
      </c>
    </row>
    <row r="11" spans="1:10" x14ac:dyDescent="0.25">
      <c r="A11" s="105">
        <v>303</v>
      </c>
      <c r="B11" s="105">
        <v>1311020</v>
      </c>
      <c r="C11" s="105">
        <v>5505010</v>
      </c>
      <c r="D11" s="106" t="s">
        <v>454</v>
      </c>
      <c r="E11" s="108">
        <v>271625.49</v>
      </c>
      <c r="F11" s="108">
        <v>80401</v>
      </c>
      <c r="G11" s="108">
        <v>3839904.49</v>
      </c>
      <c r="H11" s="108">
        <v>1796351</v>
      </c>
      <c r="I11" s="108">
        <v>-22083.150160738562</v>
      </c>
      <c r="J11" s="108">
        <v>5614172.339839262</v>
      </c>
    </row>
    <row r="12" spans="1:10" x14ac:dyDescent="0.25">
      <c r="A12" s="109"/>
      <c r="B12" s="109"/>
      <c r="C12" s="109"/>
      <c r="D12" s="95"/>
      <c r="E12" s="107"/>
      <c r="F12" s="107"/>
      <c r="G12" s="107"/>
      <c r="H12" s="107"/>
      <c r="I12" s="107"/>
      <c r="J12" s="107"/>
    </row>
    <row r="13" spans="1:10" x14ac:dyDescent="0.25">
      <c r="A13" s="109"/>
      <c r="B13" s="109"/>
      <c r="C13" s="109"/>
      <c r="D13" s="106" t="s">
        <v>455</v>
      </c>
      <c r="E13" s="108">
        <v>271625.49</v>
      </c>
      <c r="F13" s="108">
        <v>80401</v>
      </c>
      <c r="G13" s="108">
        <v>5270783.49</v>
      </c>
      <c r="H13" s="108">
        <v>1796351</v>
      </c>
      <c r="I13" s="108">
        <v>-30312.082911836085</v>
      </c>
      <c r="J13" s="108">
        <v>7036822.4070881642</v>
      </c>
    </row>
    <row r="14" spans="1:10" x14ac:dyDescent="0.25">
      <c r="A14" s="109"/>
      <c r="B14" s="109"/>
      <c r="C14" s="109"/>
      <c r="D14" s="95"/>
      <c r="E14" s="107"/>
      <c r="F14" s="107"/>
      <c r="G14" s="107"/>
      <c r="H14" s="107"/>
      <c r="I14" s="107"/>
      <c r="J14" s="107"/>
    </row>
    <row r="15" spans="1:10" x14ac:dyDescent="0.25">
      <c r="A15" s="109"/>
      <c r="B15" s="109"/>
      <c r="C15" s="109"/>
      <c r="D15" s="98" t="s">
        <v>456</v>
      </c>
      <c r="E15" s="107"/>
      <c r="F15" s="107"/>
      <c r="G15" s="107"/>
      <c r="H15" s="107"/>
      <c r="I15" s="107"/>
      <c r="J15" s="107"/>
    </row>
    <row r="16" spans="1:10" x14ac:dyDescent="0.25">
      <c r="A16" s="105">
        <v>3254</v>
      </c>
      <c r="B16" s="105">
        <v>1311030</v>
      </c>
      <c r="C16" s="105">
        <v>5501010</v>
      </c>
      <c r="D16" s="106" t="s">
        <v>457</v>
      </c>
      <c r="E16" s="107">
        <v>0</v>
      </c>
      <c r="F16" s="107"/>
      <c r="G16" s="107">
        <v>97055</v>
      </c>
      <c r="H16" s="107"/>
      <c r="I16" s="107">
        <v>-558.15975226260923</v>
      </c>
      <c r="J16" s="107">
        <v>96496.840247737389</v>
      </c>
    </row>
    <row r="17" spans="1:10" x14ac:dyDescent="0.25">
      <c r="A17" s="106" t="s">
        <v>458</v>
      </c>
      <c r="B17" s="105">
        <v>1311050</v>
      </c>
      <c r="C17" s="105">
        <v>5501030</v>
      </c>
      <c r="D17" s="110" t="s">
        <v>459</v>
      </c>
      <c r="E17" s="107">
        <v>0</v>
      </c>
      <c r="F17" s="107"/>
      <c r="G17" s="107">
        <v>47946</v>
      </c>
      <c r="H17" s="107"/>
      <c r="I17" s="107">
        <v>-275.73569091734652</v>
      </c>
      <c r="J17" s="107">
        <v>47670.264309082653</v>
      </c>
    </row>
    <row r="18" spans="1:10" x14ac:dyDescent="0.25">
      <c r="A18" s="106">
        <v>331</v>
      </c>
      <c r="B18" s="105">
        <v>1311050</v>
      </c>
      <c r="C18" s="105">
        <v>5501030</v>
      </c>
      <c r="D18" s="110" t="s">
        <v>460</v>
      </c>
      <c r="E18" s="107"/>
      <c r="F18" s="107"/>
      <c r="G18" s="107"/>
      <c r="H18" s="107">
        <v>24000</v>
      </c>
      <c r="I18" s="107"/>
      <c r="J18" s="107">
        <v>24000</v>
      </c>
    </row>
    <row r="19" spans="1:10" x14ac:dyDescent="0.25">
      <c r="A19" s="105" t="s">
        <v>461</v>
      </c>
      <c r="B19" s="105">
        <v>1311050</v>
      </c>
      <c r="C19" s="105">
        <v>5501030</v>
      </c>
      <c r="D19" s="106" t="s">
        <v>462</v>
      </c>
      <c r="E19" s="107">
        <v>0</v>
      </c>
      <c r="F19" s="107"/>
      <c r="G19" s="107">
        <v>2290299</v>
      </c>
      <c r="H19" s="107">
        <v>42000</v>
      </c>
      <c r="I19" s="107">
        <v>-13171.425711682054</v>
      </c>
      <c r="J19" s="107">
        <v>2319127.5742883179</v>
      </c>
    </row>
    <row r="20" spans="1:10" x14ac:dyDescent="0.25">
      <c r="A20" s="106" t="s">
        <v>463</v>
      </c>
      <c r="B20" s="105">
        <v>1311050</v>
      </c>
      <c r="C20" s="105">
        <v>5501030</v>
      </c>
      <c r="D20" s="106" t="s">
        <v>464</v>
      </c>
      <c r="E20" s="107">
        <v>0</v>
      </c>
      <c r="F20" s="107"/>
      <c r="G20" s="107">
        <v>862610</v>
      </c>
      <c r="H20" s="107">
        <v>28100</v>
      </c>
      <c r="I20" s="107">
        <v>-4960.8385338132948</v>
      </c>
      <c r="J20" s="107">
        <v>885749.16146618675</v>
      </c>
    </row>
    <row r="21" spans="1:10" x14ac:dyDescent="0.25">
      <c r="A21" s="106" t="s">
        <v>465</v>
      </c>
      <c r="B21" s="105">
        <v>1311050</v>
      </c>
      <c r="C21" s="105">
        <v>5501030</v>
      </c>
      <c r="D21" s="110" t="s">
        <v>466</v>
      </c>
      <c r="E21" s="108">
        <v>0</v>
      </c>
      <c r="F21" s="108"/>
      <c r="G21" s="108">
        <v>355534</v>
      </c>
      <c r="H21" s="108">
        <v>18000</v>
      </c>
      <c r="I21" s="108">
        <v>-2044.6630195346404</v>
      </c>
      <c r="J21" s="108">
        <v>371489.33698046533</v>
      </c>
    </row>
    <row r="22" spans="1:10" x14ac:dyDescent="0.25">
      <c r="A22" s="95"/>
      <c r="B22" s="95"/>
      <c r="C22" s="95"/>
      <c r="D22" s="95"/>
      <c r="E22" s="107"/>
      <c r="F22" s="107"/>
      <c r="G22" s="107"/>
      <c r="H22" s="107"/>
      <c r="I22" s="107"/>
      <c r="J22" s="107"/>
    </row>
    <row r="23" spans="1:10" x14ac:dyDescent="0.25">
      <c r="A23" s="109"/>
      <c r="B23" s="109"/>
      <c r="C23" s="109"/>
      <c r="D23" s="106" t="s">
        <v>455</v>
      </c>
      <c r="E23" s="108">
        <v>0</v>
      </c>
      <c r="F23" s="108"/>
      <c r="G23" s="108">
        <v>3653444</v>
      </c>
      <c r="H23" s="108">
        <v>112100</v>
      </c>
      <c r="I23" s="108">
        <v>-21010.822708209944</v>
      </c>
      <c r="J23" s="108">
        <v>3744533.17729179</v>
      </c>
    </row>
    <row r="24" spans="1:10" x14ac:dyDescent="0.25">
      <c r="A24" s="109"/>
      <c r="B24" s="109"/>
      <c r="C24" s="109"/>
      <c r="D24" s="95"/>
      <c r="E24" s="107"/>
      <c r="F24" s="107"/>
      <c r="G24" s="107"/>
      <c r="H24" s="107"/>
      <c r="I24" s="107"/>
      <c r="J24" s="107"/>
    </row>
    <row r="25" spans="1:10" x14ac:dyDescent="0.25">
      <c r="A25" s="109"/>
      <c r="B25" s="109"/>
      <c r="C25" s="109"/>
      <c r="D25" s="94" t="s">
        <v>467</v>
      </c>
      <c r="E25" s="107"/>
      <c r="F25" s="107"/>
      <c r="G25" s="107"/>
      <c r="H25" s="107"/>
      <c r="I25" s="107"/>
      <c r="J25" s="107"/>
    </row>
    <row r="26" spans="1:10" x14ac:dyDescent="0.25">
      <c r="A26" s="111" t="s">
        <v>468</v>
      </c>
      <c r="B26" s="111">
        <v>1311030</v>
      </c>
      <c r="C26" s="111" t="s">
        <v>451</v>
      </c>
      <c r="D26" s="95" t="s">
        <v>469</v>
      </c>
      <c r="E26" s="107">
        <v>0</v>
      </c>
      <c r="F26" s="107"/>
      <c r="G26" s="107">
        <v>74295</v>
      </c>
      <c r="H26" s="107"/>
      <c r="I26" s="107">
        <v>-427.26782540158212</v>
      </c>
      <c r="J26" s="107">
        <v>73867.732174598423</v>
      </c>
    </row>
    <row r="27" spans="1:10" x14ac:dyDescent="0.25">
      <c r="A27" s="111">
        <v>35002</v>
      </c>
      <c r="B27" s="111">
        <v>1311030</v>
      </c>
      <c r="C27" s="111" t="s">
        <v>451</v>
      </c>
      <c r="D27" s="95" t="s">
        <v>470</v>
      </c>
      <c r="E27" s="107">
        <v>0</v>
      </c>
      <c r="F27" s="107"/>
      <c r="G27" s="107">
        <v>186821</v>
      </c>
      <c r="H27" s="107"/>
      <c r="I27" s="107">
        <v>-1074.4007323420012</v>
      </c>
      <c r="J27" s="107">
        <v>185746.59926765799</v>
      </c>
    </row>
    <row r="28" spans="1:10" x14ac:dyDescent="0.25">
      <c r="A28" s="110">
        <v>351</v>
      </c>
      <c r="B28" s="111">
        <v>1311052</v>
      </c>
      <c r="C28" s="111">
        <v>5501033</v>
      </c>
      <c r="D28" s="106" t="s">
        <v>471</v>
      </c>
      <c r="E28" s="107">
        <v>0</v>
      </c>
      <c r="F28" s="107"/>
      <c r="G28" s="107">
        <v>723568</v>
      </c>
      <c r="H28" s="107"/>
      <c r="I28" s="107">
        <v>-4161.2130815017426</v>
      </c>
      <c r="J28" s="107">
        <v>719406.78691849823</v>
      </c>
    </row>
    <row r="29" spans="1:10" x14ac:dyDescent="0.25">
      <c r="A29" s="110">
        <v>352</v>
      </c>
      <c r="B29" s="111">
        <v>1311052</v>
      </c>
      <c r="C29" s="111">
        <v>5501033</v>
      </c>
      <c r="D29" s="106" t="s">
        <v>266</v>
      </c>
      <c r="E29" s="107">
        <v>0</v>
      </c>
      <c r="F29" s="107"/>
      <c r="G29" s="107">
        <v>8249077</v>
      </c>
      <c r="H29" s="107">
        <v>10800</v>
      </c>
      <c r="I29" s="107">
        <v>-47440.139866211815</v>
      </c>
      <c r="J29" s="107">
        <v>8212436.8601337885</v>
      </c>
    </row>
    <row r="30" spans="1:10" x14ac:dyDescent="0.25">
      <c r="A30" s="111" t="s">
        <v>472</v>
      </c>
      <c r="B30" s="111" t="s">
        <v>473</v>
      </c>
      <c r="C30" s="111">
        <v>5505300</v>
      </c>
      <c r="D30" s="95" t="s">
        <v>474</v>
      </c>
      <c r="E30" s="107">
        <v>0</v>
      </c>
      <c r="F30" s="107"/>
      <c r="G30" s="107">
        <v>860396</v>
      </c>
      <c r="H30" s="107"/>
      <c r="I30" s="107">
        <v>-4948.1059008576576</v>
      </c>
      <c r="J30" s="107">
        <v>855447.89409914229</v>
      </c>
    </row>
    <row r="31" spans="1:10" x14ac:dyDescent="0.25">
      <c r="A31" s="111" t="s">
        <v>475</v>
      </c>
      <c r="B31" s="111">
        <v>1311052</v>
      </c>
      <c r="C31" s="111">
        <v>5501033</v>
      </c>
      <c r="D31" s="95" t="s">
        <v>476</v>
      </c>
      <c r="E31" s="107">
        <v>0</v>
      </c>
      <c r="F31" s="107"/>
      <c r="G31" s="107">
        <v>1759385</v>
      </c>
      <c r="H31" s="107"/>
      <c r="I31" s="107">
        <v>-10118.158732002998</v>
      </c>
      <c r="J31" s="107">
        <v>1749266.8412679969</v>
      </c>
    </row>
    <row r="32" spans="1:10" x14ac:dyDescent="0.25">
      <c r="A32" s="111" t="s">
        <v>477</v>
      </c>
      <c r="B32" s="111">
        <v>1311052</v>
      </c>
      <c r="C32" s="111">
        <v>5501033</v>
      </c>
      <c r="D32" s="95" t="s">
        <v>478</v>
      </c>
      <c r="E32" s="107">
        <v>0</v>
      </c>
      <c r="F32" s="107"/>
      <c r="G32" s="107">
        <v>294307</v>
      </c>
      <c r="H32" s="107"/>
      <c r="I32" s="107">
        <v>-1692.5487837736516</v>
      </c>
      <c r="J32" s="107">
        <v>292614.45121622633</v>
      </c>
    </row>
    <row r="33" spans="1:10" x14ac:dyDescent="0.25">
      <c r="A33" s="111" t="s">
        <v>479</v>
      </c>
      <c r="B33" s="111">
        <v>1311052</v>
      </c>
      <c r="C33" s="111">
        <v>5501033</v>
      </c>
      <c r="D33" s="95" t="s">
        <v>270</v>
      </c>
      <c r="E33" s="107">
        <v>0</v>
      </c>
      <c r="F33" s="107"/>
      <c r="G33" s="107">
        <v>6086342</v>
      </c>
      <c r="H33" s="107">
        <v>10500</v>
      </c>
      <c r="I33" s="107">
        <v>-35002.330048998134</v>
      </c>
      <c r="J33" s="107">
        <v>6061839.6699510021</v>
      </c>
    </row>
    <row r="34" spans="1:10" x14ac:dyDescent="0.25">
      <c r="A34" s="111" t="s">
        <v>480</v>
      </c>
      <c r="B34" s="111">
        <v>1311052</v>
      </c>
      <c r="C34" s="111">
        <v>5501033</v>
      </c>
      <c r="D34" s="95" t="s">
        <v>481</v>
      </c>
      <c r="E34" s="107">
        <v>0</v>
      </c>
      <c r="F34" s="107"/>
      <c r="G34" s="107">
        <v>4526580</v>
      </c>
      <c r="H34" s="107">
        <v>82500</v>
      </c>
      <c r="I34" s="107">
        <v>-26032.195882714765</v>
      </c>
      <c r="J34" s="107">
        <v>4583047.8041172856</v>
      </c>
    </row>
    <row r="35" spans="1:10" x14ac:dyDescent="0.25">
      <c r="A35" s="111" t="s">
        <v>482</v>
      </c>
      <c r="B35" s="111">
        <v>1311052</v>
      </c>
      <c r="C35" s="111">
        <v>5501033</v>
      </c>
      <c r="D35" s="95" t="s">
        <v>483</v>
      </c>
      <c r="E35" s="107">
        <v>0</v>
      </c>
      <c r="F35" s="107"/>
      <c r="G35" s="107">
        <v>1167368</v>
      </c>
      <c r="H35" s="107">
        <v>7900</v>
      </c>
      <c r="I35" s="107">
        <v>-6713.4906360238801</v>
      </c>
      <c r="J35" s="107">
        <v>1168554.5093639761</v>
      </c>
    </row>
    <row r="36" spans="1:10" x14ac:dyDescent="0.25">
      <c r="A36" s="111">
        <v>356</v>
      </c>
      <c r="B36" s="111">
        <v>1311052</v>
      </c>
      <c r="C36" s="111">
        <v>5501033</v>
      </c>
      <c r="D36" s="95" t="s">
        <v>281</v>
      </c>
      <c r="E36" s="107">
        <v>0</v>
      </c>
      <c r="F36" s="107"/>
      <c r="G36" s="107">
        <v>6426298</v>
      </c>
      <c r="H36" s="107">
        <v>107500</v>
      </c>
      <c r="I36" s="107">
        <v>-36957.404560771742</v>
      </c>
      <c r="J36" s="107">
        <v>6496840.5954392282</v>
      </c>
    </row>
    <row r="37" spans="1:10" x14ac:dyDescent="0.25">
      <c r="A37" s="111" t="s">
        <v>484</v>
      </c>
      <c r="B37" s="111">
        <v>1311052</v>
      </c>
      <c r="C37" s="111">
        <v>5501033</v>
      </c>
      <c r="D37" s="95" t="s">
        <v>485</v>
      </c>
      <c r="E37" s="108">
        <v>0</v>
      </c>
      <c r="F37" s="108"/>
      <c r="G37" s="108">
        <v>109795</v>
      </c>
      <c r="H37" s="108"/>
      <c r="I37" s="108">
        <v>-631.42702590977478</v>
      </c>
      <c r="J37" s="108">
        <v>109163.57297409023</v>
      </c>
    </row>
    <row r="38" spans="1:10" x14ac:dyDescent="0.25">
      <c r="A38" s="109"/>
      <c r="B38" s="109"/>
      <c r="C38" s="109"/>
      <c r="D38" s="95"/>
      <c r="E38" s="112"/>
      <c r="F38" s="112"/>
      <c r="G38" s="112"/>
      <c r="H38" s="112"/>
      <c r="I38" s="112"/>
      <c r="J38" s="112"/>
    </row>
    <row r="39" spans="1:10" x14ac:dyDescent="0.25">
      <c r="A39" s="109"/>
      <c r="B39" s="109"/>
      <c r="C39" s="109"/>
      <c r="D39" s="95" t="s">
        <v>455</v>
      </c>
      <c r="E39" s="108">
        <v>0</v>
      </c>
      <c r="F39" s="108"/>
      <c r="G39" s="108">
        <v>30464232</v>
      </c>
      <c r="H39" s="108">
        <v>219200</v>
      </c>
      <c r="I39" s="108">
        <v>-175198.68307650974</v>
      </c>
      <c r="J39" s="108">
        <v>30508233.316923492</v>
      </c>
    </row>
    <row r="40" spans="1:10" x14ac:dyDescent="0.25">
      <c r="A40" s="109"/>
      <c r="B40" s="109"/>
      <c r="C40" s="109"/>
      <c r="D40" s="95"/>
      <c r="E40" s="107"/>
      <c r="F40" s="107"/>
      <c r="G40" s="107"/>
      <c r="H40" s="107"/>
      <c r="I40" s="107"/>
      <c r="J40" s="107"/>
    </row>
    <row r="41" spans="1:10" x14ac:dyDescent="0.25">
      <c r="A41" s="109"/>
      <c r="B41" s="109"/>
      <c r="C41" s="109"/>
      <c r="D41" s="98" t="s">
        <v>486</v>
      </c>
      <c r="E41" s="107"/>
      <c r="F41" s="107"/>
      <c r="G41" s="107"/>
      <c r="H41" s="107"/>
      <c r="I41" s="107"/>
      <c r="J41" s="107"/>
    </row>
    <row r="42" spans="1:10" x14ac:dyDescent="0.25">
      <c r="A42" s="105" t="s">
        <v>487</v>
      </c>
      <c r="B42" s="105">
        <v>1311030</v>
      </c>
      <c r="C42" s="105" t="s">
        <v>451</v>
      </c>
      <c r="D42" s="106" t="s">
        <v>488</v>
      </c>
      <c r="E42" s="107">
        <v>0</v>
      </c>
      <c r="F42" s="107"/>
      <c r="G42" s="107">
        <v>425055</v>
      </c>
      <c r="H42" s="107"/>
      <c r="I42" s="107">
        <v>-2444.4757456904167</v>
      </c>
      <c r="J42" s="107">
        <v>422610.5242543096</v>
      </c>
    </row>
    <row r="43" spans="1:10" x14ac:dyDescent="0.25">
      <c r="A43" s="105" t="s">
        <v>489</v>
      </c>
      <c r="B43" s="105">
        <v>1311030</v>
      </c>
      <c r="C43" s="105" t="s">
        <v>451</v>
      </c>
      <c r="D43" s="106" t="s">
        <v>490</v>
      </c>
      <c r="E43" s="107">
        <v>0</v>
      </c>
      <c r="F43" s="107"/>
      <c r="G43" s="107">
        <v>1250617</v>
      </c>
      <c r="H43" s="107">
        <v>455600</v>
      </c>
      <c r="I43" s="107">
        <v>-7192.2525876606842</v>
      </c>
      <c r="J43" s="107">
        <v>1699024.7474123393</v>
      </c>
    </row>
    <row r="44" spans="1:10" x14ac:dyDescent="0.25">
      <c r="A44" s="105" t="s">
        <v>491</v>
      </c>
      <c r="B44" s="105">
        <v>1311060</v>
      </c>
      <c r="C44" s="105">
        <v>5501040</v>
      </c>
      <c r="D44" s="106" t="s">
        <v>492</v>
      </c>
      <c r="E44" s="107">
        <v>0</v>
      </c>
      <c r="F44" s="107"/>
      <c r="G44" s="107">
        <v>355404</v>
      </c>
      <c r="H44" s="107"/>
      <c r="I44" s="107">
        <v>-2043.9153942933426</v>
      </c>
      <c r="J44" s="107">
        <v>353360.08460570668</v>
      </c>
    </row>
    <row r="45" spans="1:10" x14ac:dyDescent="0.25">
      <c r="A45" s="105" t="s">
        <v>493</v>
      </c>
      <c r="B45" s="105">
        <v>1311060</v>
      </c>
      <c r="C45" s="105">
        <v>5501040</v>
      </c>
      <c r="D45" s="106" t="s">
        <v>293</v>
      </c>
      <c r="E45" s="107">
        <v>0</v>
      </c>
      <c r="F45" s="107"/>
      <c r="G45" s="107">
        <v>46804548</v>
      </c>
      <c r="H45" s="107">
        <v>4006400</v>
      </c>
      <c r="I45" s="107">
        <v>-269171.24224865698</v>
      </c>
      <c r="J45" s="107">
        <v>50541776.757751346</v>
      </c>
    </row>
    <row r="46" spans="1:10" x14ac:dyDescent="0.25">
      <c r="A46" s="105" t="s">
        <v>494</v>
      </c>
      <c r="B46" s="105">
        <v>1311060</v>
      </c>
      <c r="C46" s="105">
        <v>5501040</v>
      </c>
      <c r="D46" s="106" t="s">
        <v>495</v>
      </c>
      <c r="E46" s="107">
        <v>0</v>
      </c>
      <c r="F46" s="107"/>
      <c r="G46" s="107">
        <v>8795497</v>
      </c>
      <c r="H46" s="107">
        <v>397600</v>
      </c>
      <c r="I46" s="107">
        <v>-50582.581284287502</v>
      </c>
      <c r="J46" s="107">
        <v>9142514.4187157117</v>
      </c>
    </row>
    <row r="47" spans="1:10" x14ac:dyDescent="0.25">
      <c r="A47" s="105" t="s">
        <v>496</v>
      </c>
      <c r="B47" s="105">
        <v>1311060</v>
      </c>
      <c r="C47" s="105">
        <v>5501040</v>
      </c>
      <c r="D47" s="106" t="s">
        <v>497</v>
      </c>
      <c r="E47" s="107">
        <v>0</v>
      </c>
      <c r="F47" s="107"/>
      <c r="G47" s="107">
        <v>4599023</v>
      </c>
      <c r="H47" s="107">
        <v>616200</v>
      </c>
      <c r="I47" s="107">
        <v>-26448.812923909558</v>
      </c>
      <c r="J47" s="107">
        <v>5188774.1870760908</v>
      </c>
    </row>
    <row r="48" spans="1:10" x14ac:dyDescent="0.25">
      <c r="A48" s="105" t="s">
        <v>498</v>
      </c>
      <c r="B48" s="105">
        <v>1311060</v>
      </c>
      <c r="C48" s="105">
        <v>5501040</v>
      </c>
      <c r="D48" s="106" t="s">
        <v>499</v>
      </c>
      <c r="E48" s="108">
        <v>0</v>
      </c>
      <c r="F48" s="108"/>
      <c r="G48" s="108">
        <v>391134</v>
      </c>
      <c r="H48" s="108">
        <v>9200</v>
      </c>
      <c r="I48" s="108">
        <v>-2249.3973163822925</v>
      </c>
      <c r="J48" s="108">
        <v>398084.60268361773</v>
      </c>
    </row>
    <row r="49" spans="1:10" x14ac:dyDescent="0.25">
      <c r="A49" s="109"/>
      <c r="B49" s="109"/>
      <c r="C49" s="109"/>
      <c r="D49" s="95"/>
      <c r="E49" s="112"/>
      <c r="F49" s="112"/>
      <c r="G49" s="112"/>
      <c r="H49" s="112"/>
      <c r="I49" s="112"/>
      <c r="J49" s="112"/>
    </row>
    <row r="50" spans="1:10" x14ac:dyDescent="0.25">
      <c r="A50" s="109"/>
      <c r="B50" s="109"/>
      <c r="C50" s="109"/>
      <c r="D50" s="106" t="s">
        <v>455</v>
      </c>
      <c r="E50" s="108">
        <v>0</v>
      </c>
      <c r="F50" s="108"/>
      <c r="G50" s="108">
        <v>62621278</v>
      </c>
      <c r="H50" s="108">
        <v>5485000</v>
      </c>
      <c r="I50" s="108">
        <v>-360132.67750088079</v>
      </c>
      <c r="J50" s="108">
        <v>67746145.322499126</v>
      </c>
    </row>
    <row r="51" spans="1:10" x14ac:dyDescent="0.25">
      <c r="A51" s="95"/>
      <c r="B51" s="95"/>
      <c r="C51" s="95"/>
      <c r="D51" s="95"/>
      <c r="E51" s="107"/>
      <c r="F51" s="107"/>
      <c r="G51" s="107"/>
      <c r="H51" s="107"/>
      <c r="I51" s="107"/>
      <c r="J51" s="107"/>
    </row>
    <row r="52" spans="1:10" x14ac:dyDescent="0.25">
      <c r="A52" s="109"/>
      <c r="B52" s="109"/>
      <c r="C52" s="109"/>
      <c r="D52" s="98" t="s">
        <v>500</v>
      </c>
      <c r="E52" s="107"/>
      <c r="F52" s="107"/>
      <c r="G52" s="107"/>
      <c r="H52" s="107"/>
      <c r="I52" s="107"/>
      <c r="J52" s="107"/>
    </row>
    <row r="53" spans="1:10" x14ac:dyDescent="0.25">
      <c r="A53" s="105" t="s">
        <v>501</v>
      </c>
      <c r="B53" s="105">
        <v>1311030</v>
      </c>
      <c r="C53" s="105" t="s">
        <v>451</v>
      </c>
      <c r="D53" s="106" t="s">
        <v>502</v>
      </c>
      <c r="E53" s="107">
        <v>0</v>
      </c>
      <c r="F53" s="107"/>
      <c r="G53" s="107">
        <v>287367</v>
      </c>
      <c r="H53" s="107">
        <v>6000</v>
      </c>
      <c r="I53" s="107">
        <v>-1652.6370978151485</v>
      </c>
      <c r="J53" s="107">
        <v>291714.36290218483</v>
      </c>
    </row>
    <row r="54" spans="1:10" x14ac:dyDescent="0.25">
      <c r="A54" s="105">
        <v>37401</v>
      </c>
      <c r="B54" s="105">
        <v>1311030</v>
      </c>
      <c r="C54" s="105" t="s">
        <v>451</v>
      </c>
      <c r="D54" s="106" t="s">
        <v>503</v>
      </c>
      <c r="E54" s="107">
        <v>0</v>
      </c>
      <c r="F54" s="107"/>
      <c r="G54" s="107">
        <v>71587</v>
      </c>
      <c r="H54" s="107"/>
      <c r="I54" s="107">
        <v>-411.69421652901354</v>
      </c>
      <c r="J54" s="107">
        <v>71175.305783470991</v>
      </c>
    </row>
    <row r="55" spans="1:10" x14ac:dyDescent="0.25">
      <c r="A55" s="105" t="s">
        <v>504</v>
      </c>
      <c r="B55" s="105">
        <v>1311070</v>
      </c>
      <c r="C55" s="105">
        <v>5501050</v>
      </c>
      <c r="D55" s="106" t="s">
        <v>492</v>
      </c>
      <c r="E55" s="107">
        <v>0</v>
      </c>
      <c r="F55" s="107"/>
      <c r="G55" s="107">
        <v>113377</v>
      </c>
      <c r="H55" s="107">
        <v>5000</v>
      </c>
      <c r="I55" s="107">
        <v>-652.02697678922107</v>
      </c>
      <c r="J55" s="107">
        <v>117724.97302321078</v>
      </c>
    </row>
    <row r="56" spans="1:10" x14ac:dyDescent="0.25">
      <c r="A56" s="105" t="s">
        <v>505</v>
      </c>
      <c r="B56" s="105">
        <v>1311070</v>
      </c>
      <c r="C56" s="105">
        <v>5501050</v>
      </c>
      <c r="D56" s="106" t="s">
        <v>321</v>
      </c>
      <c r="E56" s="107">
        <v>0</v>
      </c>
      <c r="F56" s="107"/>
      <c r="G56" s="107">
        <v>97654498</v>
      </c>
      <c r="H56" s="107">
        <v>5676400</v>
      </c>
      <c r="I56" s="107">
        <v>-561607.44331574335</v>
      </c>
      <c r="J56" s="107">
        <v>102769290.55668426</v>
      </c>
    </row>
    <row r="57" spans="1:10" x14ac:dyDescent="0.25">
      <c r="A57" s="105" t="s">
        <v>506</v>
      </c>
      <c r="B57" s="105">
        <v>1311070</v>
      </c>
      <c r="C57" s="105">
        <v>5501050</v>
      </c>
      <c r="D57" s="106" t="s">
        <v>507</v>
      </c>
      <c r="E57" s="107">
        <v>0</v>
      </c>
      <c r="F57" s="107"/>
      <c r="G57" s="107">
        <v>2194334</v>
      </c>
      <c r="H57" s="107">
        <v>72000</v>
      </c>
      <c r="I57" s="107">
        <v>-12619.534509519555</v>
      </c>
      <c r="J57" s="107">
        <v>2253714.4654904804</v>
      </c>
    </row>
    <row r="58" spans="1:10" x14ac:dyDescent="0.25">
      <c r="A58" s="105" t="s">
        <v>508</v>
      </c>
      <c r="B58" s="105">
        <v>1311070</v>
      </c>
      <c r="C58" s="105">
        <v>5501050</v>
      </c>
      <c r="D58" s="106" t="s">
        <v>509</v>
      </c>
      <c r="E58" s="107">
        <v>0</v>
      </c>
      <c r="F58" s="107"/>
      <c r="G58" s="107">
        <v>933554</v>
      </c>
      <c r="H58" s="107">
        <v>25000</v>
      </c>
      <c r="I58" s="107">
        <v>-5368.8348808795827</v>
      </c>
      <c r="J58" s="107">
        <v>953185.16511912039</v>
      </c>
    </row>
    <row r="59" spans="1:10" x14ac:dyDescent="0.25">
      <c r="A59" s="106" t="s">
        <v>510</v>
      </c>
      <c r="B59" s="105">
        <v>1311070</v>
      </c>
      <c r="C59" s="105">
        <v>5501050</v>
      </c>
      <c r="D59" s="106" t="s">
        <v>511</v>
      </c>
      <c r="E59" s="107">
        <v>0</v>
      </c>
      <c r="F59" s="107"/>
      <c r="G59" s="107">
        <v>22520223</v>
      </c>
      <c r="H59" s="107">
        <v>1800000</v>
      </c>
      <c r="I59" s="107">
        <v>-129512.97811116085</v>
      </c>
      <c r="J59" s="107">
        <v>24190710.021888841</v>
      </c>
    </row>
    <row r="60" spans="1:10" x14ac:dyDescent="0.25">
      <c r="A60" s="105" t="s">
        <v>512</v>
      </c>
      <c r="B60" s="105">
        <v>1311070</v>
      </c>
      <c r="C60" s="105">
        <v>5501050</v>
      </c>
      <c r="D60" s="106" t="s">
        <v>513</v>
      </c>
      <c r="E60" s="107">
        <v>722839.02</v>
      </c>
      <c r="F60" s="107">
        <v>175000</v>
      </c>
      <c r="G60" s="107">
        <v>10072659.02</v>
      </c>
      <c r="H60" s="107">
        <v>652400</v>
      </c>
      <c r="I60" s="107">
        <v>-57927.49331027703</v>
      </c>
      <c r="J60" s="107">
        <v>10667131.526689723</v>
      </c>
    </row>
    <row r="61" spans="1:10" x14ac:dyDescent="0.25">
      <c r="A61" s="105" t="s">
        <v>514</v>
      </c>
      <c r="B61" s="105">
        <v>1311070</v>
      </c>
      <c r="C61" s="105">
        <v>5501050</v>
      </c>
      <c r="D61" s="106" t="s">
        <v>515</v>
      </c>
      <c r="E61" s="107">
        <v>1267317.81</v>
      </c>
      <c r="F61" s="107">
        <v>25000</v>
      </c>
      <c r="G61" s="107">
        <v>5370340.8100000005</v>
      </c>
      <c r="H61" s="107">
        <v>325000</v>
      </c>
      <c r="I61" s="107">
        <v>-30884.633414820266</v>
      </c>
      <c r="J61" s="107">
        <v>5664456.1765851807</v>
      </c>
    </row>
    <row r="62" spans="1:10" x14ac:dyDescent="0.25">
      <c r="A62" s="105" t="s">
        <v>516</v>
      </c>
      <c r="B62" s="105">
        <v>1311070</v>
      </c>
      <c r="C62" s="105">
        <v>5501050</v>
      </c>
      <c r="D62" s="106" t="s">
        <v>517</v>
      </c>
      <c r="E62" s="107">
        <v>0</v>
      </c>
      <c r="F62" s="107"/>
      <c r="G62" s="107">
        <v>4456306</v>
      </c>
      <c r="H62" s="107">
        <v>150800</v>
      </c>
      <c r="I62" s="107">
        <v>-25628.052681122859</v>
      </c>
      <c r="J62" s="107">
        <v>4581477.9473188771</v>
      </c>
    </row>
    <row r="63" spans="1:10" x14ac:dyDescent="0.25">
      <c r="A63" s="105" t="s">
        <v>518</v>
      </c>
      <c r="B63" s="105">
        <v>1311070</v>
      </c>
      <c r="C63" s="105">
        <v>5501050</v>
      </c>
      <c r="D63" s="106" t="s">
        <v>519</v>
      </c>
      <c r="E63" s="108">
        <v>0</v>
      </c>
      <c r="F63" s="108"/>
      <c r="G63" s="108">
        <v>1781633</v>
      </c>
      <c r="H63" s="108">
        <v>52000</v>
      </c>
      <c r="I63" s="108">
        <v>-10246.10616560599</v>
      </c>
      <c r="J63" s="108">
        <v>1823386.8938343939</v>
      </c>
    </row>
    <row r="64" spans="1:10" x14ac:dyDescent="0.25">
      <c r="A64" s="109"/>
      <c r="B64" s="109"/>
      <c r="C64" s="109"/>
      <c r="D64" s="95"/>
      <c r="E64" s="112"/>
      <c r="F64" s="112"/>
      <c r="G64" s="112"/>
      <c r="H64" s="112"/>
      <c r="I64" s="112"/>
      <c r="J64" s="112"/>
    </row>
    <row r="65" spans="1:10" x14ac:dyDescent="0.25">
      <c r="A65" s="109"/>
      <c r="B65" s="109"/>
      <c r="C65" s="109"/>
      <c r="D65" s="106" t="s">
        <v>455</v>
      </c>
      <c r="E65" s="108">
        <v>1990156.83</v>
      </c>
      <c r="F65" s="108">
        <v>200000</v>
      </c>
      <c r="G65" s="108">
        <v>145455878.82999998</v>
      </c>
      <c r="H65" s="108">
        <v>8764600</v>
      </c>
      <c r="I65" s="108">
        <v>-836511.43468026293</v>
      </c>
      <c r="J65" s="108">
        <v>153383967.39531973</v>
      </c>
    </row>
    <row r="66" spans="1:10" x14ac:dyDescent="0.25">
      <c r="A66" s="95"/>
      <c r="B66" s="95"/>
      <c r="C66" s="95"/>
      <c r="D66" s="95"/>
      <c r="E66" s="107"/>
      <c r="F66" s="107"/>
      <c r="G66" s="107"/>
      <c r="H66" s="107"/>
      <c r="I66" s="107"/>
      <c r="J66" s="107"/>
    </row>
    <row r="67" spans="1:10" x14ac:dyDescent="0.25">
      <c r="A67" s="95"/>
      <c r="B67" s="95"/>
      <c r="C67" s="95"/>
      <c r="D67" s="98" t="s">
        <v>520</v>
      </c>
      <c r="E67" s="107"/>
      <c r="F67" s="107"/>
      <c r="G67" s="107"/>
      <c r="H67" s="107"/>
      <c r="I67" s="107"/>
      <c r="J67" s="107"/>
    </row>
    <row r="68" spans="1:10" x14ac:dyDescent="0.25">
      <c r="A68" s="105" t="s">
        <v>521</v>
      </c>
      <c r="B68" s="105">
        <v>1331030</v>
      </c>
      <c r="C68" s="105" t="s">
        <v>451</v>
      </c>
      <c r="D68" s="106" t="s">
        <v>488</v>
      </c>
      <c r="E68" s="107">
        <v>0</v>
      </c>
      <c r="F68" s="107"/>
      <c r="G68" s="107">
        <v>998571</v>
      </c>
      <c r="H68" s="107"/>
      <c r="I68" s="107">
        <v>-5742.7452679060943</v>
      </c>
      <c r="J68" s="107">
        <v>992828.25473209389</v>
      </c>
    </row>
    <row r="69" spans="1:10" x14ac:dyDescent="0.25">
      <c r="A69" s="105" t="s">
        <v>522</v>
      </c>
      <c r="B69" s="105">
        <v>1331090</v>
      </c>
      <c r="C69" s="105">
        <v>5501020</v>
      </c>
      <c r="D69" s="106" t="s">
        <v>471</v>
      </c>
      <c r="E69" s="107">
        <v>58881.06</v>
      </c>
      <c r="F69" s="107"/>
      <c r="G69" s="107">
        <v>6030689.0599999996</v>
      </c>
      <c r="H69" s="107">
        <v>520000</v>
      </c>
      <c r="I69" s="107">
        <v>-34682.272028256426</v>
      </c>
      <c r="J69" s="107">
        <v>6516006.7879717434</v>
      </c>
    </row>
    <row r="70" spans="1:10" x14ac:dyDescent="0.25">
      <c r="A70" s="106" t="s">
        <v>523</v>
      </c>
      <c r="B70" s="105">
        <v>1331090</v>
      </c>
      <c r="C70" s="105">
        <v>5501070</v>
      </c>
      <c r="D70" s="110" t="s">
        <v>524</v>
      </c>
      <c r="E70" s="107">
        <v>0</v>
      </c>
      <c r="F70" s="107"/>
      <c r="G70" s="107">
        <v>180448</v>
      </c>
      <c r="H70" s="107"/>
      <c r="I70" s="107">
        <v>-1037.7498426282348</v>
      </c>
      <c r="J70" s="107">
        <v>179410.25015737177</v>
      </c>
    </row>
    <row r="71" spans="1:10" x14ac:dyDescent="0.25">
      <c r="A71" s="113">
        <v>391</v>
      </c>
      <c r="B71" s="105">
        <v>1331090</v>
      </c>
      <c r="C71" s="105">
        <v>5501070</v>
      </c>
      <c r="D71" s="110" t="s">
        <v>525</v>
      </c>
      <c r="E71" s="107">
        <v>18135.23</v>
      </c>
      <c r="F71" s="107"/>
      <c r="G71" s="107">
        <v>125165.23</v>
      </c>
      <c r="H71" s="107">
        <v>75000</v>
      </c>
      <c r="I71" s="107">
        <v>-719.82065600631097</v>
      </c>
      <c r="J71" s="107">
        <v>199445.40934399367</v>
      </c>
    </row>
    <row r="72" spans="1:10" x14ac:dyDescent="0.25">
      <c r="A72" s="113">
        <v>3912</v>
      </c>
      <c r="B72" s="105">
        <v>1331090</v>
      </c>
      <c r="C72" s="105">
        <v>5501070</v>
      </c>
      <c r="D72" s="110" t="s">
        <v>526</v>
      </c>
      <c r="E72" s="107">
        <v>0</v>
      </c>
      <c r="F72" s="107"/>
      <c r="G72" s="107">
        <v>820786</v>
      </c>
      <c r="H72" s="107">
        <v>501050</v>
      </c>
      <c r="I72" s="107">
        <v>-4720.3102407976721</v>
      </c>
      <c r="J72" s="107">
        <v>1317115.6897592023</v>
      </c>
    </row>
    <row r="73" spans="1:10" x14ac:dyDescent="0.25">
      <c r="A73" s="105" t="s">
        <v>527</v>
      </c>
      <c r="B73" s="105">
        <v>1331090</v>
      </c>
      <c r="C73" s="105">
        <v>5501060</v>
      </c>
      <c r="D73" s="106" t="s">
        <v>528</v>
      </c>
      <c r="E73" s="107">
        <v>442100.06</v>
      </c>
      <c r="F73" s="107">
        <v>175001</v>
      </c>
      <c r="G73" s="107">
        <v>5945896.0599999996</v>
      </c>
      <c r="H73" s="107">
        <v>825001</v>
      </c>
      <c r="I73" s="107">
        <v>-34194.630589138367</v>
      </c>
      <c r="J73" s="107">
        <v>6736702.4294108609</v>
      </c>
    </row>
    <row r="74" spans="1:10" x14ac:dyDescent="0.25">
      <c r="A74" s="105" t="s">
        <v>529</v>
      </c>
      <c r="B74" s="105">
        <v>1331090</v>
      </c>
      <c r="C74" s="105">
        <v>5501070</v>
      </c>
      <c r="D74" s="110" t="s">
        <v>530</v>
      </c>
      <c r="E74" s="107">
        <v>0</v>
      </c>
      <c r="F74" s="107"/>
      <c r="G74" s="107">
        <v>36011</v>
      </c>
      <c r="H74" s="107"/>
      <c r="I74" s="107">
        <v>-207.0979428028316</v>
      </c>
      <c r="J74" s="107">
        <v>35803.902057197171</v>
      </c>
    </row>
    <row r="75" spans="1:10" x14ac:dyDescent="0.25">
      <c r="A75" s="105" t="s">
        <v>531</v>
      </c>
      <c r="B75" s="105">
        <v>1331090</v>
      </c>
      <c r="C75" s="105">
        <v>5501070</v>
      </c>
      <c r="D75" s="110" t="s">
        <v>532</v>
      </c>
      <c r="E75" s="107">
        <v>0</v>
      </c>
      <c r="F75" s="107"/>
      <c r="G75" s="107">
        <v>1049485</v>
      </c>
      <c r="H75" s="107">
        <v>51200</v>
      </c>
      <c r="I75" s="107">
        <v>-6035.5498181786052</v>
      </c>
      <c r="J75" s="107">
        <v>1094649.4501818214</v>
      </c>
    </row>
    <row r="76" spans="1:10" x14ac:dyDescent="0.25">
      <c r="A76" s="111" t="s">
        <v>533</v>
      </c>
      <c r="B76" s="105">
        <v>1331090</v>
      </c>
      <c r="C76" s="105">
        <v>5501070</v>
      </c>
      <c r="D76" s="110" t="s">
        <v>534</v>
      </c>
      <c r="E76" s="107">
        <v>0</v>
      </c>
      <c r="F76" s="107"/>
      <c r="G76" s="107">
        <v>2722.22</v>
      </c>
      <c r="H76" s="107"/>
      <c r="I76" s="107">
        <v>-15.655387572039771</v>
      </c>
      <c r="J76" s="107">
        <v>2706.5646124279601</v>
      </c>
    </row>
    <row r="77" spans="1:10" x14ac:dyDescent="0.25">
      <c r="A77" s="105" t="s">
        <v>535</v>
      </c>
      <c r="B77" s="105">
        <v>1331090</v>
      </c>
      <c r="C77" s="105">
        <v>5501070</v>
      </c>
      <c r="D77" s="106" t="s">
        <v>201</v>
      </c>
      <c r="E77" s="107">
        <v>0</v>
      </c>
      <c r="F77" s="107"/>
      <c r="G77" s="107">
        <v>195671</v>
      </c>
      <c r="H77" s="107"/>
      <c r="I77" s="107">
        <v>-1125.2967583841844</v>
      </c>
      <c r="J77" s="107">
        <v>194545.70324161582</v>
      </c>
    </row>
    <row r="78" spans="1:10" x14ac:dyDescent="0.25">
      <c r="A78" s="105" t="s">
        <v>536</v>
      </c>
      <c r="B78" s="105">
        <v>1331090</v>
      </c>
      <c r="C78" s="105">
        <v>5501060</v>
      </c>
      <c r="D78" s="106" t="s">
        <v>356</v>
      </c>
      <c r="E78" s="107">
        <v>0</v>
      </c>
      <c r="F78" s="107"/>
      <c r="G78" s="107">
        <v>4339651</v>
      </c>
      <c r="H78" s="107">
        <v>614200</v>
      </c>
      <c r="I78" s="107">
        <v>-24957.174046326152</v>
      </c>
      <c r="J78" s="107">
        <v>4928893.8259536736</v>
      </c>
    </row>
    <row r="79" spans="1:10" x14ac:dyDescent="0.25">
      <c r="A79" s="105" t="s">
        <v>537</v>
      </c>
      <c r="B79" s="105">
        <v>1331090</v>
      </c>
      <c r="C79" s="105">
        <v>5501070</v>
      </c>
      <c r="D79" s="106" t="s">
        <v>228</v>
      </c>
      <c r="E79" s="107">
        <v>0</v>
      </c>
      <c r="F79" s="107"/>
      <c r="G79" s="107">
        <v>237626</v>
      </c>
      <c r="H79" s="107"/>
      <c r="I79" s="107">
        <v>-1366.5784276045003</v>
      </c>
      <c r="J79" s="107">
        <v>236259.42157239551</v>
      </c>
    </row>
    <row r="80" spans="1:10" x14ac:dyDescent="0.25">
      <c r="A80" s="105" t="s">
        <v>538</v>
      </c>
      <c r="B80" s="105">
        <v>1331090</v>
      </c>
      <c r="C80" s="105">
        <v>5501070</v>
      </c>
      <c r="D80" s="106" t="s">
        <v>232</v>
      </c>
      <c r="E80" s="107">
        <v>0</v>
      </c>
      <c r="F80" s="107"/>
      <c r="G80" s="107">
        <v>50132</v>
      </c>
      <c r="H80" s="107"/>
      <c r="I80" s="107">
        <v>-288.30729689793549</v>
      </c>
      <c r="J80" s="107">
        <v>49843.692703102068</v>
      </c>
    </row>
    <row r="81" spans="1:11" x14ac:dyDescent="0.25">
      <c r="A81" s="105">
        <v>39901</v>
      </c>
      <c r="B81" s="105">
        <v>1331090</v>
      </c>
      <c r="C81" s="105">
        <v>5501070</v>
      </c>
      <c r="D81" s="106" t="s">
        <v>539</v>
      </c>
      <c r="E81" s="108">
        <v>0</v>
      </c>
      <c r="F81" s="108"/>
      <c r="G81" s="108">
        <v>265540</v>
      </c>
      <c r="H81" s="108"/>
      <c r="I81" s="108">
        <v>-1527.1108198012805</v>
      </c>
      <c r="J81" s="108">
        <v>264012.88918019872</v>
      </c>
      <c r="K81" s="95"/>
    </row>
    <row r="82" spans="1:11" x14ac:dyDescent="0.25">
      <c r="A82" s="109"/>
      <c r="B82" s="109"/>
      <c r="C82" s="109"/>
      <c r="D82" s="95"/>
      <c r="E82" s="112"/>
      <c r="F82" s="112"/>
      <c r="G82" s="112"/>
      <c r="H82" s="112"/>
      <c r="I82" s="112"/>
      <c r="J82" s="112"/>
      <c r="K82" s="95"/>
    </row>
    <row r="83" spans="1:11" x14ac:dyDescent="0.25">
      <c r="A83" s="109"/>
      <c r="B83" s="109"/>
      <c r="C83" s="109"/>
      <c r="D83" s="106" t="s">
        <v>455</v>
      </c>
      <c r="E83" s="108">
        <v>519116.35</v>
      </c>
      <c r="F83" s="108">
        <v>175001</v>
      </c>
      <c r="G83" s="108">
        <v>20278393.57</v>
      </c>
      <c r="H83" s="108">
        <v>2586451</v>
      </c>
      <c r="I83" s="108">
        <v>-116620.29912230064</v>
      </c>
      <c r="J83" s="108">
        <v>22748224.2708777</v>
      </c>
      <c r="K83" s="95"/>
    </row>
    <row r="84" spans="1:11" x14ac:dyDescent="0.25">
      <c r="A84" s="109"/>
      <c r="B84" s="109"/>
      <c r="C84" s="109"/>
      <c r="D84" s="106"/>
      <c r="E84" s="107"/>
      <c r="F84" s="107"/>
      <c r="G84" s="107"/>
      <c r="H84" s="107"/>
      <c r="I84" s="107"/>
      <c r="J84" s="107"/>
      <c r="K84" s="95"/>
    </row>
    <row r="85" spans="1:11" x14ac:dyDescent="0.25">
      <c r="A85" s="109"/>
      <c r="B85" s="109"/>
      <c r="C85" s="109"/>
      <c r="D85" s="106" t="s">
        <v>540</v>
      </c>
      <c r="E85" s="108">
        <v>2780898.67</v>
      </c>
      <c r="F85" s="108">
        <v>455402</v>
      </c>
      <c r="G85" s="108">
        <v>267744009.88999999</v>
      </c>
      <c r="H85" s="108">
        <v>18963702</v>
      </c>
      <c r="I85" s="108">
        <v>-1539786</v>
      </c>
      <c r="J85" s="108">
        <v>285167925.88999999</v>
      </c>
      <c r="K85" s="95"/>
    </row>
    <row r="86" spans="1:11" x14ac:dyDescent="0.25">
      <c r="A86" s="109"/>
      <c r="B86" s="109"/>
      <c r="C86" s="109"/>
      <c r="D86" s="109"/>
      <c r="E86" s="95"/>
      <c r="F86" s="95"/>
      <c r="G86" s="106"/>
      <c r="H86" s="106"/>
      <c r="I86" s="106"/>
      <c r="J86" s="106"/>
      <c r="K86" s="95"/>
    </row>
    <row r="87" spans="1:11" x14ac:dyDescent="0.25">
      <c r="A87" s="109"/>
      <c r="B87" s="95"/>
      <c r="C87" s="95"/>
      <c r="D87" s="95"/>
      <c r="E87" s="95"/>
      <c r="F87" s="95"/>
      <c r="G87" s="95"/>
      <c r="H87" s="106"/>
      <c r="I87" s="95"/>
      <c r="J87" s="95"/>
      <c r="K87" s="95"/>
    </row>
    <row r="88" spans="1:11" x14ac:dyDescent="0.25">
      <c r="A88" s="95"/>
      <c r="B88" s="95"/>
      <c r="C88" s="95"/>
      <c r="D88" s="95"/>
      <c r="E88" s="95"/>
      <c r="F88" s="95"/>
      <c r="G88" s="106"/>
      <c r="H88" s="114">
        <v>19570083</v>
      </c>
      <c r="I88" s="106"/>
      <c r="J88" s="106"/>
      <c r="K88" s="95"/>
    </row>
    <row r="89" spans="1:11" ht="14.4" x14ac:dyDescent="0.35">
      <c r="A89" s="109"/>
      <c r="B89" s="95"/>
      <c r="C89" s="95"/>
      <c r="D89" s="95"/>
      <c r="E89" s="95"/>
      <c r="F89" s="95"/>
      <c r="G89" s="95"/>
      <c r="H89" s="115">
        <v>455402</v>
      </c>
      <c r="I89" s="95"/>
      <c r="J89" s="95"/>
      <c r="K89" s="116"/>
    </row>
    <row r="90" spans="1:11" x14ac:dyDescent="0.25">
      <c r="A90" s="109"/>
      <c r="B90" s="95"/>
      <c r="C90" s="117"/>
      <c r="D90" s="98"/>
      <c r="E90" s="95"/>
      <c r="F90" s="95"/>
      <c r="G90" s="118">
        <v>267744009.88999999</v>
      </c>
      <c r="H90" s="119">
        <v>20025485</v>
      </c>
      <c r="I90" s="120">
        <v>-1539786</v>
      </c>
      <c r="J90" s="121">
        <v>286229708.88999999</v>
      </c>
      <c r="K90" s="95"/>
    </row>
    <row r="91" spans="1:11" x14ac:dyDescent="0.25">
      <c r="A91" s="109"/>
      <c r="B91" s="122"/>
      <c r="C91" s="117"/>
      <c r="D91" s="95"/>
      <c r="E91" s="95"/>
      <c r="F91" s="95"/>
      <c r="G91" s="106"/>
      <c r="H91" s="95"/>
      <c r="I91" s="95"/>
      <c r="J91" s="95"/>
      <c r="K91" s="95"/>
    </row>
    <row r="92" spans="1:11" hidden="1" x14ac:dyDescent="0.25">
      <c r="A92" s="109"/>
      <c r="B92" s="109"/>
      <c r="C92" s="109"/>
      <c r="D92" s="95" t="s">
        <v>541</v>
      </c>
      <c r="E92" s="95"/>
      <c r="F92" s="95"/>
      <c r="G92" s="95"/>
      <c r="H92" s="95"/>
      <c r="I92" s="95"/>
      <c r="J92" s="95"/>
      <c r="K92" s="95"/>
    </row>
    <row r="93" spans="1:11" hidden="1" x14ac:dyDescent="0.25">
      <c r="A93" s="109"/>
      <c r="B93" s="109"/>
      <c r="C93" s="109"/>
      <c r="D93" s="95"/>
      <c r="E93" s="95"/>
      <c r="F93" s="95"/>
      <c r="G93" s="95"/>
      <c r="H93" s="95"/>
      <c r="I93" s="95"/>
      <c r="J93" s="95"/>
      <c r="K93" s="95"/>
    </row>
    <row r="94" spans="1:11" hidden="1" x14ac:dyDescent="0.25">
      <c r="A94" s="109"/>
      <c r="B94" s="109"/>
      <c r="C94" s="109"/>
      <c r="D94" s="95"/>
      <c r="E94" s="95"/>
      <c r="F94" s="95"/>
      <c r="G94" s="95"/>
      <c r="H94" s="95"/>
      <c r="I94" s="95"/>
      <c r="J94" s="95"/>
      <c r="K94" s="95"/>
    </row>
    <row r="95" spans="1:11" hidden="1" x14ac:dyDescent="0.25">
      <c r="A95" s="109"/>
      <c r="B95" s="109"/>
      <c r="C95" s="109"/>
      <c r="D95" s="95"/>
      <c r="E95" s="95"/>
      <c r="F95" s="95"/>
      <c r="G95" s="95"/>
      <c r="H95" s="95"/>
      <c r="I95" s="95"/>
      <c r="J95" s="95"/>
      <c r="K95" s="95"/>
    </row>
    <row r="96" spans="1:11" hidden="1" x14ac:dyDescent="0.25">
      <c r="A96" s="109"/>
      <c r="B96" s="109"/>
      <c r="C96" s="109"/>
      <c r="D96" s="123" t="s">
        <v>542</v>
      </c>
      <c r="E96" s="123"/>
      <c r="F96" s="123"/>
      <c r="G96" s="95"/>
      <c r="H96" s="95"/>
      <c r="I96" s="95"/>
      <c r="J96" s="95"/>
      <c r="K96" s="95"/>
    </row>
    <row r="97" spans="1:10" hidden="1" x14ac:dyDescent="0.25">
      <c r="A97" s="95"/>
      <c r="B97" s="95"/>
      <c r="C97" s="95"/>
      <c r="D97" s="106"/>
      <c r="E97" s="106"/>
      <c r="F97" s="106"/>
      <c r="G97" s="124"/>
      <c r="H97" s="124"/>
      <c r="I97" s="124"/>
      <c r="J97" s="124"/>
    </row>
    <row r="98" spans="1:10" hidden="1" x14ac:dyDescent="0.25">
      <c r="A98" s="109"/>
      <c r="B98" s="109"/>
      <c r="C98" s="109"/>
      <c r="D98" s="95" t="s">
        <v>543</v>
      </c>
      <c r="E98" s="95"/>
      <c r="F98" s="95"/>
      <c r="G98" s="95"/>
      <c r="H98" s="95"/>
      <c r="I98" s="95"/>
      <c r="J98" s="95"/>
    </row>
    <row r="99" spans="1:10" hidden="1" x14ac:dyDescent="0.25">
      <c r="A99" s="109"/>
      <c r="B99" s="109"/>
      <c r="C99" s="109"/>
      <c r="D99" s="125">
        <v>1130239</v>
      </c>
      <c r="E99" s="125"/>
      <c r="F99" s="125"/>
      <c r="G99" s="95"/>
      <c r="H99" s="95"/>
      <c r="I99" s="95"/>
      <c r="J99" s="95"/>
    </row>
    <row r="100" spans="1:10" hidden="1" x14ac:dyDescent="0.25">
      <c r="A100" s="109"/>
      <c r="B100" s="109"/>
      <c r="C100" s="109"/>
      <c r="D100" s="95"/>
      <c r="E100" s="95"/>
      <c r="F100" s="95"/>
      <c r="G100" s="95"/>
      <c r="H100" s="95"/>
      <c r="I100" s="95"/>
      <c r="J100" s="95"/>
    </row>
    <row r="101" spans="1:10" hidden="1" x14ac:dyDescent="0.25">
      <c r="A101" s="109"/>
      <c r="B101" s="109"/>
      <c r="C101" s="109"/>
      <c r="D101" s="95" t="s">
        <v>544</v>
      </c>
      <c r="E101" s="95"/>
      <c r="F101" s="95"/>
      <c r="G101" s="95"/>
      <c r="H101" s="95"/>
      <c r="I101" s="95"/>
      <c r="J101" s="95"/>
    </row>
    <row r="102" spans="1:10" hidden="1" x14ac:dyDescent="0.25">
      <c r="A102" s="109"/>
      <c r="B102" s="109"/>
      <c r="C102" s="109"/>
      <c r="D102" s="126">
        <v>1949332</v>
      </c>
      <c r="E102" s="127"/>
      <c r="F102" s="127"/>
      <c r="G102" s="95"/>
      <c r="H102" s="95"/>
      <c r="I102" s="95"/>
      <c r="J102" s="95"/>
    </row>
    <row r="103" spans="1:10" hidden="1" x14ac:dyDescent="0.25">
      <c r="A103" s="109"/>
      <c r="B103" s="109"/>
      <c r="C103" s="109"/>
      <c r="D103" s="95"/>
      <c r="E103" s="95"/>
      <c r="F103" s="95"/>
      <c r="G103" s="95"/>
      <c r="H103" s="95"/>
      <c r="I103" s="95"/>
      <c r="J103" s="95"/>
    </row>
    <row r="104" spans="1:10" hidden="1" x14ac:dyDescent="0.25">
      <c r="A104" s="95"/>
      <c r="B104" s="95"/>
      <c r="C104" s="95"/>
      <c r="D104" s="95" t="s">
        <v>545</v>
      </c>
      <c r="E104" s="95"/>
      <c r="F104" s="95"/>
      <c r="G104" s="95"/>
      <c r="H104" s="95"/>
      <c r="I104" s="95"/>
      <c r="J104" s="95"/>
    </row>
    <row r="105" spans="1:10" hidden="1" x14ac:dyDescent="0.25">
      <c r="A105" s="95"/>
      <c r="B105" s="95"/>
      <c r="C105" s="95"/>
      <c r="D105" s="128">
        <f>ROUND((D99+D102)/2,0)</f>
        <v>1539786</v>
      </c>
      <c r="E105" s="129"/>
      <c r="F105" s="129"/>
      <c r="G105" s="95"/>
      <c r="H105" s="95"/>
      <c r="I105" s="95"/>
      <c r="J105" s="95"/>
    </row>
    <row r="106" spans="1:10" hidden="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hidden="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hidden="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hidden="1" x14ac:dyDescent="0.25">
      <c r="A109" s="95"/>
      <c r="B109" s="95"/>
      <c r="C109" s="95"/>
      <c r="D109" s="95" t="s">
        <v>546</v>
      </c>
      <c r="E109" s="95"/>
      <c r="F109" s="95"/>
      <c r="G109" s="95"/>
      <c r="H109" s="95"/>
      <c r="I109" s="95"/>
      <c r="J109" s="95"/>
    </row>
    <row r="110" spans="1:10" hidden="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hidden="1" x14ac:dyDescent="0.25">
      <c r="A111" s="95"/>
      <c r="B111" s="95"/>
      <c r="C111" s="95"/>
      <c r="D111" s="95" t="s">
        <v>547</v>
      </c>
      <c r="E111" s="130">
        <v>60975.310000002384</v>
      </c>
      <c r="F111" s="95">
        <v>60974</v>
      </c>
      <c r="G111" s="95"/>
      <c r="H111" s="95"/>
      <c r="I111" s="95"/>
      <c r="J111" s="95"/>
    </row>
    <row r="112" spans="1:10" hidden="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4:10" hidden="1" x14ac:dyDescent="0.25">
      <c r="D113" s="95"/>
      <c r="E113" s="95"/>
      <c r="F113" s="95"/>
      <c r="G113" s="95"/>
      <c r="H113" s="95"/>
      <c r="I113" s="95"/>
      <c r="J113" s="95"/>
    </row>
    <row r="114" spans="4:10" hidden="1" x14ac:dyDescent="0.25">
      <c r="D114" s="95"/>
      <c r="E114" s="95"/>
      <c r="F114" s="95"/>
      <c r="G114" s="120">
        <f>'[38]2021 capex &amp; dep'!R45</f>
        <v>276048694.57999998</v>
      </c>
      <c r="H114" s="120"/>
      <c r="I114" s="95"/>
      <c r="J114" s="120">
        <f>'[38]2021 capex &amp; dep'!AE48</f>
        <v>293472610.56</v>
      </c>
    </row>
    <row r="115" spans="4:10" hidden="1" x14ac:dyDescent="0.25">
      <c r="D115" s="95" t="s">
        <v>546</v>
      </c>
      <c r="E115" s="130">
        <v>265024086.53</v>
      </c>
      <c r="F115" s="131" t="s">
        <v>548</v>
      </c>
      <c r="G115" s="120">
        <f>-'[38]3 31 21 Bal Sheet'!E19</f>
        <v>-4208069.49</v>
      </c>
      <c r="H115" s="120"/>
      <c r="I115" s="131" t="s">
        <v>548</v>
      </c>
      <c r="J115" s="132">
        <f>G115</f>
        <v>-4208069.49</v>
      </c>
    </row>
    <row r="116" spans="4:10" ht="14.4" hidden="1" x14ac:dyDescent="0.35">
      <c r="D116" s="95" t="s">
        <v>549</v>
      </c>
      <c r="E116" s="133">
        <v>2780898.67</v>
      </c>
      <c r="F116" s="131" t="s">
        <v>550</v>
      </c>
      <c r="G116" s="120">
        <f>-'[38]3 31 21 Bal Sheet'!E10</f>
        <v>-4585903.09</v>
      </c>
      <c r="H116" s="120"/>
      <c r="I116" s="131" t="s">
        <v>550</v>
      </c>
      <c r="J116" s="132">
        <f>G116</f>
        <v>-4585903.09</v>
      </c>
    </row>
    <row r="117" spans="4:10" hidden="1" x14ac:dyDescent="0.25">
      <c r="D117" s="95"/>
      <c r="E117" s="134">
        <f>E115+E116</f>
        <v>267804985.19999999</v>
      </c>
      <c r="F117" s="131" t="s">
        <v>551</v>
      </c>
      <c r="G117" s="120">
        <f>-'[38]3 31 21 Bal Sheet'!E7</f>
        <v>580759.07999999996</v>
      </c>
      <c r="H117" s="120"/>
      <c r="I117" s="131" t="s">
        <v>551</v>
      </c>
      <c r="J117" s="132">
        <f>G117</f>
        <v>580759.07999999996</v>
      </c>
    </row>
    <row r="118" spans="4:10" hidden="1" x14ac:dyDescent="0.25">
      <c r="D118" s="95" t="s">
        <v>552</v>
      </c>
      <c r="E118" s="120">
        <f>'[38]Dec 20 &amp; Jan 21 BS'!E4</f>
        <v>267804985.19999999</v>
      </c>
      <c r="F118" s="131" t="s">
        <v>553</v>
      </c>
      <c r="G118" s="120">
        <f>-'[38]3 31 21 Bal Sheet'!E6</f>
        <v>-91469.88</v>
      </c>
      <c r="H118" s="120"/>
      <c r="I118" s="131" t="s">
        <v>553</v>
      </c>
      <c r="J118" s="132">
        <f>G118</f>
        <v>-91469.88</v>
      </c>
    </row>
    <row r="119" spans="4:10" hidden="1" x14ac:dyDescent="0.25">
      <c r="D119" s="95"/>
      <c r="E119" s="95"/>
      <c r="F119" s="95"/>
      <c r="G119" s="95"/>
      <c r="H119" s="95"/>
      <c r="I119" s="95" t="s">
        <v>554</v>
      </c>
      <c r="J119" s="120">
        <v>0</v>
      </c>
    </row>
    <row r="120" spans="4:10" hidden="1" x14ac:dyDescent="0.25">
      <c r="D120" s="95"/>
      <c r="E120" s="95"/>
      <c r="F120" s="95"/>
      <c r="G120" s="95"/>
      <c r="H120" s="95"/>
      <c r="I120" s="95"/>
      <c r="J120" s="95"/>
    </row>
    <row r="121" spans="4:10" hidden="1" x14ac:dyDescent="0.25">
      <c r="D121" s="95"/>
      <c r="E121" s="95"/>
      <c r="F121" s="95"/>
      <c r="G121" s="95"/>
      <c r="H121" s="95"/>
      <c r="I121" s="95"/>
      <c r="J121" s="95"/>
    </row>
    <row r="122" spans="4:10" hidden="1" x14ac:dyDescent="0.25">
      <c r="D122" s="95"/>
      <c r="E122" s="95"/>
      <c r="F122" s="95"/>
      <c r="G122" s="132">
        <f>SUM(G114:G121)</f>
        <v>267744011.19999999</v>
      </c>
      <c r="H122" s="132"/>
      <c r="I122" s="95"/>
      <c r="J122" s="132">
        <f>SUM(J114:J121)</f>
        <v>285167927.18000001</v>
      </c>
    </row>
    <row r="123" spans="4:10" hidden="1" x14ac:dyDescent="0.25">
      <c r="D123" s="95"/>
      <c r="E123" s="95"/>
      <c r="F123" s="95"/>
      <c r="G123" s="95"/>
      <c r="H123" s="95"/>
      <c r="I123" s="95"/>
      <c r="J123" s="95"/>
    </row>
    <row r="124" spans="4:10" hidden="1" x14ac:dyDescent="0.25">
      <c r="D124" s="95"/>
      <c r="E124" s="95"/>
      <c r="F124" s="95"/>
      <c r="G124" s="132">
        <f>G122-G85</f>
        <v>1.3100000023841858</v>
      </c>
      <c r="H124" s="95"/>
      <c r="I124" s="95"/>
      <c r="J124" s="132">
        <f>J122-J85</f>
        <v>1.2900000214576721</v>
      </c>
    </row>
    <row r="125" spans="4:10" hidden="1" x14ac:dyDescent="0.25">
      <c r="D125" s="95"/>
      <c r="E125" s="95"/>
      <c r="F125" s="95"/>
      <c r="G125" s="95"/>
      <c r="H125" s="95"/>
      <c r="I125" s="95"/>
      <c r="J125" s="95"/>
    </row>
    <row r="126" spans="4:10" hidden="1" x14ac:dyDescent="0.25">
      <c r="D126" s="95"/>
      <c r="E126" s="95"/>
      <c r="F126" s="95"/>
      <c r="G126" s="95"/>
      <c r="H126" s="95"/>
      <c r="I126" s="95"/>
      <c r="J126" s="95"/>
    </row>
    <row r="127" spans="4:10" hidden="1" x14ac:dyDescent="0.25">
      <c r="D127" s="95"/>
      <c r="E127" s="95"/>
      <c r="F127" s="95"/>
      <c r="G127" s="95"/>
      <c r="H127" s="132"/>
      <c r="I127" s="95"/>
      <c r="J127" s="95"/>
    </row>
    <row r="128" spans="4:10" hidden="1" x14ac:dyDescent="0.25">
      <c r="D128" s="95"/>
      <c r="E128" s="95"/>
      <c r="F128" s="95"/>
      <c r="G128" s="95"/>
      <c r="H128" s="95"/>
      <c r="I128" s="95"/>
      <c r="J128" s="95"/>
    </row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</sheetData>
  <pageMargins left="0.7" right="0.7" top="0.75" bottom="0.75" header="0.3" footer="0.3"/>
  <pageSetup scale="61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6E71-C3D5-4E29-8A75-CBE706652DFE}">
  <sheetPr>
    <tabColor rgb="FF66FF33"/>
    <pageSetUpPr fitToPage="1"/>
  </sheetPr>
  <dimension ref="A1:P139"/>
  <sheetViews>
    <sheetView topLeftCell="A19" workbookViewId="0">
      <selection activeCell="G32" sqref="G32"/>
    </sheetView>
  </sheetViews>
  <sheetFormatPr defaultColWidth="11" defaultRowHeight="14.4" x14ac:dyDescent="0.3"/>
  <cols>
    <col min="1" max="1" width="7.5546875" customWidth="1"/>
    <col min="2" max="3" width="9.5546875" customWidth="1"/>
    <col min="4" max="4" width="37.6640625" bestFit="1" customWidth="1"/>
    <col min="5" max="5" width="11.5546875" customWidth="1"/>
    <col min="6" max="6" width="11.109375" customWidth="1"/>
    <col min="7" max="7" width="12.44140625" customWidth="1"/>
    <col min="8" max="8" width="8.88671875" customWidth="1"/>
    <col min="9" max="9" width="13.33203125" customWidth="1"/>
    <col min="10" max="10" width="11.33203125" customWidth="1"/>
    <col min="11" max="11" width="12.6640625" bestFit="1" customWidth="1"/>
    <col min="12" max="12" width="15.5546875" bestFit="1" customWidth="1"/>
    <col min="13" max="13" width="8.6640625" customWidth="1"/>
    <col min="14" max="14" width="13.88671875" customWidth="1"/>
    <col min="15" max="15" width="9" customWidth="1"/>
    <col min="16" max="16" width="13.5546875" bestFit="1" customWidth="1"/>
    <col min="214" max="214" width="7.5546875" customWidth="1"/>
    <col min="215" max="216" width="9.5546875" customWidth="1"/>
    <col min="217" max="217" width="32.6640625" customWidth="1"/>
    <col min="218" max="221" width="13.6640625" customWidth="1"/>
    <col min="222" max="222" width="11.5546875" customWidth="1"/>
    <col min="223" max="223" width="11.109375" customWidth="1"/>
    <col min="224" max="224" width="12.44140625" customWidth="1"/>
    <col min="225" max="225" width="8.88671875" customWidth="1"/>
    <col min="226" max="226" width="13.33203125" customWidth="1"/>
    <col min="227" max="227" width="11.33203125" customWidth="1"/>
    <col min="228" max="228" width="10.6640625" customWidth="1"/>
    <col min="229" max="229" width="11.33203125" customWidth="1"/>
    <col min="230" max="230" width="8.6640625" customWidth="1"/>
    <col min="231" max="231" width="13.88671875" customWidth="1"/>
    <col min="232" max="232" width="10.88671875" customWidth="1"/>
    <col min="233" max="233" width="9.88671875" customWidth="1"/>
    <col min="234" max="245" width="10.44140625" customWidth="1"/>
    <col min="246" max="246" width="12" customWidth="1"/>
    <col min="470" max="470" width="7.5546875" customWidth="1"/>
    <col min="471" max="472" width="9.5546875" customWidth="1"/>
    <col min="473" max="473" width="32.6640625" customWidth="1"/>
    <col min="474" max="477" width="13.6640625" customWidth="1"/>
    <col min="478" max="478" width="11.5546875" customWidth="1"/>
    <col min="479" max="479" width="11.109375" customWidth="1"/>
    <col min="480" max="480" width="12.44140625" customWidth="1"/>
    <col min="481" max="481" width="8.88671875" customWidth="1"/>
    <col min="482" max="482" width="13.33203125" customWidth="1"/>
    <col min="483" max="483" width="11.33203125" customWidth="1"/>
    <col min="484" max="484" width="10.6640625" customWidth="1"/>
    <col min="485" max="485" width="11.33203125" customWidth="1"/>
    <col min="486" max="486" width="8.6640625" customWidth="1"/>
    <col min="487" max="487" width="13.88671875" customWidth="1"/>
    <col min="488" max="488" width="10.88671875" customWidth="1"/>
    <col min="489" max="489" width="9.88671875" customWidth="1"/>
    <col min="490" max="501" width="10.44140625" customWidth="1"/>
    <col min="502" max="502" width="12" customWidth="1"/>
    <col min="726" max="726" width="7.5546875" customWidth="1"/>
    <col min="727" max="728" width="9.5546875" customWidth="1"/>
    <col min="729" max="729" width="32.6640625" customWidth="1"/>
    <col min="730" max="733" width="13.6640625" customWidth="1"/>
    <col min="734" max="734" width="11.5546875" customWidth="1"/>
    <col min="735" max="735" width="11.109375" customWidth="1"/>
    <col min="736" max="736" width="12.44140625" customWidth="1"/>
    <col min="737" max="737" width="8.88671875" customWidth="1"/>
    <col min="738" max="738" width="13.33203125" customWidth="1"/>
    <col min="739" max="739" width="11.33203125" customWidth="1"/>
    <col min="740" max="740" width="10.6640625" customWidth="1"/>
    <col min="741" max="741" width="11.33203125" customWidth="1"/>
    <col min="742" max="742" width="8.6640625" customWidth="1"/>
    <col min="743" max="743" width="13.88671875" customWidth="1"/>
    <col min="744" max="744" width="10.88671875" customWidth="1"/>
    <col min="745" max="745" width="9.88671875" customWidth="1"/>
    <col min="746" max="757" width="10.44140625" customWidth="1"/>
    <col min="758" max="758" width="12" customWidth="1"/>
    <col min="982" max="982" width="7.5546875" customWidth="1"/>
    <col min="983" max="984" width="9.5546875" customWidth="1"/>
    <col min="985" max="985" width="32.6640625" customWidth="1"/>
    <col min="986" max="989" width="13.6640625" customWidth="1"/>
    <col min="990" max="990" width="11.5546875" customWidth="1"/>
    <col min="991" max="991" width="11.109375" customWidth="1"/>
    <col min="992" max="992" width="12.44140625" customWidth="1"/>
    <col min="993" max="993" width="8.88671875" customWidth="1"/>
    <col min="994" max="994" width="13.33203125" customWidth="1"/>
    <col min="995" max="995" width="11.33203125" customWidth="1"/>
    <col min="996" max="996" width="10.6640625" customWidth="1"/>
    <col min="997" max="997" width="11.33203125" customWidth="1"/>
    <col min="998" max="998" width="8.6640625" customWidth="1"/>
    <col min="999" max="999" width="13.88671875" customWidth="1"/>
    <col min="1000" max="1000" width="10.88671875" customWidth="1"/>
    <col min="1001" max="1001" width="9.88671875" customWidth="1"/>
    <col min="1002" max="1013" width="10.44140625" customWidth="1"/>
    <col min="1014" max="1014" width="12" customWidth="1"/>
    <col min="1238" max="1238" width="7.5546875" customWidth="1"/>
    <col min="1239" max="1240" width="9.5546875" customWidth="1"/>
    <col min="1241" max="1241" width="32.6640625" customWidth="1"/>
    <col min="1242" max="1245" width="13.6640625" customWidth="1"/>
    <col min="1246" max="1246" width="11.5546875" customWidth="1"/>
    <col min="1247" max="1247" width="11.109375" customWidth="1"/>
    <col min="1248" max="1248" width="12.44140625" customWidth="1"/>
    <col min="1249" max="1249" width="8.88671875" customWidth="1"/>
    <col min="1250" max="1250" width="13.33203125" customWidth="1"/>
    <col min="1251" max="1251" width="11.33203125" customWidth="1"/>
    <col min="1252" max="1252" width="10.6640625" customWidth="1"/>
    <col min="1253" max="1253" width="11.33203125" customWidth="1"/>
    <col min="1254" max="1254" width="8.6640625" customWidth="1"/>
    <col min="1255" max="1255" width="13.88671875" customWidth="1"/>
    <col min="1256" max="1256" width="10.88671875" customWidth="1"/>
    <col min="1257" max="1257" width="9.88671875" customWidth="1"/>
    <col min="1258" max="1269" width="10.44140625" customWidth="1"/>
    <col min="1270" max="1270" width="12" customWidth="1"/>
    <col min="1494" max="1494" width="7.5546875" customWidth="1"/>
    <col min="1495" max="1496" width="9.5546875" customWidth="1"/>
    <col min="1497" max="1497" width="32.6640625" customWidth="1"/>
    <col min="1498" max="1501" width="13.6640625" customWidth="1"/>
    <col min="1502" max="1502" width="11.5546875" customWidth="1"/>
    <col min="1503" max="1503" width="11.109375" customWidth="1"/>
    <col min="1504" max="1504" width="12.44140625" customWidth="1"/>
    <col min="1505" max="1505" width="8.88671875" customWidth="1"/>
    <col min="1506" max="1506" width="13.33203125" customWidth="1"/>
    <col min="1507" max="1507" width="11.33203125" customWidth="1"/>
    <col min="1508" max="1508" width="10.6640625" customWidth="1"/>
    <col min="1509" max="1509" width="11.33203125" customWidth="1"/>
    <col min="1510" max="1510" width="8.6640625" customWidth="1"/>
    <col min="1511" max="1511" width="13.88671875" customWidth="1"/>
    <col min="1512" max="1512" width="10.88671875" customWidth="1"/>
    <col min="1513" max="1513" width="9.88671875" customWidth="1"/>
    <col min="1514" max="1525" width="10.44140625" customWidth="1"/>
    <col min="1526" max="1526" width="12" customWidth="1"/>
    <col min="1750" max="1750" width="7.5546875" customWidth="1"/>
    <col min="1751" max="1752" width="9.5546875" customWidth="1"/>
    <col min="1753" max="1753" width="32.6640625" customWidth="1"/>
    <col min="1754" max="1757" width="13.6640625" customWidth="1"/>
    <col min="1758" max="1758" width="11.5546875" customWidth="1"/>
    <col min="1759" max="1759" width="11.109375" customWidth="1"/>
    <col min="1760" max="1760" width="12.44140625" customWidth="1"/>
    <col min="1761" max="1761" width="8.88671875" customWidth="1"/>
    <col min="1762" max="1762" width="13.33203125" customWidth="1"/>
    <col min="1763" max="1763" width="11.33203125" customWidth="1"/>
    <col min="1764" max="1764" width="10.6640625" customWidth="1"/>
    <col min="1765" max="1765" width="11.33203125" customWidth="1"/>
    <col min="1766" max="1766" width="8.6640625" customWidth="1"/>
    <col min="1767" max="1767" width="13.88671875" customWidth="1"/>
    <col min="1768" max="1768" width="10.88671875" customWidth="1"/>
    <col min="1769" max="1769" width="9.88671875" customWidth="1"/>
    <col min="1770" max="1781" width="10.44140625" customWidth="1"/>
    <col min="1782" max="1782" width="12" customWidth="1"/>
    <col min="2006" max="2006" width="7.5546875" customWidth="1"/>
    <col min="2007" max="2008" width="9.5546875" customWidth="1"/>
    <col min="2009" max="2009" width="32.6640625" customWidth="1"/>
    <col min="2010" max="2013" width="13.6640625" customWidth="1"/>
    <col min="2014" max="2014" width="11.5546875" customWidth="1"/>
    <col min="2015" max="2015" width="11.109375" customWidth="1"/>
    <col min="2016" max="2016" width="12.44140625" customWidth="1"/>
    <col min="2017" max="2017" width="8.88671875" customWidth="1"/>
    <col min="2018" max="2018" width="13.33203125" customWidth="1"/>
    <col min="2019" max="2019" width="11.33203125" customWidth="1"/>
    <col min="2020" max="2020" width="10.6640625" customWidth="1"/>
    <col min="2021" max="2021" width="11.33203125" customWidth="1"/>
    <col min="2022" max="2022" width="8.6640625" customWidth="1"/>
    <col min="2023" max="2023" width="13.88671875" customWidth="1"/>
    <col min="2024" max="2024" width="10.88671875" customWidth="1"/>
    <col min="2025" max="2025" width="9.88671875" customWidth="1"/>
    <col min="2026" max="2037" width="10.44140625" customWidth="1"/>
    <col min="2038" max="2038" width="12" customWidth="1"/>
    <col min="2262" max="2262" width="7.5546875" customWidth="1"/>
    <col min="2263" max="2264" width="9.5546875" customWidth="1"/>
    <col min="2265" max="2265" width="32.6640625" customWidth="1"/>
    <col min="2266" max="2269" width="13.6640625" customWidth="1"/>
    <col min="2270" max="2270" width="11.5546875" customWidth="1"/>
    <col min="2271" max="2271" width="11.109375" customWidth="1"/>
    <col min="2272" max="2272" width="12.44140625" customWidth="1"/>
    <col min="2273" max="2273" width="8.88671875" customWidth="1"/>
    <col min="2274" max="2274" width="13.33203125" customWidth="1"/>
    <col min="2275" max="2275" width="11.33203125" customWidth="1"/>
    <col min="2276" max="2276" width="10.6640625" customWidth="1"/>
    <col min="2277" max="2277" width="11.33203125" customWidth="1"/>
    <col min="2278" max="2278" width="8.6640625" customWidth="1"/>
    <col min="2279" max="2279" width="13.88671875" customWidth="1"/>
    <col min="2280" max="2280" width="10.88671875" customWidth="1"/>
    <col min="2281" max="2281" width="9.88671875" customWidth="1"/>
    <col min="2282" max="2293" width="10.44140625" customWidth="1"/>
    <col min="2294" max="2294" width="12" customWidth="1"/>
    <col min="2518" max="2518" width="7.5546875" customWidth="1"/>
    <col min="2519" max="2520" width="9.5546875" customWidth="1"/>
    <col min="2521" max="2521" width="32.6640625" customWidth="1"/>
    <col min="2522" max="2525" width="13.6640625" customWidth="1"/>
    <col min="2526" max="2526" width="11.5546875" customWidth="1"/>
    <col min="2527" max="2527" width="11.109375" customWidth="1"/>
    <col min="2528" max="2528" width="12.44140625" customWidth="1"/>
    <col min="2529" max="2529" width="8.88671875" customWidth="1"/>
    <col min="2530" max="2530" width="13.33203125" customWidth="1"/>
    <col min="2531" max="2531" width="11.33203125" customWidth="1"/>
    <col min="2532" max="2532" width="10.6640625" customWidth="1"/>
    <col min="2533" max="2533" width="11.33203125" customWidth="1"/>
    <col min="2534" max="2534" width="8.6640625" customWidth="1"/>
    <col min="2535" max="2535" width="13.88671875" customWidth="1"/>
    <col min="2536" max="2536" width="10.88671875" customWidth="1"/>
    <col min="2537" max="2537" width="9.88671875" customWidth="1"/>
    <col min="2538" max="2549" width="10.44140625" customWidth="1"/>
    <col min="2550" max="2550" width="12" customWidth="1"/>
    <col min="2774" max="2774" width="7.5546875" customWidth="1"/>
    <col min="2775" max="2776" width="9.5546875" customWidth="1"/>
    <col min="2777" max="2777" width="32.6640625" customWidth="1"/>
    <col min="2778" max="2781" width="13.6640625" customWidth="1"/>
    <col min="2782" max="2782" width="11.5546875" customWidth="1"/>
    <col min="2783" max="2783" width="11.109375" customWidth="1"/>
    <col min="2784" max="2784" width="12.44140625" customWidth="1"/>
    <col min="2785" max="2785" width="8.88671875" customWidth="1"/>
    <col min="2786" max="2786" width="13.33203125" customWidth="1"/>
    <col min="2787" max="2787" width="11.33203125" customWidth="1"/>
    <col min="2788" max="2788" width="10.6640625" customWidth="1"/>
    <col min="2789" max="2789" width="11.33203125" customWidth="1"/>
    <col min="2790" max="2790" width="8.6640625" customWidth="1"/>
    <col min="2791" max="2791" width="13.88671875" customWidth="1"/>
    <col min="2792" max="2792" width="10.88671875" customWidth="1"/>
    <col min="2793" max="2793" width="9.88671875" customWidth="1"/>
    <col min="2794" max="2805" width="10.44140625" customWidth="1"/>
    <col min="2806" max="2806" width="12" customWidth="1"/>
    <col min="3030" max="3030" width="7.5546875" customWidth="1"/>
    <col min="3031" max="3032" width="9.5546875" customWidth="1"/>
    <col min="3033" max="3033" width="32.6640625" customWidth="1"/>
    <col min="3034" max="3037" width="13.6640625" customWidth="1"/>
    <col min="3038" max="3038" width="11.5546875" customWidth="1"/>
    <col min="3039" max="3039" width="11.109375" customWidth="1"/>
    <col min="3040" max="3040" width="12.44140625" customWidth="1"/>
    <col min="3041" max="3041" width="8.88671875" customWidth="1"/>
    <col min="3042" max="3042" width="13.33203125" customWidth="1"/>
    <col min="3043" max="3043" width="11.33203125" customWidth="1"/>
    <col min="3044" max="3044" width="10.6640625" customWidth="1"/>
    <col min="3045" max="3045" width="11.33203125" customWidth="1"/>
    <col min="3046" max="3046" width="8.6640625" customWidth="1"/>
    <col min="3047" max="3047" width="13.88671875" customWidth="1"/>
    <col min="3048" max="3048" width="10.88671875" customWidth="1"/>
    <col min="3049" max="3049" width="9.88671875" customWidth="1"/>
    <col min="3050" max="3061" width="10.44140625" customWidth="1"/>
    <col min="3062" max="3062" width="12" customWidth="1"/>
    <col min="3286" max="3286" width="7.5546875" customWidth="1"/>
    <col min="3287" max="3288" width="9.5546875" customWidth="1"/>
    <col min="3289" max="3289" width="32.6640625" customWidth="1"/>
    <col min="3290" max="3293" width="13.6640625" customWidth="1"/>
    <col min="3294" max="3294" width="11.5546875" customWidth="1"/>
    <col min="3295" max="3295" width="11.109375" customWidth="1"/>
    <col min="3296" max="3296" width="12.44140625" customWidth="1"/>
    <col min="3297" max="3297" width="8.88671875" customWidth="1"/>
    <col min="3298" max="3298" width="13.33203125" customWidth="1"/>
    <col min="3299" max="3299" width="11.33203125" customWidth="1"/>
    <col min="3300" max="3300" width="10.6640625" customWidth="1"/>
    <col min="3301" max="3301" width="11.33203125" customWidth="1"/>
    <col min="3302" max="3302" width="8.6640625" customWidth="1"/>
    <col min="3303" max="3303" width="13.88671875" customWidth="1"/>
    <col min="3304" max="3304" width="10.88671875" customWidth="1"/>
    <col min="3305" max="3305" width="9.88671875" customWidth="1"/>
    <col min="3306" max="3317" width="10.44140625" customWidth="1"/>
    <col min="3318" max="3318" width="12" customWidth="1"/>
    <col min="3542" max="3542" width="7.5546875" customWidth="1"/>
    <col min="3543" max="3544" width="9.5546875" customWidth="1"/>
    <col min="3545" max="3545" width="32.6640625" customWidth="1"/>
    <col min="3546" max="3549" width="13.6640625" customWidth="1"/>
    <col min="3550" max="3550" width="11.5546875" customWidth="1"/>
    <col min="3551" max="3551" width="11.109375" customWidth="1"/>
    <col min="3552" max="3552" width="12.44140625" customWidth="1"/>
    <col min="3553" max="3553" width="8.88671875" customWidth="1"/>
    <col min="3554" max="3554" width="13.33203125" customWidth="1"/>
    <col min="3555" max="3555" width="11.33203125" customWidth="1"/>
    <col min="3556" max="3556" width="10.6640625" customWidth="1"/>
    <col min="3557" max="3557" width="11.33203125" customWidth="1"/>
    <col min="3558" max="3558" width="8.6640625" customWidth="1"/>
    <col min="3559" max="3559" width="13.88671875" customWidth="1"/>
    <col min="3560" max="3560" width="10.88671875" customWidth="1"/>
    <col min="3561" max="3561" width="9.88671875" customWidth="1"/>
    <col min="3562" max="3573" width="10.44140625" customWidth="1"/>
    <col min="3574" max="3574" width="12" customWidth="1"/>
    <col min="3798" max="3798" width="7.5546875" customWidth="1"/>
    <col min="3799" max="3800" width="9.5546875" customWidth="1"/>
    <col min="3801" max="3801" width="32.6640625" customWidth="1"/>
    <col min="3802" max="3805" width="13.6640625" customWidth="1"/>
    <col min="3806" max="3806" width="11.5546875" customWidth="1"/>
    <col min="3807" max="3807" width="11.109375" customWidth="1"/>
    <col min="3808" max="3808" width="12.44140625" customWidth="1"/>
    <col min="3809" max="3809" width="8.88671875" customWidth="1"/>
    <col min="3810" max="3810" width="13.33203125" customWidth="1"/>
    <col min="3811" max="3811" width="11.33203125" customWidth="1"/>
    <col min="3812" max="3812" width="10.6640625" customWidth="1"/>
    <col min="3813" max="3813" width="11.33203125" customWidth="1"/>
    <col min="3814" max="3814" width="8.6640625" customWidth="1"/>
    <col min="3815" max="3815" width="13.88671875" customWidth="1"/>
    <col min="3816" max="3816" width="10.88671875" customWidth="1"/>
    <col min="3817" max="3817" width="9.88671875" customWidth="1"/>
    <col min="3818" max="3829" width="10.44140625" customWidth="1"/>
    <col min="3830" max="3830" width="12" customWidth="1"/>
    <col min="4054" max="4054" width="7.5546875" customWidth="1"/>
    <col min="4055" max="4056" width="9.5546875" customWidth="1"/>
    <col min="4057" max="4057" width="32.6640625" customWidth="1"/>
    <col min="4058" max="4061" width="13.6640625" customWidth="1"/>
    <col min="4062" max="4062" width="11.5546875" customWidth="1"/>
    <col min="4063" max="4063" width="11.109375" customWidth="1"/>
    <col min="4064" max="4064" width="12.44140625" customWidth="1"/>
    <col min="4065" max="4065" width="8.88671875" customWidth="1"/>
    <col min="4066" max="4066" width="13.33203125" customWidth="1"/>
    <col min="4067" max="4067" width="11.33203125" customWidth="1"/>
    <col min="4068" max="4068" width="10.6640625" customWidth="1"/>
    <col min="4069" max="4069" width="11.33203125" customWidth="1"/>
    <col min="4070" max="4070" width="8.6640625" customWidth="1"/>
    <col min="4071" max="4071" width="13.88671875" customWidth="1"/>
    <col min="4072" max="4072" width="10.88671875" customWidth="1"/>
    <col min="4073" max="4073" width="9.88671875" customWidth="1"/>
    <col min="4074" max="4085" width="10.44140625" customWidth="1"/>
    <col min="4086" max="4086" width="12" customWidth="1"/>
    <col min="4310" max="4310" width="7.5546875" customWidth="1"/>
    <col min="4311" max="4312" width="9.5546875" customWidth="1"/>
    <col min="4313" max="4313" width="32.6640625" customWidth="1"/>
    <col min="4314" max="4317" width="13.6640625" customWidth="1"/>
    <col min="4318" max="4318" width="11.5546875" customWidth="1"/>
    <col min="4319" max="4319" width="11.109375" customWidth="1"/>
    <col min="4320" max="4320" width="12.44140625" customWidth="1"/>
    <col min="4321" max="4321" width="8.88671875" customWidth="1"/>
    <col min="4322" max="4322" width="13.33203125" customWidth="1"/>
    <col min="4323" max="4323" width="11.33203125" customWidth="1"/>
    <col min="4324" max="4324" width="10.6640625" customWidth="1"/>
    <col min="4325" max="4325" width="11.33203125" customWidth="1"/>
    <col min="4326" max="4326" width="8.6640625" customWidth="1"/>
    <col min="4327" max="4327" width="13.88671875" customWidth="1"/>
    <col min="4328" max="4328" width="10.88671875" customWidth="1"/>
    <col min="4329" max="4329" width="9.88671875" customWidth="1"/>
    <col min="4330" max="4341" width="10.44140625" customWidth="1"/>
    <col min="4342" max="4342" width="12" customWidth="1"/>
    <col min="4566" max="4566" width="7.5546875" customWidth="1"/>
    <col min="4567" max="4568" width="9.5546875" customWidth="1"/>
    <col min="4569" max="4569" width="32.6640625" customWidth="1"/>
    <col min="4570" max="4573" width="13.6640625" customWidth="1"/>
    <col min="4574" max="4574" width="11.5546875" customWidth="1"/>
    <col min="4575" max="4575" width="11.109375" customWidth="1"/>
    <col min="4576" max="4576" width="12.44140625" customWidth="1"/>
    <col min="4577" max="4577" width="8.88671875" customWidth="1"/>
    <col min="4578" max="4578" width="13.33203125" customWidth="1"/>
    <col min="4579" max="4579" width="11.33203125" customWidth="1"/>
    <col min="4580" max="4580" width="10.6640625" customWidth="1"/>
    <col min="4581" max="4581" width="11.33203125" customWidth="1"/>
    <col min="4582" max="4582" width="8.6640625" customWidth="1"/>
    <col min="4583" max="4583" width="13.88671875" customWidth="1"/>
    <col min="4584" max="4584" width="10.88671875" customWidth="1"/>
    <col min="4585" max="4585" width="9.88671875" customWidth="1"/>
    <col min="4586" max="4597" width="10.44140625" customWidth="1"/>
    <col min="4598" max="4598" width="12" customWidth="1"/>
    <col min="4822" max="4822" width="7.5546875" customWidth="1"/>
    <col min="4823" max="4824" width="9.5546875" customWidth="1"/>
    <col min="4825" max="4825" width="32.6640625" customWidth="1"/>
    <col min="4826" max="4829" width="13.6640625" customWidth="1"/>
    <col min="4830" max="4830" width="11.5546875" customWidth="1"/>
    <col min="4831" max="4831" width="11.109375" customWidth="1"/>
    <col min="4832" max="4832" width="12.44140625" customWidth="1"/>
    <col min="4833" max="4833" width="8.88671875" customWidth="1"/>
    <col min="4834" max="4834" width="13.33203125" customWidth="1"/>
    <col min="4835" max="4835" width="11.33203125" customWidth="1"/>
    <col min="4836" max="4836" width="10.6640625" customWidth="1"/>
    <col min="4837" max="4837" width="11.33203125" customWidth="1"/>
    <col min="4838" max="4838" width="8.6640625" customWidth="1"/>
    <col min="4839" max="4839" width="13.88671875" customWidth="1"/>
    <col min="4840" max="4840" width="10.88671875" customWidth="1"/>
    <col min="4841" max="4841" width="9.88671875" customWidth="1"/>
    <col min="4842" max="4853" width="10.44140625" customWidth="1"/>
    <col min="4854" max="4854" width="12" customWidth="1"/>
    <col min="5078" max="5078" width="7.5546875" customWidth="1"/>
    <col min="5079" max="5080" width="9.5546875" customWidth="1"/>
    <col min="5081" max="5081" width="32.6640625" customWidth="1"/>
    <col min="5082" max="5085" width="13.6640625" customWidth="1"/>
    <col min="5086" max="5086" width="11.5546875" customWidth="1"/>
    <col min="5087" max="5087" width="11.109375" customWidth="1"/>
    <col min="5088" max="5088" width="12.44140625" customWidth="1"/>
    <col min="5089" max="5089" width="8.88671875" customWidth="1"/>
    <col min="5090" max="5090" width="13.33203125" customWidth="1"/>
    <col min="5091" max="5091" width="11.33203125" customWidth="1"/>
    <col min="5092" max="5092" width="10.6640625" customWidth="1"/>
    <col min="5093" max="5093" width="11.33203125" customWidth="1"/>
    <col min="5094" max="5094" width="8.6640625" customWidth="1"/>
    <col min="5095" max="5095" width="13.88671875" customWidth="1"/>
    <col min="5096" max="5096" width="10.88671875" customWidth="1"/>
    <col min="5097" max="5097" width="9.88671875" customWidth="1"/>
    <col min="5098" max="5109" width="10.44140625" customWidth="1"/>
    <col min="5110" max="5110" width="12" customWidth="1"/>
    <col min="5334" max="5334" width="7.5546875" customWidth="1"/>
    <col min="5335" max="5336" width="9.5546875" customWidth="1"/>
    <col min="5337" max="5337" width="32.6640625" customWidth="1"/>
    <col min="5338" max="5341" width="13.6640625" customWidth="1"/>
    <col min="5342" max="5342" width="11.5546875" customWidth="1"/>
    <col min="5343" max="5343" width="11.109375" customWidth="1"/>
    <col min="5344" max="5344" width="12.44140625" customWidth="1"/>
    <col min="5345" max="5345" width="8.88671875" customWidth="1"/>
    <col min="5346" max="5346" width="13.33203125" customWidth="1"/>
    <col min="5347" max="5347" width="11.33203125" customWidth="1"/>
    <col min="5348" max="5348" width="10.6640625" customWidth="1"/>
    <col min="5349" max="5349" width="11.33203125" customWidth="1"/>
    <col min="5350" max="5350" width="8.6640625" customWidth="1"/>
    <col min="5351" max="5351" width="13.88671875" customWidth="1"/>
    <col min="5352" max="5352" width="10.88671875" customWidth="1"/>
    <col min="5353" max="5353" width="9.88671875" customWidth="1"/>
    <col min="5354" max="5365" width="10.44140625" customWidth="1"/>
    <col min="5366" max="5366" width="12" customWidth="1"/>
    <col min="5590" max="5590" width="7.5546875" customWidth="1"/>
    <col min="5591" max="5592" width="9.5546875" customWidth="1"/>
    <col min="5593" max="5593" width="32.6640625" customWidth="1"/>
    <col min="5594" max="5597" width="13.6640625" customWidth="1"/>
    <col min="5598" max="5598" width="11.5546875" customWidth="1"/>
    <col min="5599" max="5599" width="11.109375" customWidth="1"/>
    <col min="5600" max="5600" width="12.44140625" customWidth="1"/>
    <col min="5601" max="5601" width="8.88671875" customWidth="1"/>
    <col min="5602" max="5602" width="13.33203125" customWidth="1"/>
    <col min="5603" max="5603" width="11.33203125" customWidth="1"/>
    <col min="5604" max="5604" width="10.6640625" customWidth="1"/>
    <col min="5605" max="5605" width="11.33203125" customWidth="1"/>
    <col min="5606" max="5606" width="8.6640625" customWidth="1"/>
    <col min="5607" max="5607" width="13.88671875" customWidth="1"/>
    <col min="5608" max="5608" width="10.88671875" customWidth="1"/>
    <col min="5609" max="5609" width="9.88671875" customWidth="1"/>
    <col min="5610" max="5621" width="10.44140625" customWidth="1"/>
    <col min="5622" max="5622" width="12" customWidth="1"/>
    <col min="5846" max="5846" width="7.5546875" customWidth="1"/>
    <col min="5847" max="5848" width="9.5546875" customWidth="1"/>
    <col min="5849" max="5849" width="32.6640625" customWidth="1"/>
    <col min="5850" max="5853" width="13.6640625" customWidth="1"/>
    <col min="5854" max="5854" width="11.5546875" customWidth="1"/>
    <col min="5855" max="5855" width="11.109375" customWidth="1"/>
    <col min="5856" max="5856" width="12.44140625" customWidth="1"/>
    <col min="5857" max="5857" width="8.88671875" customWidth="1"/>
    <col min="5858" max="5858" width="13.33203125" customWidth="1"/>
    <col min="5859" max="5859" width="11.33203125" customWidth="1"/>
    <col min="5860" max="5860" width="10.6640625" customWidth="1"/>
    <col min="5861" max="5861" width="11.33203125" customWidth="1"/>
    <col min="5862" max="5862" width="8.6640625" customWidth="1"/>
    <col min="5863" max="5863" width="13.88671875" customWidth="1"/>
    <col min="5864" max="5864" width="10.88671875" customWidth="1"/>
    <col min="5865" max="5865" width="9.88671875" customWidth="1"/>
    <col min="5866" max="5877" width="10.44140625" customWidth="1"/>
    <col min="5878" max="5878" width="12" customWidth="1"/>
    <col min="6102" max="6102" width="7.5546875" customWidth="1"/>
    <col min="6103" max="6104" width="9.5546875" customWidth="1"/>
    <col min="6105" max="6105" width="32.6640625" customWidth="1"/>
    <col min="6106" max="6109" width="13.6640625" customWidth="1"/>
    <col min="6110" max="6110" width="11.5546875" customWidth="1"/>
    <col min="6111" max="6111" width="11.109375" customWidth="1"/>
    <col min="6112" max="6112" width="12.44140625" customWidth="1"/>
    <col min="6113" max="6113" width="8.88671875" customWidth="1"/>
    <col min="6114" max="6114" width="13.33203125" customWidth="1"/>
    <col min="6115" max="6115" width="11.33203125" customWidth="1"/>
    <col min="6116" max="6116" width="10.6640625" customWidth="1"/>
    <col min="6117" max="6117" width="11.33203125" customWidth="1"/>
    <col min="6118" max="6118" width="8.6640625" customWidth="1"/>
    <col min="6119" max="6119" width="13.88671875" customWidth="1"/>
    <col min="6120" max="6120" width="10.88671875" customWidth="1"/>
    <col min="6121" max="6121" width="9.88671875" customWidth="1"/>
    <col min="6122" max="6133" width="10.44140625" customWidth="1"/>
    <col min="6134" max="6134" width="12" customWidth="1"/>
    <col min="6358" max="6358" width="7.5546875" customWidth="1"/>
    <col min="6359" max="6360" width="9.5546875" customWidth="1"/>
    <col min="6361" max="6361" width="32.6640625" customWidth="1"/>
    <col min="6362" max="6365" width="13.6640625" customWidth="1"/>
    <col min="6366" max="6366" width="11.5546875" customWidth="1"/>
    <col min="6367" max="6367" width="11.109375" customWidth="1"/>
    <col min="6368" max="6368" width="12.44140625" customWidth="1"/>
    <col min="6369" max="6369" width="8.88671875" customWidth="1"/>
    <col min="6370" max="6370" width="13.33203125" customWidth="1"/>
    <col min="6371" max="6371" width="11.33203125" customWidth="1"/>
    <col min="6372" max="6372" width="10.6640625" customWidth="1"/>
    <col min="6373" max="6373" width="11.33203125" customWidth="1"/>
    <col min="6374" max="6374" width="8.6640625" customWidth="1"/>
    <col min="6375" max="6375" width="13.88671875" customWidth="1"/>
    <col min="6376" max="6376" width="10.88671875" customWidth="1"/>
    <col min="6377" max="6377" width="9.88671875" customWidth="1"/>
    <col min="6378" max="6389" width="10.44140625" customWidth="1"/>
    <col min="6390" max="6390" width="12" customWidth="1"/>
    <col min="6614" max="6614" width="7.5546875" customWidth="1"/>
    <col min="6615" max="6616" width="9.5546875" customWidth="1"/>
    <col min="6617" max="6617" width="32.6640625" customWidth="1"/>
    <col min="6618" max="6621" width="13.6640625" customWidth="1"/>
    <col min="6622" max="6622" width="11.5546875" customWidth="1"/>
    <col min="6623" max="6623" width="11.109375" customWidth="1"/>
    <col min="6624" max="6624" width="12.44140625" customWidth="1"/>
    <col min="6625" max="6625" width="8.88671875" customWidth="1"/>
    <col min="6626" max="6626" width="13.33203125" customWidth="1"/>
    <col min="6627" max="6627" width="11.33203125" customWidth="1"/>
    <col min="6628" max="6628" width="10.6640625" customWidth="1"/>
    <col min="6629" max="6629" width="11.33203125" customWidth="1"/>
    <col min="6630" max="6630" width="8.6640625" customWidth="1"/>
    <col min="6631" max="6631" width="13.88671875" customWidth="1"/>
    <col min="6632" max="6632" width="10.88671875" customWidth="1"/>
    <col min="6633" max="6633" width="9.88671875" customWidth="1"/>
    <col min="6634" max="6645" width="10.44140625" customWidth="1"/>
    <col min="6646" max="6646" width="12" customWidth="1"/>
    <col min="6870" max="6870" width="7.5546875" customWidth="1"/>
    <col min="6871" max="6872" width="9.5546875" customWidth="1"/>
    <col min="6873" max="6873" width="32.6640625" customWidth="1"/>
    <col min="6874" max="6877" width="13.6640625" customWidth="1"/>
    <col min="6878" max="6878" width="11.5546875" customWidth="1"/>
    <col min="6879" max="6879" width="11.109375" customWidth="1"/>
    <col min="6880" max="6880" width="12.44140625" customWidth="1"/>
    <col min="6881" max="6881" width="8.88671875" customWidth="1"/>
    <col min="6882" max="6882" width="13.33203125" customWidth="1"/>
    <col min="6883" max="6883" width="11.33203125" customWidth="1"/>
    <col min="6884" max="6884" width="10.6640625" customWidth="1"/>
    <col min="6885" max="6885" width="11.33203125" customWidth="1"/>
    <col min="6886" max="6886" width="8.6640625" customWidth="1"/>
    <col min="6887" max="6887" width="13.88671875" customWidth="1"/>
    <col min="6888" max="6888" width="10.88671875" customWidth="1"/>
    <col min="6889" max="6889" width="9.88671875" customWidth="1"/>
    <col min="6890" max="6901" width="10.44140625" customWidth="1"/>
    <col min="6902" max="6902" width="12" customWidth="1"/>
    <col min="7126" max="7126" width="7.5546875" customWidth="1"/>
    <col min="7127" max="7128" width="9.5546875" customWidth="1"/>
    <col min="7129" max="7129" width="32.6640625" customWidth="1"/>
    <col min="7130" max="7133" width="13.6640625" customWidth="1"/>
    <col min="7134" max="7134" width="11.5546875" customWidth="1"/>
    <col min="7135" max="7135" width="11.109375" customWidth="1"/>
    <col min="7136" max="7136" width="12.44140625" customWidth="1"/>
    <col min="7137" max="7137" width="8.88671875" customWidth="1"/>
    <col min="7138" max="7138" width="13.33203125" customWidth="1"/>
    <col min="7139" max="7139" width="11.33203125" customWidth="1"/>
    <col min="7140" max="7140" width="10.6640625" customWidth="1"/>
    <col min="7141" max="7141" width="11.33203125" customWidth="1"/>
    <col min="7142" max="7142" width="8.6640625" customWidth="1"/>
    <col min="7143" max="7143" width="13.88671875" customWidth="1"/>
    <col min="7144" max="7144" width="10.88671875" customWidth="1"/>
    <col min="7145" max="7145" width="9.88671875" customWidth="1"/>
    <col min="7146" max="7157" width="10.44140625" customWidth="1"/>
    <col min="7158" max="7158" width="12" customWidth="1"/>
    <col min="7382" max="7382" width="7.5546875" customWidth="1"/>
    <col min="7383" max="7384" width="9.5546875" customWidth="1"/>
    <col min="7385" max="7385" width="32.6640625" customWidth="1"/>
    <col min="7386" max="7389" width="13.6640625" customWidth="1"/>
    <col min="7390" max="7390" width="11.5546875" customWidth="1"/>
    <col min="7391" max="7391" width="11.109375" customWidth="1"/>
    <col min="7392" max="7392" width="12.44140625" customWidth="1"/>
    <col min="7393" max="7393" width="8.88671875" customWidth="1"/>
    <col min="7394" max="7394" width="13.33203125" customWidth="1"/>
    <col min="7395" max="7395" width="11.33203125" customWidth="1"/>
    <col min="7396" max="7396" width="10.6640625" customWidth="1"/>
    <col min="7397" max="7397" width="11.33203125" customWidth="1"/>
    <col min="7398" max="7398" width="8.6640625" customWidth="1"/>
    <col min="7399" max="7399" width="13.88671875" customWidth="1"/>
    <col min="7400" max="7400" width="10.88671875" customWidth="1"/>
    <col min="7401" max="7401" width="9.88671875" customWidth="1"/>
    <col min="7402" max="7413" width="10.44140625" customWidth="1"/>
    <col min="7414" max="7414" width="12" customWidth="1"/>
    <col min="7638" max="7638" width="7.5546875" customWidth="1"/>
    <col min="7639" max="7640" width="9.5546875" customWidth="1"/>
    <col min="7641" max="7641" width="32.6640625" customWidth="1"/>
    <col min="7642" max="7645" width="13.6640625" customWidth="1"/>
    <col min="7646" max="7646" width="11.5546875" customWidth="1"/>
    <col min="7647" max="7647" width="11.109375" customWidth="1"/>
    <col min="7648" max="7648" width="12.44140625" customWidth="1"/>
    <col min="7649" max="7649" width="8.88671875" customWidth="1"/>
    <col min="7650" max="7650" width="13.33203125" customWidth="1"/>
    <col min="7651" max="7651" width="11.33203125" customWidth="1"/>
    <col min="7652" max="7652" width="10.6640625" customWidth="1"/>
    <col min="7653" max="7653" width="11.33203125" customWidth="1"/>
    <col min="7654" max="7654" width="8.6640625" customWidth="1"/>
    <col min="7655" max="7655" width="13.88671875" customWidth="1"/>
    <col min="7656" max="7656" width="10.88671875" customWidth="1"/>
    <col min="7657" max="7657" width="9.88671875" customWidth="1"/>
    <col min="7658" max="7669" width="10.44140625" customWidth="1"/>
    <col min="7670" max="7670" width="12" customWidth="1"/>
    <col min="7894" max="7894" width="7.5546875" customWidth="1"/>
    <col min="7895" max="7896" width="9.5546875" customWidth="1"/>
    <col min="7897" max="7897" width="32.6640625" customWidth="1"/>
    <col min="7898" max="7901" width="13.6640625" customWidth="1"/>
    <col min="7902" max="7902" width="11.5546875" customWidth="1"/>
    <col min="7903" max="7903" width="11.109375" customWidth="1"/>
    <col min="7904" max="7904" width="12.44140625" customWidth="1"/>
    <col min="7905" max="7905" width="8.88671875" customWidth="1"/>
    <col min="7906" max="7906" width="13.33203125" customWidth="1"/>
    <col min="7907" max="7907" width="11.33203125" customWidth="1"/>
    <col min="7908" max="7908" width="10.6640625" customWidth="1"/>
    <col min="7909" max="7909" width="11.33203125" customWidth="1"/>
    <col min="7910" max="7910" width="8.6640625" customWidth="1"/>
    <col min="7911" max="7911" width="13.88671875" customWidth="1"/>
    <col min="7912" max="7912" width="10.88671875" customWidth="1"/>
    <col min="7913" max="7913" width="9.88671875" customWidth="1"/>
    <col min="7914" max="7925" width="10.44140625" customWidth="1"/>
    <col min="7926" max="7926" width="12" customWidth="1"/>
    <col min="8150" max="8150" width="7.5546875" customWidth="1"/>
    <col min="8151" max="8152" width="9.5546875" customWidth="1"/>
    <col min="8153" max="8153" width="32.6640625" customWidth="1"/>
    <col min="8154" max="8157" width="13.6640625" customWidth="1"/>
    <col min="8158" max="8158" width="11.5546875" customWidth="1"/>
    <col min="8159" max="8159" width="11.109375" customWidth="1"/>
    <col min="8160" max="8160" width="12.44140625" customWidth="1"/>
    <col min="8161" max="8161" width="8.88671875" customWidth="1"/>
    <col min="8162" max="8162" width="13.33203125" customWidth="1"/>
    <col min="8163" max="8163" width="11.33203125" customWidth="1"/>
    <col min="8164" max="8164" width="10.6640625" customWidth="1"/>
    <col min="8165" max="8165" width="11.33203125" customWidth="1"/>
    <col min="8166" max="8166" width="8.6640625" customWidth="1"/>
    <col min="8167" max="8167" width="13.88671875" customWidth="1"/>
    <col min="8168" max="8168" width="10.88671875" customWidth="1"/>
    <col min="8169" max="8169" width="9.88671875" customWidth="1"/>
    <col min="8170" max="8181" width="10.44140625" customWidth="1"/>
    <col min="8182" max="8182" width="12" customWidth="1"/>
    <col min="8406" max="8406" width="7.5546875" customWidth="1"/>
    <col min="8407" max="8408" width="9.5546875" customWidth="1"/>
    <col min="8409" max="8409" width="32.6640625" customWidth="1"/>
    <col min="8410" max="8413" width="13.6640625" customWidth="1"/>
    <col min="8414" max="8414" width="11.5546875" customWidth="1"/>
    <col min="8415" max="8415" width="11.109375" customWidth="1"/>
    <col min="8416" max="8416" width="12.44140625" customWidth="1"/>
    <col min="8417" max="8417" width="8.88671875" customWidth="1"/>
    <col min="8418" max="8418" width="13.33203125" customWidth="1"/>
    <col min="8419" max="8419" width="11.33203125" customWidth="1"/>
    <col min="8420" max="8420" width="10.6640625" customWidth="1"/>
    <col min="8421" max="8421" width="11.33203125" customWidth="1"/>
    <col min="8422" max="8422" width="8.6640625" customWidth="1"/>
    <col min="8423" max="8423" width="13.88671875" customWidth="1"/>
    <col min="8424" max="8424" width="10.88671875" customWidth="1"/>
    <col min="8425" max="8425" width="9.88671875" customWidth="1"/>
    <col min="8426" max="8437" width="10.44140625" customWidth="1"/>
    <col min="8438" max="8438" width="12" customWidth="1"/>
    <col min="8662" max="8662" width="7.5546875" customWidth="1"/>
    <col min="8663" max="8664" width="9.5546875" customWidth="1"/>
    <col min="8665" max="8665" width="32.6640625" customWidth="1"/>
    <col min="8666" max="8669" width="13.6640625" customWidth="1"/>
    <col min="8670" max="8670" width="11.5546875" customWidth="1"/>
    <col min="8671" max="8671" width="11.109375" customWidth="1"/>
    <col min="8672" max="8672" width="12.44140625" customWidth="1"/>
    <col min="8673" max="8673" width="8.88671875" customWidth="1"/>
    <col min="8674" max="8674" width="13.33203125" customWidth="1"/>
    <col min="8675" max="8675" width="11.33203125" customWidth="1"/>
    <col min="8676" max="8676" width="10.6640625" customWidth="1"/>
    <col min="8677" max="8677" width="11.33203125" customWidth="1"/>
    <col min="8678" max="8678" width="8.6640625" customWidth="1"/>
    <col min="8679" max="8679" width="13.88671875" customWidth="1"/>
    <col min="8680" max="8680" width="10.88671875" customWidth="1"/>
    <col min="8681" max="8681" width="9.88671875" customWidth="1"/>
    <col min="8682" max="8693" width="10.44140625" customWidth="1"/>
    <col min="8694" max="8694" width="12" customWidth="1"/>
    <col min="8918" max="8918" width="7.5546875" customWidth="1"/>
    <col min="8919" max="8920" width="9.5546875" customWidth="1"/>
    <col min="8921" max="8921" width="32.6640625" customWidth="1"/>
    <col min="8922" max="8925" width="13.6640625" customWidth="1"/>
    <col min="8926" max="8926" width="11.5546875" customWidth="1"/>
    <col min="8927" max="8927" width="11.109375" customWidth="1"/>
    <col min="8928" max="8928" width="12.44140625" customWidth="1"/>
    <col min="8929" max="8929" width="8.88671875" customWidth="1"/>
    <col min="8930" max="8930" width="13.33203125" customWidth="1"/>
    <col min="8931" max="8931" width="11.33203125" customWidth="1"/>
    <col min="8932" max="8932" width="10.6640625" customWidth="1"/>
    <col min="8933" max="8933" width="11.33203125" customWidth="1"/>
    <col min="8934" max="8934" width="8.6640625" customWidth="1"/>
    <col min="8935" max="8935" width="13.88671875" customWidth="1"/>
    <col min="8936" max="8936" width="10.88671875" customWidth="1"/>
    <col min="8937" max="8937" width="9.88671875" customWidth="1"/>
    <col min="8938" max="8949" width="10.44140625" customWidth="1"/>
    <col min="8950" max="8950" width="12" customWidth="1"/>
    <col min="9174" max="9174" width="7.5546875" customWidth="1"/>
    <col min="9175" max="9176" width="9.5546875" customWidth="1"/>
    <col min="9177" max="9177" width="32.6640625" customWidth="1"/>
    <col min="9178" max="9181" width="13.6640625" customWidth="1"/>
    <col min="9182" max="9182" width="11.5546875" customWidth="1"/>
    <col min="9183" max="9183" width="11.109375" customWidth="1"/>
    <col min="9184" max="9184" width="12.44140625" customWidth="1"/>
    <col min="9185" max="9185" width="8.88671875" customWidth="1"/>
    <col min="9186" max="9186" width="13.33203125" customWidth="1"/>
    <col min="9187" max="9187" width="11.33203125" customWidth="1"/>
    <col min="9188" max="9188" width="10.6640625" customWidth="1"/>
    <col min="9189" max="9189" width="11.33203125" customWidth="1"/>
    <col min="9190" max="9190" width="8.6640625" customWidth="1"/>
    <col min="9191" max="9191" width="13.88671875" customWidth="1"/>
    <col min="9192" max="9192" width="10.88671875" customWidth="1"/>
    <col min="9193" max="9193" width="9.88671875" customWidth="1"/>
    <col min="9194" max="9205" width="10.44140625" customWidth="1"/>
    <col min="9206" max="9206" width="12" customWidth="1"/>
    <col min="9430" max="9430" width="7.5546875" customWidth="1"/>
    <col min="9431" max="9432" width="9.5546875" customWidth="1"/>
    <col min="9433" max="9433" width="32.6640625" customWidth="1"/>
    <col min="9434" max="9437" width="13.6640625" customWidth="1"/>
    <col min="9438" max="9438" width="11.5546875" customWidth="1"/>
    <col min="9439" max="9439" width="11.109375" customWidth="1"/>
    <col min="9440" max="9440" width="12.44140625" customWidth="1"/>
    <col min="9441" max="9441" width="8.88671875" customWidth="1"/>
    <col min="9442" max="9442" width="13.33203125" customWidth="1"/>
    <col min="9443" max="9443" width="11.33203125" customWidth="1"/>
    <col min="9444" max="9444" width="10.6640625" customWidth="1"/>
    <col min="9445" max="9445" width="11.33203125" customWidth="1"/>
    <col min="9446" max="9446" width="8.6640625" customWidth="1"/>
    <col min="9447" max="9447" width="13.88671875" customWidth="1"/>
    <col min="9448" max="9448" width="10.88671875" customWidth="1"/>
    <col min="9449" max="9449" width="9.88671875" customWidth="1"/>
    <col min="9450" max="9461" width="10.44140625" customWidth="1"/>
    <col min="9462" max="9462" width="12" customWidth="1"/>
    <col min="9686" max="9686" width="7.5546875" customWidth="1"/>
    <col min="9687" max="9688" width="9.5546875" customWidth="1"/>
    <col min="9689" max="9689" width="32.6640625" customWidth="1"/>
    <col min="9690" max="9693" width="13.6640625" customWidth="1"/>
    <col min="9694" max="9694" width="11.5546875" customWidth="1"/>
    <col min="9695" max="9695" width="11.109375" customWidth="1"/>
    <col min="9696" max="9696" width="12.44140625" customWidth="1"/>
    <col min="9697" max="9697" width="8.88671875" customWidth="1"/>
    <col min="9698" max="9698" width="13.33203125" customWidth="1"/>
    <col min="9699" max="9699" width="11.33203125" customWidth="1"/>
    <col min="9700" max="9700" width="10.6640625" customWidth="1"/>
    <col min="9701" max="9701" width="11.33203125" customWidth="1"/>
    <col min="9702" max="9702" width="8.6640625" customWidth="1"/>
    <col min="9703" max="9703" width="13.88671875" customWidth="1"/>
    <col min="9704" max="9704" width="10.88671875" customWidth="1"/>
    <col min="9705" max="9705" width="9.88671875" customWidth="1"/>
    <col min="9706" max="9717" width="10.44140625" customWidth="1"/>
    <col min="9718" max="9718" width="12" customWidth="1"/>
    <col min="9942" max="9942" width="7.5546875" customWidth="1"/>
    <col min="9943" max="9944" width="9.5546875" customWidth="1"/>
    <col min="9945" max="9945" width="32.6640625" customWidth="1"/>
    <col min="9946" max="9949" width="13.6640625" customWidth="1"/>
    <col min="9950" max="9950" width="11.5546875" customWidth="1"/>
    <col min="9951" max="9951" width="11.109375" customWidth="1"/>
    <col min="9952" max="9952" width="12.44140625" customWidth="1"/>
    <col min="9953" max="9953" width="8.88671875" customWidth="1"/>
    <col min="9954" max="9954" width="13.33203125" customWidth="1"/>
    <col min="9955" max="9955" width="11.33203125" customWidth="1"/>
    <col min="9956" max="9956" width="10.6640625" customWidth="1"/>
    <col min="9957" max="9957" width="11.33203125" customWidth="1"/>
    <col min="9958" max="9958" width="8.6640625" customWidth="1"/>
    <col min="9959" max="9959" width="13.88671875" customWidth="1"/>
    <col min="9960" max="9960" width="10.88671875" customWidth="1"/>
    <col min="9961" max="9961" width="9.88671875" customWidth="1"/>
    <col min="9962" max="9973" width="10.44140625" customWidth="1"/>
    <col min="9974" max="9974" width="12" customWidth="1"/>
    <col min="10198" max="10198" width="7.5546875" customWidth="1"/>
    <col min="10199" max="10200" width="9.5546875" customWidth="1"/>
    <col min="10201" max="10201" width="32.6640625" customWidth="1"/>
    <col min="10202" max="10205" width="13.6640625" customWidth="1"/>
    <col min="10206" max="10206" width="11.5546875" customWidth="1"/>
    <col min="10207" max="10207" width="11.109375" customWidth="1"/>
    <col min="10208" max="10208" width="12.44140625" customWidth="1"/>
    <col min="10209" max="10209" width="8.88671875" customWidth="1"/>
    <col min="10210" max="10210" width="13.33203125" customWidth="1"/>
    <col min="10211" max="10211" width="11.33203125" customWidth="1"/>
    <col min="10212" max="10212" width="10.6640625" customWidth="1"/>
    <col min="10213" max="10213" width="11.33203125" customWidth="1"/>
    <col min="10214" max="10214" width="8.6640625" customWidth="1"/>
    <col min="10215" max="10215" width="13.88671875" customWidth="1"/>
    <col min="10216" max="10216" width="10.88671875" customWidth="1"/>
    <col min="10217" max="10217" width="9.88671875" customWidth="1"/>
    <col min="10218" max="10229" width="10.44140625" customWidth="1"/>
    <col min="10230" max="10230" width="12" customWidth="1"/>
    <col min="10454" max="10454" width="7.5546875" customWidth="1"/>
    <col min="10455" max="10456" width="9.5546875" customWidth="1"/>
    <col min="10457" max="10457" width="32.6640625" customWidth="1"/>
    <col min="10458" max="10461" width="13.6640625" customWidth="1"/>
    <col min="10462" max="10462" width="11.5546875" customWidth="1"/>
    <col min="10463" max="10463" width="11.109375" customWidth="1"/>
    <col min="10464" max="10464" width="12.44140625" customWidth="1"/>
    <col min="10465" max="10465" width="8.88671875" customWidth="1"/>
    <col min="10466" max="10466" width="13.33203125" customWidth="1"/>
    <col min="10467" max="10467" width="11.33203125" customWidth="1"/>
    <col min="10468" max="10468" width="10.6640625" customWidth="1"/>
    <col min="10469" max="10469" width="11.33203125" customWidth="1"/>
    <col min="10470" max="10470" width="8.6640625" customWidth="1"/>
    <col min="10471" max="10471" width="13.88671875" customWidth="1"/>
    <col min="10472" max="10472" width="10.88671875" customWidth="1"/>
    <col min="10473" max="10473" width="9.88671875" customWidth="1"/>
    <col min="10474" max="10485" width="10.44140625" customWidth="1"/>
    <col min="10486" max="10486" width="12" customWidth="1"/>
    <col min="10710" max="10710" width="7.5546875" customWidth="1"/>
    <col min="10711" max="10712" width="9.5546875" customWidth="1"/>
    <col min="10713" max="10713" width="32.6640625" customWidth="1"/>
    <col min="10714" max="10717" width="13.6640625" customWidth="1"/>
    <col min="10718" max="10718" width="11.5546875" customWidth="1"/>
    <col min="10719" max="10719" width="11.109375" customWidth="1"/>
    <col min="10720" max="10720" width="12.44140625" customWidth="1"/>
    <col min="10721" max="10721" width="8.88671875" customWidth="1"/>
    <col min="10722" max="10722" width="13.33203125" customWidth="1"/>
    <col min="10723" max="10723" width="11.33203125" customWidth="1"/>
    <col min="10724" max="10724" width="10.6640625" customWidth="1"/>
    <col min="10725" max="10725" width="11.33203125" customWidth="1"/>
    <col min="10726" max="10726" width="8.6640625" customWidth="1"/>
    <col min="10727" max="10727" width="13.88671875" customWidth="1"/>
    <col min="10728" max="10728" width="10.88671875" customWidth="1"/>
    <col min="10729" max="10729" width="9.88671875" customWidth="1"/>
    <col min="10730" max="10741" width="10.44140625" customWidth="1"/>
    <col min="10742" max="10742" width="12" customWidth="1"/>
    <col min="10966" max="10966" width="7.5546875" customWidth="1"/>
    <col min="10967" max="10968" width="9.5546875" customWidth="1"/>
    <col min="10969" max="10969" width="32.6640625" customWidth="1"/>
    <col min="10970" max="10973" width="13.6640625" customWidth="1"/>
    <col min="10974" max="10974" width="11.5546875" customWidth="1"/>
    <col min="10975" max="10975" width="11.109375" customWidth="1"/>
    <col min="10976" max="10976" width="12.44140625" customWidth="1"/>
    <col min="10977" max="10977" width="8.88671875" customWidth="1"/>
    <col min="10978" max="10978" width="13.33203125" customWidth="1"/>
    <col min="10979" max="10979" width="11.33203125" customWidth="1"/>
    <col min="10980" max="10980" width="10.6640625" customWidth="1"/>
    <col min="10981" max="10981" width="11.33203125" customWidth="1"/>
    <col min="10982" max="10982" width="8.6640625" customWidth="1"/>
    <col min="10983" max="10983" width="13.88671875" customWidth="1"/>
    <col min="10984" max="10984" width="10.88671875" customWidth="1"/>
    <col min="10985" max="10985" width="9.88671875" customWidth="1"/>
    <col min="10986" max="10997" width="10.44140625" customWidth="1"/>
    <col min="10998" max="10998" width="12" customWidth="1"/>
    <col min="11222" max="11222" width="7.5546875" customWidth="1"/>
    <col min="11223" max="11224" width="9.5546875" customWidth="1"/>
    <col min="11225" max="11225" width="32.6640625" customWidth="1"/>
    <col min="11226" max="11229" width="13.6640625" customWidth="1"/>
    <col min="11230" max="11230" width="11.5546875" customWidth="1"/>
    <col min="11231" max="11231" width="11.109375" customWidth="1"/>
    <col min="11232" max="11232" width="12.44140625" customWidth="1"/>
    <col min="11233" max="11233" width="8.88671875" customWidth="1"/>
    <col min="11234" max="11234" width="13.33203125" customWidth="1"/>
    <col min="11235" max="11235" width="11.33203125" customWidth="1"/>
    <col min="11236" max="11236" width="10.6640625" customWidth="1"/>
    <col min="11237" max="11237" width="11.33203125" customWidth="1"/>
    <col min="11238" max="11238" width="8.6640625" customWidth="1"/>
    <col min="11239" max="11239" width="13.88671875" customWidth="1"/>
    <col min="11240" max="11240" width="10.88671875" customWidth="1"/>
    <col min="11241" max="11241" width="9.88671875" customWidth="1"/>
    <col min="11242" max="11253" width="10.44140625" customWidth="1"/>
    <col min="11254" max="11254" width="12" customWidth="1"/>
    <col min="11478" max="11478" width="7.5546875" customWidth="1"/>
    <col min="11479" max="11480" width="9.5546875" customWidth="1"/>
    <col min="11481" max="11481" width="32.6640625" customWidth="1"/>
    <col min="11482" max="11485" width="13.6640625" customWidth="1"/>
    <col min="11486" max="11486" width="11.5546875" customWidth="1"/>
    <col min="11487" max="11487" width="11.109375" customWidth="1"/>
    <col min="11488" max="11488" width="12.44140625" customWidth="1"/>
    <col min="11489" max="11489" width="8.88671875" customWidth="1"/>
    <col min="11490" max="11490" width="13.33203125" customWidth="1"/>
    <col min="11491" max="11491" width="11.33203125" customWidth="1"/>
    <col min="11492" max="11492" width="10.6640625" customWidth="1"/>
    <col min="11493" max="11493" width="11.33203125" customWidth="1"/>
    <col min="11494" max="11494" width="8.6640625" customWidth="1"/>
    <col min="11495" max="11495" width="13.88671875" customWidth="1"/>
    <col min="11496" max="11496" width="10.88671875" customWidth="1"/>
    <col min="11497" max="11497" width="9.88671875" customWidth="1"/>
    <col min="11498" max="11509" width="10.44140625" customWidth="1"/>
    <col min="11510" max="11510" width="12" customWidth="1"/>
    <col min="11734" max="11734" width="7.5546875" customWidth="1"/>
    <col min="11735" max="11736" width="9.5546875" customWidth="1"/>
    <col min="11737" max="11737" width="32.6640625" customWidth="1"/>
    <col min="11738" max="11741" width="13.6640625" customWidth="1"/>
    <col min="11742" max="11742" width="11.5546875" customWidth="1"/>
    <col min="11743" max="11743" width="11.109375" customWidth="1"/>
    <col min="11744" max="11744" width="12.44140625" customWidth="1"/>
    <col min="11745" max="11745" width="8.88671875" customWidth="1"/>
    <col min="11746" max="11746" width="13.33203125" customWidth="1"/>
    <col min="11747" max="11747" width="11.33203125" customWidth="1"/>
    <col min="11748" max="11748" width="10.6640625" customWidth="1"/>
    <col min="11749" max="11749" width="11.33203125" customWidth="1"/>
    <col min="11750" max="11750" width="8.6640625" customWidth="1"/>
    <col min="11751" max="11751" width="13.88671875" customWidth="1"/>
    <col min="11752" max="11752" width="10.88671875" customWidth="1"/>
    <col min="11753" max="11753" width="9.88671875" customWidth="1"/>
    <col min="11754" max="11765" width="10.44140625" customWidth="1"/>
    <col min="11766" max="11766" width="12" customWidth="1"/>
    <col min="11990" max="11990" width="7.5546875" customWidth="1"/>
    <col min="11991" max="11992" width="9.5546875" customWidth="1"/>
    <col min="11993" max="11993" width="32.6640625" customWidth="1"/>
    <col min="11994" max="11997" width="13.6640625" customWidth="1"/>
    <col min="11998" max="11998" width="11.5546875" customWidth="1"/>
    <col min="11999" max="11999" width="11.109375" customWidth="1"/>
    <col min="12000" max="12000" width="12.44140625" customWidth="1"/>
    <col min="12001" max="12001" width="8.88671875" customWidth="1"/>
    <col min="12002" max="12002" width="13.33203125" customWidth="1"/>
    <col min="12003" max="12003" width="11.33203125" customWidth="1"/>
    <col min="12004" max="12004" width="10.6640625" customWidth="1"/>
    <col min="12005" max="12005" width="11.33203125" customWidth="1"/>
    <col min="12006" max="12006" width="8.6640625" customWidth="1"/>
    <col min="12007" max="12007" width="13.88671875" customWidth="1"/>
    <col min="12008" max="12008" width="10.88671875" customWidth="1"/>
    <col min="12009" max="12009" width="9.88671875" customWidth="1"/>
    <col min="12010" max="12021" width="10.44140625" customWidth="1"/>
    <col min="12022" max="12022" width="12" customWidth="1"/>
    <col min="12246" max="12246" width="7.5546875" customWidth="1"/>
    <col min="12247" max="12248" width="9.5546875" customWidth="1"/>
    <col min="12249" max="12249" width="32.6640625" customWidth="1"/>
    <col min="12250" max="12253" width="13.6640625" customWidth="1"/>
    <col min="12254" max="12254" width="11.5546875" customWidth="1"/>
    <col min="12255" max="12255" width="11.109375" customWidth="1"/>
    <col min="12256" max="12256" width="12.44140625" customWidth="1"/>
    <col min="12257" max="12257" width="8.88671875" customWidth="1"/>
    <col min="12258" max="12258" width="13.33203125" customWidth="1"/>
    <col min="12259" max="12259" width="11.33203125" customWidth="1"/>
    <col min="12260" max="12260" width="10.6640625" customWidth="1"/>
    <col min="12261" max="12261" width="11.33203125" customWidth="1"/>
    <col min="12262" max="12262" width="8.6640625" customWidth="1"/>
    <col min="12263" max="12263" width="13.88671875" customWidth="1"/>
    <col min="12264" max="12264" width="10.88671875" customWidth="1"/>
    <col min="12265" max="12265" width="9.88671875" customWidth="1"/>
    <col min="12266" max="12277" width="10.44140625" customWidth="1"/>
    <col min="12278" max="12278" width="12" customWidth="1"/>
    <col min="12502" max="12502" width="7.5546875" customWidth="1"/>
    <col min="12503" max="12504" width="9.5546875" customWidth="1"/>
    <col min="12505" max="12505" width="32.6640625" customWidth="1"/>
    <col min="12506" max="12509" width="13.6640625" customWidth="1"/>
    <col min="12510" max="12510" width="11.5546875" customWidth="1"/>
    <col min="12511" max="12511" width="11.109375" customWidth="1"/>
    <col min="12512" max="12512" width="12.44140625" customWidth="1"/>
    <col min="12513" max="12513" width="8.88671875" customWidth="1"/>
    <col min="12514" max="12514" width="13.33203125" customWidth="1"/>
    <col min="12515" max="12515" width="11.33203125" customWidth="1"/>
    <col min="12516" max="12516" width="10.6640625" customWidth="1"/>
    <col min="12517" max="12517" width="11.33203125" customWidth="1"/>
    <col min="12518" max="12518" width="8.6640625" customWidth="1"/>
    <col min="12519" max="12519" width="13.88671875" customWidth="1"/>
    <col min="12520" max="12520" width="10.88671875" customWidth="1"/>
    <col min="12521" max="12521" width="9.88671875" customWidth="1"/>
    <col min="12522" max="12533" width="10.44140625" customWidth="1"/>
    <col min="12534" max="12534" width="12" customWidth="1"/>
    <col min="12758" max="12758" width="7.5546875" customWidth="1"/>
    <col min="12759" max="12760" width="9.5546875" customWidth="1"/>
    <col min="12761" max="12761" width="32.6640625" customWidth="1"/>
    <col min="12762" max="12765" width="13.6640625" customWidth="1"/>
    <col min="12766" max="12766" width="11.5546875" customWidth="1"/>
    <col min="12767" max="12767" width="11.109375" customWidth="1"/>
    <col min="12768" max="12768" width="12.44140625" customWidth="1"/>
    <col min="12769" max="12769" width="8.88671875" customWidth="1"/>
    <col min="12770" max="12770" width="13.33203125" customWidth="1"/>
    <col min="12771" max="12771" width="11.33203125" customWidth="1"/>
    <col min="12772" max="12772" width="10.6640625" customWidth="1"/>
    <col min="12773" max="12773" width="11.33203125" customWidth="1"/>
    <col min="12774" max="12774" width="8.6640625" customWidth="1"/>
    <col min="12775" max="12775" width="13.88671875" customWidth="1"/>
    <col min="12776" max="12776" width="10.88671875" customWidth="1"/>
    <col min="12777" max="12777" width="9.88671875" customWidth="1"/>
    <col min="12778" max="12789" width="10.44140625" customWidth="1"/>
    <col min="12790" max="12790" width="12" customWidth="1"/>
    <col min="13014" max="13014" width="7.5546875" customWidth="1"/>
    <col min="13015" max="13016" width="9.5546875" customWidth="1"/>
    <col min="13017" max="13017" width="32.6640625" customWidth="1"/>
    <col min="13018" max="13021" width="13.6640625" customWidth="1"/>
    <col min="13022" max="13022" width="11.5546875" customWidth="1"/>
    <col min="13023" max="13023" width="11.109375" customWidth="1"/>
    <col min="13024" max="13024" width="12.44140625" customWidth="1"/>
    <col min="13025" max="13025" width="8.88671875" customWidth="1"/>
    <col min="13026" max="13026" width="13.33203125" customWidth="1"/>
    <col min="13027" max="13027" width="11.33203125" customWidth="1"/>
    <col min="13028" max="13028" width="10.6640625" customWidth="1"/>
    <col min="13029" max="13029" width="11.33203125" customWidth="1"/>
    <col min="13030" max="13030" width="8.6640625" customWidth="1"/>
    <col min="13031" max="13031" width="13.88671875" customWidth="1"/>
    <col min="13032" max="13032" width="10.88671875" customWidth="1"/>
    <col min="13033" max="13033" width="9.88671875" customWidth="1"/>
    <col min="13034" max="13045" width="10.44140625" customWidth="1"/>
    <col min="13046" max="13046" width="12" customWidth="1"/>
    <col min="13270" max="13270" width="7.5546875" customWidth="1"/>
    <col min="13271" max="13272" width="9.5546875" customWidth="1"/>
    <col min="13273" max="13273" width="32.6640625" customWidth="1"/>
    <col min="13274" max="13277" width="13.6640625" customWidth="1"/>
    <col min="13278" max="13278" width="11.5546875" customWidth="1"/>
    <col min="13279" max="13279" width="11.109375" customWidth="1"/>
    <col min="13280" max="13280" width="12.44140625" customWidth="1"/>
    <col min="13281" max="13281" width="8.88671875" customWidth="1"/>
    <col min="13282" max="13282" width="13.33203125" customWidth="1"/>
    <col min="13283" max="13283" width="11.33203125" customWidth="1"/>
    <col min="13284" max="13284" width="10.6640625" customWidth="1"/>
    <col min="13285" max="13285" width="11.33203125" customWidth="1"/>
    <col min="13286" max="13286" width="8.6640625" customWidth="1"/>
    <col min="13287" max="13287" width="13.88671875" customWidth="1"/>
    <col min="13288" max="13288" width="10.88671875" customWidth="1"/>
    <col min="13289" max="13289" width="9.88671875" customWidth="1"/>
    <col min="13290" max="13301" width="10.44140625" customWidth="1"/>
    <col min="13302" max="13302" width="12" customWidth="1"/>
    <col min="13526" max="13526" width="7.5546875" customWidth="1"/>
    <col min="13527" max="13528" width="9.5546875" customWidth="1"/>
    <col min="13529" max="13529" width="32.6640625" customWidth="1"/>
    <col min="13530" max="13533" width="13.6640625" customWidth="1"/>
    <col min="13534" max="13534" width="11.5546875" customWidth="1"/>
    <col min="13535" max="13535" width="11.109375" customWidth="1"/>
    <col min="13536" max="13536" width="12.44140625" customWidth="1"/>
    <col min="13537" max="13537" width="8.88671875" customWidth="1"/>
    <col min="13538" max="13538" width="13.33203125" customWidth="1"/>
    <col min="13539" max="13539" width="11.33203125" customWidth="1"/>
    <col min="13540" max="13540" width="10.6640625" customWidth="1"/>
    <col min="13541" max="13541" width="11.33203125" customWidth="1"/>
    <col min="13542" max="13542" width="8.6640625" customWidth="1"/>
    <col min="13543" max="13543" width="13.88671875" customWidth="1"/>
    <col min="13544" max="13544" width="10.88671875" customWidth="1"/>
    <col min="13545" max="13545" width="9.88671875" customWidth="1"/>
    <col min="13546" max="13557" width="10.44140625" customWidth="1"/>
    <col min="13558" max="13558" width="12" customWidth="1"/>
    <col min="13782" max="13782" width="7.5546875" customWidth="1"/>
    <col min="13783" max="13784" width="9.5546875" customWidth="1"/>
    <col min="13785" max="13785" width="32.6640625" customWidth="1"/>
    <col min="13786" max="13789" width="13.6640625" customWidth="1"/>
    <col min="13790" max="13790" width="11.5546875" customWidth="1"/>
    <col min="13791" max="13791" width="11.109375" customWidth="1"/>
    <col min="13792" max="13792" width="12.44140625" customWidth="1"/>
    <col min="13793" max="13793" width="8.88671875" customWidth="1"/>
    <col min="13794" max="13794" width="13.33203125" customWidth="1"/>
    <col min="13795" max="13795" width="11.33203125" customWidth="1"/>
    <col min="13796" max="13796" width="10.6640625" customWidth="1"/>
    <col min="13797" max="13797" width="11.33203125" customWidth="1"/>
    <col min="13798" max="13798" width="8.6640625" customWidth="1"/>
    <col min="13799" max="13799" width="13.88671875" customWidth="1"/>
    <col min="13800" max="13800" width="10.88671875" customWidth="1"/>
    <col min="13801" max="13801" width="9.88671875" customWidth="1"/>
    <col min="13802" max="13813" width="10.44140625" customWidth="1"/>
    <col min="13814" max="13814" width="12" customWidth="1"/>
    <col min="14038" max="14038" width="7.5546875" customWidth="1"/>
    <col min="14039" max="14040" width="9.5546875" customWidth="1"/>
    <col min="14041" max="14041" width="32.6640625" customWidth="1"/>
    <col min="14042" max="14045" width="13.6640625" customWidth="1"/>
    <col min="14046" max="14046" width="11.5546875" customWidth="1"/>
    <col min="14047" max="14047" width="11.109375" customWidth="1"/>
    <col min="14048" max="14048" width="12.44140625" customWidth="1"/>
    <col min="14049" max="14049" width="8.88671875" customWidth="1"/>
    <col min="14050" max="14050" width="13.33203125" customWidth="1"/>
    <col min="14051" max="14051" width="11.33203125" customWidth="1"/>
    <col min="14052" max="14052" width="10.6640625" customWidth="1"/>
    <col min="14053" max="14053" width="11.33203125" customWidth="1"/>
    <col min="14054" max="14054" width="8.6640625" customWidth="1"/>
    <col min="14055" max="14055" width="13.88671875" customWidth="1"/>
    <col min="14056" max="14056" width="10.88671875" customWidth="1"/>
    <col min="14057" max="14057" width="9.88671875" customWidth="1"/>
    <col min="14058" max="14069" width="10.44140625" customWidth="1"/>
    <col min="14070" max="14070" width="12" customWidth="1"/>
    <col min="14294" max="14294" width="7.5546875" customWidth="1"/>
    <col min="14295" max="14296" width="9.5546875" customWidth="1"/>
    <col min="14297" max="14297" width="32.6640625" customWidth="1"/>
    <col min="14298" max="14301" width="13.6640625" customWidth="1"/>
    <col min="14302" max="14302" width="11.5546875" customWidth="1"/>
    <col min="14303" max="14303" width="11.109375" customWidth="1"/>
    <col min="14304" max="14304" width="12.44140625" customWidth="1"/>
    <col min="14305" max="14305" width="8.88671875" customWidth="1"/>
    <col min="14306" max="14306" width="13.33203125" customWidth="1"/>
    <col min="14307" max="14307" width="11.33203125" customWidth="1"/>
    <col min="14308" max="14308" width="10.6640625" customWidth="1"/>
    <col min="14309" max="14309" width="11.33203125" customWidth="1"/>
    <col min="14310" max="14310" width="8.6640625" customWidth="1"/>
    <col min="14311" max="14311" width="13.88671875" customWidth="1"/>
    <col min="14312" max="14312" width="10.88671875" customWidth="1"/>
    <col min="14313" max="14313" width="9.88671875" customWidth="1"/>
    <col min="14314" max="14325" width="10.44140625" customWidth="1"/>
    <col min="14326" max="14326" width="12" customWidth="1"/>
    <col min="14550" max="14550" width="7.5546875" customWidth="1"/>
    <col min="14551" max="14552" width="9.5546875" customWidth="1"/>
    <col min="14553" max="14553" width="32.6640625" customWidth="1"/>
    <col min="14554" max="14557" width="13.6640625" customWidth="1"/>
    <col min="14558" max="14558" width="11.5546875" customWidth="1"/>
    <col min="14559" max="14559" width="11.109375" customWidth="1"/>
    <col min="14560" max="14560" width="12.44140625" customWidth="1"/>
    <col min="14561" max="14561" width="8.88671875" customWidth="1"/>
    <col min="14562" max="14562" width="13.33203125" customWidth="1"/>
    <col min="14563" max="14563" width="11.33203125" customWidth="1"/>
    <col min="14564" max="14564" width="10.6640625" customWidth="1"/>
    <col min="14565" max="14565" width="11.33203125" customWidth="1"/>
    <col min="14566" max="14566" width="8.6640625" customWidth="1"/>
    <col min="14567" max="14567" width="13.88671875" customWidth="1"/>
    <col min="14568" max="14568" width="10.88671875" customWidth="1"/>
    <col min="14569" max="14569" width="9.88671875" customWidth="1"/>
    <col min="14570" max="14581" width="10.44140625" customWidth="1"/>
    <col min="14582" max="14582" width="12" customWidth="1"/>
    <col min="14806" max="14806" width="7.5546875" customWidth="1"/>
    <col min="14807" max="14808" width="9.5546875" customWidth="1"/>
    <col min="14809" max="14809" width="32.6640625" customWidth="1"/>
    <col min="14810" max="14813" width="13.6640625" customWidth="1"/>
    <col min="14814" max="14814" width="11.5546875" customWidth="1"/>
    <col min="14815" max="14815" width="11.109375" customWidth="1"/>
    <col min="14816" max="14816" width="12.44140625" customWidth="1"/>
    <col min="14817" max="14817" width="8.88671875" customWidth="1"/>
    <col min="14818" max="14818" width="13.33203125" customWidth="1"/>
    <col min="14819" max="14819" width="11.33203125" customWidth="1"/>
    <col min="14820" max="14820" width="10.6640625" customWidth="1"/>
    <col min="14821" max="14821" width="11.33203125" customWidth="1"/>
    <col min="14822" max="14822" width="8.6640625" customWidth="1"/>
    <col min="14823" max="14823" width="13.88671875" customWidth="1"/>
    <col min="14824" max="14824" width="10.88671875" customWidth="1"/>
    <col min="14825" max="14825" width="9.88671875" customWidth="1"/>
    <col min="14826" max="14837" width="10.44140625" customWidth="1"/>
    <col min="14838" max="14838" width="12" customWidth="1"/>
    <col min="15062" max="15062" width="7.5546875" customWidth="1"/>
    <col min="15063" max="15064" width="9.5546875" customWidth="1"/>
    <col min="15065" max="15065" width="32.6640625" customWidth="1"/>
    <col min="15066" max="15069" width="13.6640625" customWidth="1"/>
    <col min="15070" max="15070" width="11.5546875" customWidth="1"/>
    <col min="15071" max="15071" width="11.109375" customWidth="1"/>
    <col min="15072" max="15072" width="12.44140625" customWidth="1"/>
    <col min="15073" max="15073" width="8.88671875" customWidth="1"/>
    <col min="15074" max="15074" width="13.33203125" customWidth="1"/>
    <col min="15075" max="15075" width="11.33203125" customWidth="1"/>
    <col min="15076" max="15076" width="10.6640625" customWidth="1"/>
    <col min="15077" max="15077" width="11.33203125" customWidth="1"/>
    <col min="15078" max="15078" width="8.6640625" customWidth="1"/>
    <col min="15079" max="15079" width="13.88671875" customWidth="1"/>
    <col min="15080" max="15080" width="10.88671875" customWidth="1"/>
    <col min="15081" max="15081" width="9.88671875" customWidth="1"/>
    <col min="15082" max="15093" width="10.44140625" customWidth="1"/>
    <col min="15094" max="15094" width="12" customWidth="1"/>
    <col min="15318" max="15318" width="7.5546875" customWidth="1"/>
    <col min="15319" max="15320" width="9.5546875" customWidth="1"/>
    <col min="15321" max="15321" width="32.6640625" customWidth="1"/>
    <col min="15322" max="15325" width="13.6640625" customWidth="1"/>
    <col min="15326" max="15326" width="11.5546875" customWidth="1"/>
    <col min="15327" max="15327" width="11.109375" customWidth="1"/>
    <col min="15328" max="15328" width="12.44140625" customWidth="1"/>
    <col min="15329" max="15329" width="8.88671875" customWidth="1"/>
    <col min="15330" max="15330" width="13.33203125" customWidth="1"/>
    <col min="15331" max="15331" width="11.33203125" customWidth="1"/>
    <col min="15332" max="15332" width="10.6640625" customWidth="1"/>
    <col min="15333" max="15333" width="11.33203125" customWidth="1"/>
    <col min="15334" max="15334" width="8.6640625" customWidth="1"/>
    <col min="15335" max="15335" width="13.88671875" customWidth="1"/>
    <col min="15336" max="15336" width="10.88671875" customWidth="1"/>
    <col min="15337" max="15337" width="9.88671875" customWidth="1"/>
    <col min="15338" max="15349" width="10.44140625" customWidth="1"/>
    <col min="15350" max="15350" width="12" customWidth="1"/>
    <col min="15574" max="15574" width="7.5546875" customWidth="1"/>
    <col min="15575" max="15576" width="9.5546875" customWidth="1"/>
    <col min="15577" max="15577" width="32.6640625" customWidth="1"/>
    <col min="15578" max="15581" width="13.6640625" customWidth="1"/>
    <col min="15582" max="15582" width="11.5546875" customWidth="1"/>
    <col min="15583" max="15583" width="11.109375" customWidth="1"/>
    <col min="15584" max="15584" width="12.44140625" customWidth="1"/>
    <col min="15585" max="15585" width="8.88671875" customWidth="1"/>
    <col min="15586" max="15586" width="13.33203125" customWidth="1"/>
    <col min="15587" max="15587" width="11.33203125" customWidth="1"/>
    <col min="15588" max="15588" width="10.6640625" customWidth="1"/>
    <col min="15589" max="15589" width="11.33203125" customWidth="1"/>
    <col min="15590" max="15590" width="8.6640625" customWidth="1"/>
    <col min="15591" max="15591" width="13.88671875" customWidth="1"/>
    <col min="15592" max="15592" width="10.88671875" customWidth="1"/>
    <col min="15593" max="15593" width="9.88671875" customWidth="1"/>
    <col min="15594" max="15605" width="10.44140625" customWidth="1"/>
    <col min="15606" max="15606" width="12" customWidth="1"/>
    <col min="15830" max="15830" width="7.5546875" customWidth="1"/>
    <col min="15831" max="15832" width="9.5546875" customWidth="1"/>
    <col min="15833" max="15833" width="32.6640625" customWidth="1"/>
    <col min="15834" max="15837" width="13.6640625" customWidth="1"/>
    <col min="15838" max="15838" width="11.5546875" customWidth="1"/>
    <col min="15839" max="15839" width="11.109375" customWidth="1"/>
    <col min="15840" max="15840" width="12.44140625" customWidth="1"/>
    <col min="15841" max="15841" width="8.88671875" customWidth="1"/>
    <col min="15842" max="15842" width="13.33203125" customWidth="1"/>
    <col min="15843" max="15843" width="11.33203125" customWidth="1"/>
    <col min="15844" max="15844" width="10.6640625" customWidth="1"/>
    <col min="15845" max="15845" width="11.33203125" customWidth="1"/>
    <col min="15846" max="15846" width="8.6640625" customWidth="1"/>
    <col min="15847" max="15847" width="13.88671875" customWidth="1"/>
    <col min="15848" max="15848" width="10.88671875" customWidth="1"/>
    <col min="15849" max="15849" width="9.88671875" customWidth="1"/>
    <col min="15850" max="15861" width="10.44140625" customWidth="1"/>
    <col min="15862" max="15862" width="12" customWidth="1"/>
    <col min="16086" max="16086" width="7.5546875" customWidth="1"/>
    <col min="16087" max="16088" width="9.5546875" customWidth="1"/>
    <col min="16089" max="16089" width="32.6640625" customWidth="1"/>
    <col min="16090" max="16093" width="13.6640625" customWidth="1"/>
    <col min="16094" max="16094" width="11.5546875" customWidth="1"/>
    <col min="16095" max="16095" width="11.109375" customWidth="1"/>
    <col min="16096" max="16096" width="12.44140625" customWidth="1"/>
    <col min="16097" max="16097" width="8.88671875" customWidth="1"/>
    <col min="16098" max="16098" width="13.33203125" customWidth="1"/>
    <col min="16099" max="16099" width="11.33203125" customWidth="1"/>
    <col min="16100" max="16100" width="10.6640625" customWidth="1"/>
    <col min="16101" max="16101" width="11.33203125" customWidth="1"/>
    <col min="16102" max="16102" width="8.6640625" customWidth="1"/>
    <col min="16103" max="16103" width="13.88671875" customWidth="1"/>
    <col min="16104" max="16104" width="10.88671875" customWidth="1"/>
    <col min="16105" max="16105" width="9.88671875" customWidth="1"/>
    <col min="16106" max="16117" width="10.44140625" customWidth="1"/>
    <col min="16118" max="16118" width="12" customWidth="1"/>
  </cols>
  <sheetData>
    <row r="1" spans="1:16" x14ac:dyDescent="0.3">
      <c r="A1" s="94" t="s">
        <v>113</v>
      </c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 t="s">
        <v>141</v>
      </c>
    </row>
    <row r="2" spans="1:16" x14ac:dyDescent="0.3">
      <c r="A2" s="98" t="s">
        <v>433</v>
      </c>
      <c r="B2" s="98"/>
      <c r="C2" s="9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37" t="s">
        <v>555</v>
      </c>
    </row>
    <row r="3" spans="1:16" x14ac:dyDescent="0.3">
      <c r="A3" s="99"/>
      <c r="B3" s="99"/>
      <c r="C3" s="99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thickBot="1" x14ac:dyDescent="0.35">
      <c r="A4" s="99"/>
      <c r="B4" s="99"/>
      <c r="C4" s="9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3.5" customHeight="1" thickBot="1" x14ac:dyDescent="0.35">
      <c r="A5" s="95"/>
      <c r="B5" s="95"/>
      <c r="C5" s="95"/>
      <c r="D5" s="95"/>
      <c r="E5" s="135"/>
      <c r="F5" s="136" t="s">
        <v>556</v>
      </c>
      <c r="G5" s="137"/>
      <c r="H5" s="95"/>
      <c r="I5" s="102" t="s">
        <v>557</v>
      </c>
      <c r="J5" s="135"/>
      <c r="K5" s="136" t="s">
        <v>558</v>
      </c>
      <c r="L5" s="137"/>
      <c r="M5" s="95"/>
      <c r="N5" s="102" t="s">
        <v>557</v>
      </c>
      <c r="O5" s="95"/>
      <c r="P5" s="138" t="s">
        <v>559</v>
      </c>
    </row>
    <row r="6" spans="1:16" x14ac:dyDescent="0.3">
      <c r="A6" s="101" t="s">
        <v>436</v>
      </c>
      <c r="B6" s="101" t="s">
        <v>437</v>
      </c>
      <c r="C6" s="101" t="s">
        <v>438</v>
      </c>
      <c r="D6" s="102"/>
      <c r="E6" s="102"/>
      <c r="F6" s="102"/>
      <c r="G6" s="139">
        <v>44742</v>
      </c>
      <c r="H6" s="140" t="s">
        <v>560</v>
      </c>
      <c r="I6" s="141" t="s">
        <v>560</v>
      </c>
      <c r="J6" s="102"/>
      <c r="K6" s="102"/>
      <c r="L6" s="139">
        <v>44926</v>
      </c>
      <c r="M6" s="140" t="s">
        <v>560</v>
      </c>
      <c r="N6" s="141" t="s">
        <v>560</v>
      </c>
      <c r="O6" s="142"/>
      <c r="P6" s="143" t="s">
        <v>561</v>
      </c>
    </row>
    <row r="7" spans="1:16" x14ac:dyDescent="0.3">
      <c r="A7" s="103" t="s">
        <v>441</v>
      </c>
      <c r="B7" s="103" t="s">
        <v>442</v>
      </c>
      <c r="C7" s="103" t="s">
        <v>442</v>
      </c>
      <c r="D7" s="104" t="s">
        <v>443</v>
      </c>
      <c r="E7" s="144" t="s">
        <v>562</v>
      </c>
      <c r="F7" s="144" t="s">
        <v>563</v>
      </c>
      <c r="G7" s="144" t="s">
        <v>410</v>
      </c>
      <c r="H7" s="145" t="s">
        <v>564</v>
      </c>
      <c r="I7" s="146" t="s">
        <v>565</v>
      </c>
      <c r="J7" s="144" t="s">
        <v>562</v>
      </c>
      <c r="K7" s="144" t="s">
        <v>563</v>
      </c>
      <c r="L7" s="144" t="s">
        <v>410</v>
      </c>
      <c r="M7" s="145" t="s">
        <v>564</v>
      </c>
      <c r="N7" s="146" t="s">
        <v>565</v>
      </c>
      <c r="O7" s="142"/>
      <c r="P7" s="143" t="s">
        <v>566</v>
      </c>
    </row>
    <row r="8" spans="1:16" x14ac:dyDescent="0.3">
      <c r="A8" s="103"/>
      <c r="B8" s="103"/>
      <c r="C8" s="103"/>
      <c r="D8" s="98" t="s">
        <v>448</v>
      </c>
      <c r="E8" s="144"/>
      <c r="F8" s="144"/>
      <c r="G8" s="144"/>
      <c r="H8" s="145"/>
      <c r="I8" s="146"/>
      <c r="J8" s="144"/>
      <c r="K8" s="144"/>
      <c r="L8" s="144"/>
      <c r="M8" s="145"/>
      <c r="N8" s="146"/>
      <c r="O8" s="142"/>
      <c r="P8" s="142"/>
    </row>
    <row r="9" spans="1:16" x14ac:dyDescent="0.3">
      <c r="A9" s="105" t="s">
        <v>450</v>
      </c>
      <c r="B9" s="105">
        <v>1311020</v>
      </c>
      <c r="C9" s="105" t="s">
        <v>451</v>
      </c>
      <c r="D9" s="106" t="s">
        <v>452</v>
      </c>
      <c r="E9" s="107">
        <v>0</v>
      </c>
      <c r="F9" s="107">
        <v>-142.6711995818147</v>
      </c>
      <c r="G9" s="107">
        <v>52702.659345031963</v>
      </c>
      <c r="H9" s="142">
        <v>0</v>
      </c>
      <c r="I9" s="107">
        <v>0</v>
      </c>
      <c r="J9" s="107">
        <v>0</v>
      </c>
      <c r="K9" s="107">
        <v>-142.6711995818147</v>
      </c>
      <c r="L9" s="107">
        <v>52559.988145450152</v>
      </c>
      <c r="M9" s="147">
        <v>0</v>
      </c>
      <c r="N9" s="107">
        <v>0</v>
      </c>
      <c r="O9" s="95"/>
      <c r="P9" s="95">
        <v>0</v>
      </c>
    </row>
    <row r="10" spans="1:16" x14ac:dyDescent="0.3">
      <c r="A10" s="105">
        <v>303</v>
      </c>
      <c r="B10" s="105">
        <v>1311020</v>
      </c>
      <c r="C10" s="105">
        <v>5505010</v>
      </c>
      <c r="D10" s="106" t="s">
        <v>453</v>
      </c>
      <c r="E10" s="107">
        <v>0</v>
      </c>
      <c r="F10" s="107">
        <v>-3698.1826580394427</v>
      </c>
      <c r="G10" s="107">
        <v>1366106.5540462492</v>
      </c>
      <c r="H10" s="142">
        <v>0.1</v>
      </c>
      <c r="I10" s="107">
        <v>0</v>
      </c>
      <c r="J10" s="107">
        <v>0</v>
      </c>
      <c r="K10" s="107">
        <v>-3698.1826580394427</v>
      </c>
      <c r="L10" s="107">
        <v>1362408.3713882098</v>
      </c>
      <c r="M10" s="147">
        <v>0.1</v>
      </c>
      <c r="N10" s="107">
        <v>0</v>
      </c>
      <c r="O10" s="147" t="s">
        <v>567</v>
      </c>
      <c r="P10" s="95">
        <v>0</v>
      </c>
    </row>
    <row r="11" spans="1:16" x14ac:dyDescent="0.3">
      <c r="A11" s="105">
        <v>303</v>
      </c>
      <c r="B11" s="105">
        <v>1311020</v>
      </c>
      <c r="C11" s="105">
        <v>5505010</v>
      </c>
      <c r="D11" s="106" t="s">
        <v>454</v>
      </c>
      <c r="E11" s="108">
        <v>800000</v>
      </c>
      <c r="F11" s="108">
        <v>-15157.076209556426</v>
      </c>
      <c r="G11" s="108">
        <v>6399015.2636297056</v>
      </c>
      <c r="H11" s="142">
        <v>0.1</v>
      </c>
      <c r="I11" s="108">
        <v>319951</v>
      </c>
      <c r="J11" s="107">
        <v>543704</v>
      </c>
      <c r="K11" s="107">
        <v>-15157.076209556426</v>
      </c>
      <c r="L11" s="108">
        <v>6927562.1874201493</v>
      </c>
      <c r="M11" s="147">
        <v>0.1</v>
      </c>
      <c r="N11" s="108">
        <v>346378</v>
      </c>
      <c r="O11" s="95"/>
      <c r="P11" s="95">
        <v>666329</v>
      </c>
    </row>
    <row r="12" spans="1:16" x14ac:dyDescent="0.3">
      <c r="A12" s="109"/>
      <c r="B12" s="109"/>
      <c r="C12" s="109"/>
      <c r="D12" s="95"/>
      <c r="E12" s="107"/>
      <c r="F12" s="107"/>
      <c r="G12" s="107"/>
      <c r="H12" s="142"/>
      <c r="I12" s="112"/>
      <c r="J12" s="107"/>
      <c r="K12" s="107"/>
      <c r="L12" s="107"/>
      <c r="M12" s="147"/>
      <c r="N12" s="112"/>
      <c r="O12" s="95"/>
      <c r="P12" s="95">
        <v>0</v>
      </c>
    </row>
    <row r="13" spans="1:16" x14ac:dyDescent="0.3">
      <c r="A13" s="109"/>
      <c r="B13" s="109"/>
      <c r="C13" s="109"/>
      <c r="D13" s="106" t="s">
        <v>455</v>
      </c>
      <c r="E13" s="108">
        <v>800000</v>
      </c>
      <c r="F13" s="108">
        <v>-18997.930067177684</v>
      </c>
      <c r="G13" s="108">
        <v>7817824.4770209864</v>
      </c>
      <c r="H13" s="142"/>
      <c r="I13" s="108">
        <v>319951</v>
      </c>
      <c r="J13" s="108">
        <v>543704</v>
      </c>
      <c r="K13" s="108">
        <v>-18997.930067177684</v>
      </c>
      <c r="L13" s="108">
        <v>8342530.5469538094</v>
      </c>
      <c r="M13" s="147"/>
      <c r="N13" s="108">
        <v>346378</v>
      </c>
      <c r="O13" s="95"/>
      <c r="P13" s="95">
        <v>666329</v>
      </c>
    </row>
    <row r="14" spans="1:16" x14ac:dyDescent="0.3">
      <c r="A14" s="109"/>
      <c r="B14" s="109"/>
      <c r="C14" s="109"/>
      <c r="D14" s="95"/>
      <c r="E14" s="107"/>
      <c r="F14" s="107"/>
      <c r="G14" s="107"/>
      <c r="H14" s="148"/>
      <c r="I14" s="112"/>
      <c r="J14" s="107"/>
      <c r="K14" s="107"/>
      <c r="L14" s="107"/>
      <c r="M14" s="149"/>
      <c r="N14" s="112"/>
      <c r="O14" s="95"/>
      <c r="P14" s="95">
        <v>0</v>
      </c>
    </row>
    <row r="15" spans="1:16" x14ac:dyDescent="0.3">
      <c r="A15" s="109"/>
      <c r="B15" s="109"/>
      <c r="C15" s="109"/>
      <c r="D15" s="98" t="s">
        <v>456</v>
      </c>
      <c r="E15" s="107"/>
      <c r="F15" s="107"/>
      <c r="G15" s="107"/>
      <c r="H15" s="142"/>
      <c r="I15" s="118" t="s">
        <v>449</v>
      </c>
      <c r="J15" s="107"/>
      <c r="K15" s="107"/>
      <c r="L15" s="107"/>
      <c r="M15" s="147"/>
      <c r="N15" s="118" t="s">
        <v>449</v>
      </c>
      <c r="O15" s="95"/>
      <c r="P15" s="95"/>
    </row>
    <row r="16" spans="1:16" x14ac:dyDescent="0.3">
      <c r="A16" s="105">
        <v>3254</v>
      </c>
      <c r="B16" s="105">
        <v>1311030</v>
      </c>
      <c r="C16" s="105">
        <v>5501010</v>
      </c>
      <c r="D16" s="106" t="s">
        <v>457</v>
      </c>
      <c r="E16" s="107">
        <v>0</v>
      </c>
      <c r="F16" s="107">
        <v>-260.52103018594244</v>
      </c>
      <c r="G16" s="107">
        <v>96236.319217551441</v>
      </c>
      <c r="H16" s="147">
        <v>0.03</v>
      </c>
      <c r="I16" s="107">
        <v>1443.5</v>
      </c>
      <c r="J16" s="107">
        <v>0</v>
      </c>
      <c r="K16" s="107">
        <v>-260.52103018594244</v>
      </c>
      <c r="L16" s="107">
        <v>95975.798187365494</v>
      </c>
      <c r="M16" s="147">
        <v>0.03</v>
      </c>
      <c r="N16" s="107">
        <v>1439.5</v>
      </c>
      <c r="O16" s="147"/>
      <c r="P16" s="95">
        <v>2883</v>
      </c>
    </row>
    <row r="17" spans="1:16" x14ac:dyDescent="0.3">
      <c r="A17" s="106" t="s">
        <v>458</v>
      </c>
      <c r="B17" s="105">
        <v>1311050</v>
      </c>
      <c r="C17" s="105">
        <v>5501030</v>
      </c>
      <c r="D17" s="110" t="s">
        <v>459</v>
      </c>
      <c r="E17" s="107">
        <v>0</v>
      </c>
      <c r="F17" s="107">
        <v>-128.6996168491597</v>
      </c>
      <c r="G17" s="107">
        <v>47541.564692233493</v>
      </c>
      <c r="H17" s="147">
        <v>0.03</v>
      </c>
      <c r="I17" s="107">
        <v>713</v>
      </c>
      <c r="J17" s="107">
        <v>0</v>
      </c>
      <c r="K17" s="107">
        <v>-128.6996168491597</v>
      </c>
      <c r="L17" s="107">
        <v>47412.865075384332</v>
      </c>
      <c r="M17" s="147">
        <v>0.03</v>
      </c>
      <c r="N17" s="107">
        <v>711</v>
      </c>
      <c r="O17" s="147"/>
      <c r="P17" s="95">
        <v>1424</v>
      </c>
    </row>
    <row r="18" spans="1:16" x14ac:dyDescent="0.3">
      <c r="A18" s="106">
        <v>331</v>
      </c>
      <c r="B18" s="105">
        <v>1311050</v>
      </c>
      <c r="C18" s="105">
        <v>5501030</v>
      </c>
      <c r="D18" s="110" t="s">
        <v>460</v>
      </c>
      <c r="E18" s="107"/>
      <c r="F18" s="107">
        <v>-64.794916687536031</v>
      </c>
      <c r="G18" s="107">
        <v>23935.205083312463</v>
      </c>
      <c r="H18" s="147"/>
      <c r="I18" s="107">
        <v>0</v>
      </c>
      <c r="J18" s="107"/>
      <c r="K18" s="107">
        <v>-64.794916687536031</v>
      </c>
      <c r="L18" s="107">
        <v>23870.410166624926</v>
      </c>
      <c r="M18" s="147"/>
      <c r="N18" s="107">
        <v>0</v>
      </c>
      <c r="O18" s="147"/>
      <c r="P18" s="95"/>
    </row>
    <row r="19" spans="1:16" x14ac:dyDescent="0.3">
      <c r="A19" s="105" t="s">
        <v>461</v>
      </c>
      <c r="B19" s="105">
        <v>1311050</v>
      </c>
      <c r="C19" s="105">
        <v>5501030</v>
      </c>
      <c r="D19" s="106" t="s">
        <v>462</v>
      </c>
      <c r="E19" s="107">
        <v>24000</v>
      </c>
      <c r="F19" s="107">
        <v>-6261.1532484907957</v>
      </c>
      <c r="G19" s="107">
        <v>2336866.4210398272</v>
      </c>
      <c r="H19" s="147">
        <v>2.2499999999999999E-2</v>
      </c>
      <c r="I19" s="107">
        <v>26289.5</v>
      </c>
      <c r="J19" s="107">
        <v>24000</v>
      </c>
      <c r="K19" s="107">
        <v>-6261.1532484907957</v>
      </c>
      <c r="L19" s="107">
        <v>2354605.2677913364</v>
      </c>
      <c r="M19" s="147">
        <v>2.2499999999999999E-2</v>
      </c>
      <c r="N19" s="107">
        <v>26489.5</v>
      </c>
      <c r="O19" s="147"/>
      <c r="P19" s="95">
        <v>52779</v>
      </c>
    </row>
    <row r="20" spans="1:16" x14ac:dyDescent="0.3">
      <c r="A20" s="106" t="s">
        <v>463</v>
      </c>
      <c r="B20" s="105">
        <v>1311050</v>
      </c>
      <c r="C20" s="105">
        <v>5501030</v>
      </c>
      <c r="D20" s="106" t="s">
        <v>464</v>
      </c>
      <c r="E20" s="107">
        <v>57700</v>
      </c>
      <c r="F20" s="107">
        <v>-2391.3351301356865</v>
      </c>
      <c r="G20" s="107">
        <v>941057.8263360511</v>
      </c>
      <c r="H20" s="147">
        <v>0.04</v>
      </c>
      <c r="I20" s="107">
        <v>18821</v>
      </c>
      <c r="J20" s="107">
        <v>0</v>
      </c>
      <c r="K20" s="107">
        <v>-2391.3351301356865</v>
      </c>
      <c r="L20" s="107">
        <v>938666.49120591546</v>
      </c>
      <c r="M20" s="147">
        <v>0.04</v>
      </c>
      <c r="N20" s="107">
        <v>18773.5</v>
      </c>
      <c r="O20" s="147"/>
      <c r="P20" s="95">
        <v>37594.5</v>
      </c>
    </row>
    <row r="21" spans="1:16" x14ac:dyDescent="0.3">
      <c r="A21" s="106" t="s">
        <v>465</v>
      </c>
      <c r="B21" s="105">
        <v>1311050</v>
      </c>
      <c r="C21" s="105">
        <v>5501030</v>
      </c>
      <c r="D21" s="110" t="s">
        <v>466</v>
      </c>
      <c r="E21" s="108">
        <v>6700</v>
      </c>
      <c r="F21" s="108">
        <v>-1002.9425266648855</v>
      </c>
      <c r="G21" s="108">
        <v>377186.39445380046</v>
      </c>
      <c r="H21" s="147">
        <v>2.7199999999999998E-2</v>
      </c>
      <c r="I21" s="108">
        <v>5129.5</v>
      </c>
      <c r="J21" s="108">
        <v>13300</v>
      </c>
      <c r="K21" s="108">
        <v>-1002.9425266648855</v>
      </c>
      <c r="L21" s="108">
        <v>389483.45192713558</v>
      </c>
      <c r="M21" s="147">
        <v>2.7199999999999998E-2</v>
      </c>
      <c r="N21" s="108">
        <v>5297</v>
      </c>
      <c r="O21" s="147"/>
      <c r="P21" s="95">
        <v>10426.5</v>
      </c>
    </row>
    <row r="22" spans="1:16" x14ac:dyDescent="0.3">
      <c r="A22" s="95"/>
      <c r="B22" s="95"/>
      <c r="C22" s="95"/>
      <c r="D22" s="95"/>
      <c r="E22" s="107"/>
      <c r="F22" s="107"/>
      <c r="G22" s="107"/>
      <c r="H22" s="95"/>
      <c r="I22" s="107"/>
      <c r="J22" s="107"/>
      <c r="K22" s="107"/>
      <c r="L22" s="107"/>
      <c r="M22" s="147"/>
      <c r="N22" s="107"/>
      <c r="O22" s="147"/>
      <c r="P22" s="95">
        <v>0</v>
      </c>
    </row>
    <row r="23" spans="1:16" x14ac:dyDescent="0.3">
      <c r="A23" s="109"/>
      <c r="B23" s="109"/>
      <c r="C23" s="109"/>
      <c r="D23" s="106" t="s">
        <v>455</v>
      </c>
      <c r="E23" s="108">
        <v>88400</v>
      </c>
      <c r="F23" s="108">
        <v>-10109.446469014005</v>
      </c>
      <c r="G23" s="108">
        <v>3822823.7308227755</v>
      </c>
      <c r="H23" s="142"/>
      <c r="I23" s="108">
        <v>52396.5</v>
      </c>
      <c r="J23" s="108">
        <v>37300</v>
      </c>
      <c r="K23" s="108">
        <v>-10109.446469014005</v>
      </c>
      <c r="L23" s="108">
        <v>3850014.2843537624</v>
      </c>
      <c r="M23" s="147"/>
      <c r="N23" s="108">
        <v>52710.5</v>
      </c>
      <c r="O23" s="147"/>
      <c r="P23" s="95">
        <v>105107</v>
      </c>
    </row>
    <row r="24" spans="1:16" x14ac:dyDescent="0.3">
      <c r="A24" s="109"/>
      <c r="B24" s="109"/>
      <c r="C24" s="109"/>
      <c r="D24" s="95"/>
      <c r="E24" s="107"/>
      <c r="F24" s="107"/>
      <c r="G24" s="107"/>
      <c r="H24" s="143"/>
      <c r="I24" s="112"/>
      <c r="J24" s="107"/>
      <c r="K24" s="107"/>
      <c r="L24" s="107"/>
      <c r="M24" s="150"/>
      <c r="N24" s="112"/>
      <c r="O24" s="147"/>
      <c r="P24" s="95">
        <v>0</v>
      </c>
    </row>
    <row r="25" spans="1:16" x14ac:dyDescent="0.3">
      <c r="A25" s="109"/>
      <c r="B25" s="109"/>
      <c r="C25" s="109"/>
      <c r="D25" s="94" t="s">
        <v>467</v>
      </c>
      <c r="E25" s="107"/>
      <c r="F25" s="107"/>
      <c r="G25" s="107"/>
      <c r="H25" s="143"/>
      <c r="I25" s="112"/>
      <c r="J25" s="107"/>
      <c r="K25" s="107"/>
      <c r="L25" s="107"/>
      <c r="M25" s="150"/>
      <c r="N25" s="112"/>
      <c r="O25" s="147"/>
      <c r="P25" s="95">
        <v>0</v>
      </c>
    </row>
    <row r="26" spans="1:16" x14ac:dyDescent="0.3">
      <c r="A26" s="111" t="s">
        <v>468</v>
      </c>
      <c r="B26" s="111">
        <v>1311030</v>
      </c>
      <c r="C26" s="111" t="s">
        <v>451</v>
      </c>
      <c r="D26" s="95" t="s">
        <v>469</v>
      </c>
      <c r="E26" s="107">
        <v>0</v>
      </c>
      <c r="F26" s="107">
        <v>-199.42723133959709</v>
      </c>
      <c r="G26" s="107">
        <v>73668.30494325883</v>
      </c>
      <c r="H26" s="147">
        <v>0</v>
      </c>
      <c r="I26" s="107">
        <v>0</v>
      </c>
      <c r="J26" s="107">
        <v>0</v>
      </c>
      <c r="K26" s="107">
        <v>-199.42723133959709</v>
      </c>
      <c r="L26" s="107">
        <v>73468.877711919238</v>
      </c>
      <c r="M26" s="147">
        <v>0</v>
      </c>
      <c r="N26" s="107">
        <v>0</v>
      </c>
      <c r="O26" s="147"/>
      <c r="P26" s="95">
        <v>0</v>
      </c>
    </row>
    <row r="27" spans="1:16" x14ac:dyDescent="0.3">
      <c r="A27" s="111">
        <v>35002</v>
      </c>
      <c r="B27" s="111">
        <v>1311030</v>
      </c>
      <c r="C27" s="111" t="s">
        <v>451</v>
      </c>
      <c r="D27" s="95" t="s">
        <v>470</v>
      </c>
      <c r="E27" s="107">
        <v>0</v>
      </c>
      <c r="F27" s="107">
        <v>-501.47647602254341</v>
      </c>
      <c r="G27" s="107">
        <v>185245.12279163545</v>
      </c>
      <c r="H27" s="147">
        <v>0</v>
      </c>
      <c r="I27" s="107">
        <v>0</v>
      </c>
      <c r="J27" s="107">
        <v>0</v>
      </c>
      <c r="K27" s="107">
        <v>-501.47647602254341</v>
      </c>
      <c r="L27" s="107">
        <v>184743.64631561292</v>
      </c>
      <c r="M27" s="147">
        <v>0</v>
      </c>
      <c r="N27" s="107">
        <v>0</v>
      </c>
      <c r="O27" s="147"/>
      <c r="P27" s="95">
        <v>0</v>
      </c>
    </row>
    <row r="28" spans="1:16" x14ac:dyDescent="0.3">
      <c r="A28" s="110">
        <v>351</v>
      </c>
      <c r="B28" s="111">
        <v>1311052</v>
      </c>
      <c r="C28" s="111">
        <v>5501033</v>
      </c>
      <c r="D28" s="106" t="s">
        <v>471</v>
      </c>
      <c r="E28" s="107">
        <v>0</v>
      </c>
      <c r="F28" s="107">
        <v>-1942.2459509513369</v>
      </c>
      <c r="G28" s="107">
        <v>717464.54096754687</v>
      </c>
      <c r="H28" s="147">
        <v>2.58E-2</v>
      </c>
      <c r="I28" s="107">
        <v>9255.5</v>
      </c>
      <c r="J28" s="107">
        <v>0</v>
      </c>
      <c r="K28" s="107">
        <v>-1942.2459509513369</v>
      </c>
      <c r="L28" s="107">
        <v>715522.29501659551</v>
      </c>
      <c r="M28" s="147">
        <v>2.58E-2</v>
      </c>
      <c r="N28" s="107">
        <v>9230</v>
      </c>
      <c r="O28" s="147"/>
      <c r="P28" s="95">
        <v>18485.5</v>
      </c>
    </row>
    <row r="29" spans="1:16" x14ac:dyDescent="0.3">
      <c r="A29" s="110">
        <v>352</v>
      </c>
      <c r="B29" s="111">
        <v>1311052</v>
      </c>
      <c r="C29" s="111">
        <v>5501033</v>
      </c>
      <c r="D29" s="106" t="s">
        <v>266</v>
      </c>
      <c r="E29" s="107">
        <v>0</v>
      </c>
      <c r="F29" s="107">
        <v>-22171.840089750785</v>
      </c>
      <c r="G29" s="107">
        <v>8190265.0200440381</v>
      </c>
      <c r="H29" s="147">
        <v>3.1899999999999998E-2</v>
      </c>
      <c r="I29" s="107">
        <v>130634.5</v>
      </c>
      <c r="J29" s="107">
        <v>240000</v>
      </c>
      <c r="K29" s="107">
        <v>-22171.840089750785</v>
      </c>
      <c r="L29" s="107">
        <v>8408093.1799542867</v>
      </c>
      <c r="M29" s="147">
        <v>3.1899999999999998E-2</v>
      </c>
      <c r="N29" s="107">
        <v>134109</v>
      </c>
      <c r="O29" s="147"/>
      <c r="P29" s="95">
        <v>264743.5</v>
      </c>
    </row>
    <row r="30" spans="1:16" x14ac:dyDescent="0.3">
      <c r="A30" s="111" t="s">
        <v>472</v>
      </c>
      <c r="B30" s="111" t="s">
        <v>473</v>
      </c>
      <c r="C30" s="111">
        <v>5505300</v>
      </c>
      <c r="D30" s="95" t="s">
        <v>474</v>
      </c>
      <c r="E30" s="107">
        <v>0</v>
      </c>
      <c r="F30" s="107">
        <v>-2309.5281261950863</v>
      </c>
      <c r="G30" s="107">
        <v>853138.36597294721</v>
      </c>
      <c r="H30" s="147">
        <v>1.8499999999999999E-2</v>
      </c>
      <c r="I30" s="107">
        <v>7891.5</v>
      </c>
      <c r="J30" s="107">
        <v>0</v>
      </c>
      <c r="K30" s="107">
        <v>-2309.5281261950863</v>
      </c>
      <c r="L30" s="107">
        <v>850828.83784675214</v>
      </c>
      <c r="M30" s="147">
        <v>1.8499999999999999E-2</v>
      </c>
      <c r="N30" s="107">
        <v>7870</v>
      </c>
      <c r="O30" s="147"/>
      <c r="P30" s="95">
        <v>15761.5</v>
      </c>
    </row>
    <row r="31" spans="1:16" x14ac:dyDescent="0.3">
      <c r="A31" s="111" t="s">
        <v>475</v>
      </c>
      <c r="B31" s="111">
        <v>1311052</v>
      </c>
      <c r="C31" s="111">
        <v>5501033</v>
      </c>
      <c r="D31" s="95" t="s">
        <v>476</v>
      </c>
      <c r="E31" s="107">
        <v>0</v>
      </c>
      <c r="F31" s="107">
        <v>-4722.6499685095496</v>
      </c>
      <c r="G31" s="107">
        <v>1744544.1912994874</v>
      </c>
      <c r="H31" s="147">
        <v>1.83E-2</v>
      </c>
      <c r="I31" s="107">
        <v>15962.5</v>
      </c>
      <c r="J31" s="107">
        <v>0</v>
      </c>
      <c r="K31" s="107">
        <v>-4722.6499685095496</v>
      </c>
      <c r="L31" s="107">
        <v>1739821.5413309778</v>
      </c>
      <c r="M31" s="147">
        <v>1.83E-2</v>
      </c>
      <c r="N31" s="107">
        <v>15919.5</v>
      </c>
      <c r="O31" s="147"/>
      <c r="P31" s="95">
        <v>31882</v>
      </c>
    </row>
    <row r="32" spans="1:16" x14ac:dyDescent="0.3">
      <c r="A32" s="111" t="s">
        <v>477</v>
      </c>
      <c r="B32" s="111">
        <v>1311052</v>
      </c>
      <c r="C32" s="111">
        <v>5501033</v>
      </c>
      <c r="D32" s="95" t="s">
        <v>478</v>
      </c>
      <c r="E32" s="107">
        <v>0</v>
      </c>
      <c r="F32" s="107">
        <v>-789.99704117185263</v>
      </c>
      <c r="G32" s="107">
        <v>291824.4541750545</v>
      </c>
      <c r="H32" s="147">
        <v>1.7500000000000002E-2</v>
      </c>
      <c r="I32" s="107">
        <v>2553.5</v>
      </c>
      <c r="J32" s="107">
        <v>0</v>
      </c>
      <c r="K32" s="107">
        <v>-789.99704117185263</v>
      </c>
      <c r="L32" s="107">
        <v>291034.45713388268</v>
      </c>
      <c r="M32" s="147">
        <v>1.7500000000000002E-2</v>
      </c>
      <c r="N32" s="107">
        <v>2546.5</v>
      </c>
      <c r="O32" s="147"/>
      <c r="P32" s="95">
        <v>5100</v>
      </c>
    </row>
    <row r="33" spans="1:16" x14ac:dyDescent="0.3">
      <c r="A33" s="111" t="s">
        <v>479</v>
      </c>
      <c r="B33" s="111">
        <v>1311052</v>
      </c>
      <c r="C33" s="111">
        <v>5501033</v>
      </c>
      <c r="D33" s="95" t="s">
        <v>270</v>
      </c>
      <c r="E33" s="107">
        <v>13000</v>
      </c>
      <c r="F33" s="107">
        <v>-16365.683182819839</v>
      </c>
      <c r="G33" s="107">
        <v>6058473.9867681824</v>
      </c>
      <c r="H33" s="147">
        <v>2.0500000000000001E-2</v>
      </c>
      <c r="I33" s="107">
        <v>62099.5</v>
      </c>
      <c r="J33" s="107">
        <v>0</v>
      </c>
      <c r="K33" s="107">
        <v>-16365.683182819839</v>
      </c>
      <c r="L33" s="107">
        <v>6042108.3035853626</v>
      </c>
      <c r="M33" s="147">
        <v>2.0500000000000001E-2</v>
      </c>
      <c r="N33" s="107">
        <v>61931.5</v>
      </c>
      <c r="O33" s="147"/>
      <c r="P33" s="95">
        <v>124031</v>
      </c>
    </row>
    <row r="34" spans="1:16" x14ac:dyDescent="0.3">
      <c r="A34" s="111" t="s">
        <v>480</v>
      </c>
      <c r="B34" s="111">
        <v>1311052</v>
      </c>
      <c r="C34" s="111">
        <v>5501033</v>
      </c>
      <c r="D34" s="95" t="s">
        <v>481</v>
      </c>
      <c r="E34" s="107">
        <v>20500</v>
      </c>
      <c r="F34" s="107">
        <v>-12373.258360115604</v>
      </c>
      <c r="G34" s="107">
        <v>4591174.5457571698</v>
      </c>
      <c r="H34" s="147">
        <v>1.9599999999999999E-2</v>
      </c>
      <c r="I34" s="107">
        <v>44993.5</v>
      </c>
      <c r="J34" s="107">
        <v>20500</v>
      </c>
      <c r="K34" s="107">
        <v>-12373.258360115604</v>
      </c>
      <c r="L34" s="107">
        <v>4599301.287397054</v>
      </c>
      <c r="M34" s="147">
        <v>1.9599999999999999E-2</v>
      </c>
      <c r="N34" s="107">
        <v>45073</v>
      </c>
      <c r="O34" s="147"/>
      <c r="P34" s="95">
        <v>90066.5</v>
      </c>
    </row>
    <row r="35" spans="1:16" x14ac:dyDescent="0.3">
      <c r="A35" s="111" t="s">
        <v>482</v>
      </c>
      <c r="B35" s="111">
        <v>1311052</v>
      </c>
      <c r="C35" s="111">
        <v>5501033</v>
      </c>
      <c r="D35" s="95" t="s">
        <v>483</v>
      </c>
      <c r="E35" s="107">
        <v>11800</v>
      </c>
      <c r="F35" s="107">
        <v>-3154.8496699618076</v>
      </c>
      <c r="G35" s="107">
        <v>1177199.6596940143</v>
      </c>
      <c r="H35" s="147">
        <v>2.5899999999999999E-2</v>
      </c>
      <c r="I35" s="107">
        <v>15244.5</v>
      </c>
      <c r="J35" s="107">
        <v>0</v>
      </c>
      <c r="K35" s="107">
        <v>-3154.8496699618076</v>
      </c>
      <c r="L35" s="107">
        <v>1174044.8100240526</v>
      </c>
      <c r="M35" s="147">
        <v>2.5899999999999999E-2</v>
      </c>
      <c r="N35" s="107">
        <v>15204</v>
      </c>
      <c r="O35" s="147"/>
      <c r="P35" s="95">
        <v>30448.5</v>
      </c>
    </row>
    <row r="36" spans="1:16" x14ac:dyDescent="0.3">
      <c r="A36" s="111">
        <v>356</v>
      </c>
      <c r="B36" s="111">
        <v>1311052</v>
      </c>
      <c r="C36" s="111">
        <v>5501033</v>
      </c>
      <c r="D36" s="95" t="s">
        <v>281</v>
      </c>
      <c r="E36" s="107">
        <v>12000</v>
      </c>
      <c r="F36" s="107">
        <v>-17540.093546403619</v>
      </c>
      <c r="G36" s="107">
        <v>6491300.5018928247</v>
      </c>
      <c r="H36" s="147">
        <v>3.1899999999999998E-2</v>
      </c>
      <c r="I36" s="107">
        <v>103536</v>
      </c>
      <c r="J36" s="107">
        <v>12000</v>
      </c>
      <c r="K36" s="107">
        <v>-17540.093546403619</v>
      </c>
      <c r="L36" s="107">
        <v>6485760.4083464211</v>
      </c>
      <c r="M36" s="147">
        <v>3.1899999999999998E-2</v>
      </c>
      <c r="N36" s="107">
        <v>103448</v>
      </c>
      <c r="O36" s="147"/>
      <c r="P36" s="95">
        <v>206984</v>
      </c>
    </row>
    <row r="37" spans="1:16" x14ac:dyDescent="0.3">
      <c r="A37" s="111" t="s">
        <v>484</v>
      </c>
      <c r="B37" s="111">
        <v>1311052</v>
      </c>
      <c r="C37" s="111">
        <v>5501033</v>
      </c>
      <c r="D37" s="95" t="s">
        <v>485</v>
      </c>
      <c r="E37" s="108">
        <v>0</v>
      </c>
      <c r="F37" s="108">
        <v>-294.71852567374737</v>
      </c>
      <c r="G37" s="108">
        <v>108868.85444841649</v>
      </c>
      <c r="H37" s="147">
        <v>5.1000000000000004E-3</v>
      </c>
      <c r="I37" s="108">
        <v>277.5</v>
      </c>
      <c r="J37" s="108">
        <v>0</v>
      </c>
      <c r="K37" s="108">
        <v>-294.71852567374737</v>
      </c>
      <c r="L37" s="108">
        <v>108574.13592274275</v>
      </c>
      <c r="M37" s="147">
        <v>5.1000000000000004E-3</v>
      </c>
      <c r="N37" s="108">
        <v>277</v>
      </c>
      <c r="O37" s="147"/>
      <c r="P37" s="95">
        <v>554.5</v>
      </c>
    </row>
    <row r="38" spans="1:16" x14ac:dyDescent="0.3">
      <c r="A38" s="109"/>
      <c r="B38" s="109"/>
      <c r="C38" s="109"/>
      <c r="D38" s="95"/>
      <c r="E38" s="112"/>
      <c r="F38" s="112"/>
      <c r="G38" s="112"/>
      <c r="H38" s="143"/>
      <c r="I38" s="112"/>
      <c r="J38" s="112"/>
      <c r="K38" s="112"/>
      <c r="L38" s="112"/>
      <c r="M38" s="150"/>
      <c r="N38" s="112"/>
      <c r="O38" s="147"/>
      <c r="P38" s="95">
        <v>0</v>
      </c>
    </row>
    <row r="39" spans="1:16" x14ac:dyDescent="0.3">
      <c r="A39" s="109"/>
      <c r="B39" s="109"/>
      <c r="C39" s="109"/>
      <c r="D39" s="95" t="s">
        <v>455</v>
      </c>
      <c r="E39" s="108">
        <v>57300</v>
      </c>
      <c r="F39" s="108">
        <v>-82365.768168915369</v>
      </c>
      <c r="G39" s="108">
        <v>30483167.548754577</v>
      </c>
      <c r="H39" s="143"/>
      <c r="I39" s="108">
        <v>392448.5</v>
      </c>
      <c r="J39" s="108">
        <v>272500</v>
      </c>
      <c r="K39" s="108">
        <v>-82365.768168915369</v>
      </c>
      <c r="L39" s="108">
        <v>30673301.780585658</v>
      </c>
      <c r="M39" s="150"/>
      <c r="N39" s="108">
        <v>395608.5</v>
      </c>
      <c r="O39" s="147"/>
      <c r="P39" s="95">
        <v>788057</v>
      </c>
    </row>
    <row r="40" spans="1:16" x14ac:dyDescent="0.3">
      <c r="A40" s="109"/>
      <c r="B40" s="109"/>
      <c r="C40" s="109"/>
      <c r="D40" s="95"/>
      <c r="E40" s="107"/>
      <c r="F40" s="107"/>
      <c r="G40" s="107"/>
      <c r="H40" s="143"/>
      <c r="I40" s="112"/>
      <c r="J40" s="107"/>
      <c r="K40" s="107"/>
      <c r="L40" s="107"/>
      <c r="M40" s="150"/>
      <c r="N40" s="112"/>
      <c r="O40" s="147"/>
      <c r="P40" s="95">
        <v>0</v>
      </c>
    </row>
    <row r="41" spans="1:16" x14ac:dyDescent="0.3">
      <c r="A41" s="109"/>
      <c r="B41" s="109"/>
      <c r="C41" s="109"/>
      <c r="D41" s="98" t="s">
        <v>486</v>
      </c>
      <c r="E41" s="107"/>
      <c r="F41" s="107"/>
      <c r="G41" s="107"/>
      <c r="H41" s="142"/>
      <c r="I41" s="118"/>
      <c r="J41" s="107"/>
      <c r="K41" s="107"/>
      <c r="L41" s="107"/>
      <c r="M41" s="147"/>
      <c r="N41" s="118"/>
      <c r="O41" s="147"/>
      <c r="P41" s="95">
        <v>0</v>
      </c>
    </row>
    <row r="42" spans="1:16" x14ac:dyDescent="0.3">
      <c r="A42" s="105" t="s">
        <v>487</v>
      </c>
      <c r="B42" s="105">
        <v>1311030</v>
      </c>
      <c r="C42" s="105" t="s">
        <v>451</v>
      </c>
      <c r="D42" s="106" t="s">
        <v>488</v>
      </c>
      <c r="E42" s="107">
        <v>0</v>
      </c>
      <c r="F42" s="107">
        <v>-1140.9589045972466</v>
      </c>
      <c r="G42" s="107">
        <v>421469.56534971233</v>
      </c>
      <c r="H42" s="147">
        <v>0</v>
      </c>
      <c r="I42" s="107">
        <v>0</v>
      </c>
      <c r="J42" s="107">
        <v>0</v>
      </c>
      <c r="K42" s="107">
        <v>-1140.9589045972466</v>
      </c>
      <c r="L42" s="107">
        <v>420328.60644511506</v>
      </c>
      <c r="M42" s="147">
        <v>0</v>
      </c>
      <c r="N42" s="107">
        <v>0</v>
      </c>
      <c r="O42" s="147"/>
      <c r="P42" s="95">
        <v>0</v>
      </c>
    </row>
    <row r="43" spans="1:16" x14ac:dyDescent="0.3">
      <c r="A43" s="105" t="s">
        <v>489</v>
      </c>
      <c r="B43" s="105">
        <v>1311030</v>
      </c>
      <c r="C43" s="105" t="s">
        <v>451</v>
      </c>
      <c r="D43" s="106" t="s">
        <v>490</v>
      </c>
      <c r="E43" s="107">
        <v>874800</v>
      </c>
      <c r="F43" s="107">
        <v>-4587.0069566101865</v>
      </c>
      <c r="G43" s="107">
        <v>2569237.740455729</v>
      </c>
      <c r="H43" s="147">
        <v>0</v>
      </c>
      <c r="I43" s="107">
        <v>0</v>
      </c>
      <c r="J43" s="107">
        <v>875500</v>
      </c>
      <c r="K43" s="107">
        <v>-4587.0069566101865</v>
      </c>
      <c r="L43" s="107">
        <v>3440150.7334991191</v>
      </c>
      <c r="M43" s="147">
        <v>0</v>
      </c>
      <c r="N43" s="107">
        <v>0</v>
      </c>
      <c r="O43" s="147"/>
      <c r="P43" s="95">
        <v>0</v>
      </c>
    </row>
    <row r="44" spans="1:16" x14ac:dyDescent="0.3">
      <c r="A44" s="105" t="s">
        <v>491</v>
      </c>
      <c r="B44" s="105">
        <v>1311060</v>
      </c>
      <c r="C44" s="105">
        <v>5501040</v>
      </c>
      <c r="D44" s="106" t="s">
        <v>492</v>
      </c>
      <c r="E44" s="107">
        <v>0</v>
      </c>
      <c r="F44" s="107">
        <v>-953.99738511364376</v>
      </c>
      <c r="G44" s="107">
        <v>352406.08722059306</v>
      </c>
      <c r="H44" s="147">
        <v>2.3E-2</v>
      </c>
      <c r="I44" s="107">
        <v>4052.5</v>
      </c>
      <c r="J44" s="107">
        <v>0</v>
      </c>
      <c r="K44" s="107">
        <v>-953.99738511364376</v>
      </c>
      <c r="L44" s="107">
        <v>351452.08983547945</v>
      </c>
      <c r="M44" s="147">
        <v>2.3E-2</v>
      </c>
      <c r="N44" s="107">
        <v>4041.5</v>
      </c>
      <c r="O44" s="147"/>
      <c r="P44" s="95">
        <v>8094</v>
      </c>
    </row>
    <row r="45" spans="1:16" x14ac:dyDescent="0.3">
      <c r="A45" s="105" t="s">
        <v>493</v>
      </c>
      <c r="B45" s="105">
        <v>1311060</v>
      </c>
      <c r="C45" s="105">
        <v>5501040</v>
      </c>
      <c r="D45" s="106" t="s">
        <v>293</v>
      </c>
      <c r="E45" s="107">
        <v>1102800</v>
      </c>
      <c r="F45" s="107">
        <v>-136452.09226077265</v>
      </c>
      <c r="G45" s="107">
        <v>51508124.665490575</v>
      </c>
      <c r="H45" s="147">
        <v>2.8799999999999999E-2</v>
      </c>
      <c r="I45" s="107">
        <v>741717</v>
      </c>
      <c r="J45" s="107">
        <v>551500</v>
      </c>
      <c r="K45" s="107">
        <v>-136452.09226077265</v>
      </c>
      <c r="L45" s="107">
        <v>51923172.573229805</v>
      </c>
      <c r="M45" s="147">
        <v>2.8799999999999999E-2</v>
      </c>
      <c r="N45" s="107">
        <v>747693.5</v>
      </c>
      <c r="O45" s="147"/>
      <c r="P45" s="95">
        <v>1489410.5</v>
      </c>
    </row>
    <row r="46" spans="1:16" x14ac:dyDescent="0.3">
      <c r="A46" s="105" t="s">
        <v>494</v>
      </c>
      <c r="B46" s="105">
        <v>1311060</v>
      </c>
      <c r="C46" s="105">
        <v>5501040</v>
      </c>
      <c r="D46" s="106" t="s">
        <v>495</v>
      </c>
      <c r="E46" s="107">
        <v>17500</v>
      </c>
      <c r="F46" s="107">
        <v>-24682.852503136728</v>
      </c>
      <c r="G46" s="107">
        <v>9135331.5662125759</v>
      </c>
      <c r="H46" s="147">
        <v>3.2000000000000001E-2</v>
      </c>
      <c r="I46" s="107">
        <v>146165.5</v>
      </c>
      <c r="J46" s="107">
        <v>17500</v>
      </c>
      <c r="K46" s="107">
        <v>-24682.852503136728</v>
      </c>
      <c r="L46" s="107">
        <v>9128148.7137094401</v>
      </c>
      <c r="M46" s="147">
        <v>3.2000000000000001E-2</v>
      </c>
      <c r="N46" s="107">
        <v>146050.5</v>
      </c>
      <c r="O46" s="147"/>
      <c r="P46" s="95">
        <v>292216</v>
      </c>
    </row>
    <row r="47" spans="1:16" x14ac:dyDescent="0.3">
      <c r="A47" s="105" t="s">
        <v>496</v>
      </c>
      <c r="B47" s="105">
        <v>1311060</v>
      </c>
      <c r="C47" s="105">
        <v>5501040</v>
      </c>
      <c r="D47" s="106" t="s">
        <v>497</v>
      </c>
      <c r="E47" s="107">
        <v>25200</v>
      </c>
      <c r="F47" s="107">
        <v>-14008.591298418036</v>
      </c>
      <c r="G47" s="107">
        <v>5199965.5957776727</v>
      </c>
      <c r="H47" s="147">
        <v>3.5000000000000003E-2</v>
      </c>
      <c r="I47" s="107">
        <v>90999.5</v>
      </c>
      <c r="J47" s="107">
        <v>24800</v>
      </c>
      <c r="K47" s="107">
        <v>-14008.591298418036</v>
      </c>
      <c r="L47" s="107">
        <v>5210757.0044792546</v>
      </c>
      <c r="M47" s="147">
        <v>3.5000000000000003E-2</v>
      </c>
      <c r="N47" s="107">
        <v>91188</v>
      </c>
      <c r="O47" s="147"/>
      <c r="P47" s="95">
        <v>182187.5</v>
      </c>
    </row>
    <row r="48" spans="1:16" x14ac:dyDescent="0.3">
      <c r="A48" s="105" t="s">
        <v>498</v>
      </c>
      <c r="B48" s="105">
        <v>1311060</v>
      </c>
      <c r="C48" s="105">
        <v>5501040</v>
      </c>
      <c r="D48" s="106" t="s">
        <v>499</v>
      </c>
      <c r="E48" s="108">
        <v>0</v>
      </c>
      <c r="F48" s="108">
        <v>-1074.7441110614957</v>
      </c>
      <c r="G48" s="108">
        <v>397009.85857255623</v>
      </c>
      <c r="H48" s="147">
        <v>2.1899999999999999E-2</v>
      </c>
      <c r="I48" s="108">
        <v>4347.5</v>
      </c>
      <c r="J48" s="108">
        <v>9200</v>
      </c>
      <c r="K48" s="108">
        <v>-1074.7441110614957</v>
      </c>
      <c r="L48" s="108">
        <v>405135.11446149473</v>
      </c>
      <c r="M48" s="147">
        <v>2.1899999999999999E-2</v>
      </c>
      <c r="N48" s="108">
        <v>4436</v>
      </c>
      <c r="O48" s="147"/>
      <c r="P48" s="95">
        <v>8783.5</v>
      </c>
    </row>
    <row r="49" spans="1:16" x14ac:dyDescent="0.3">
      <c r="A49" s="109"/>
      <c r="B49" s="109"/>
      <c r="C49" s="109"/>
      <c r="D49" s="95"/>
      <c r="E49" s="112"/>
      <c r="F49" s="112"/>
      <c r="G49" s="112"/>
      <c r="H49" s="143"/>
      <c r="I49" s="112"/>
      <c r="J49" s="112"/>
      <c r="K49" s="112"/>
      <c r="L49" s="112"/>
      <c r="M49" s="150"/>
      <c r="N49" s="112"/>
      <c r="O49" s="147"/>
      <c r="P49" s="95">
        <v>0</v>
      </c>
    </row>
    <row r="50" spans="1:16" x14ac:dyDescent="0.3">
      <c r="A50" s="109"/>
      <c r="B50" s="109"/>
      <c r="C50" s="109"/>
      <c r="D50" s="106" t="s">
        <v>455</v>
      </c>
      <c r="E50" s="108">
        <v>2020300</v>
      </c>
      <c r="F50" s="108">
        <v>-182900.24341970999</v>
      </c>
      <c r="G50" s="108">
        <v>69583545.079079419</v>
      </c>
      <c r="H50" s="142"/>
      <c r="I50" s="108">
        <v>987282</v>
      </c>
      <c r="J50" s="108">
        <v>1478500</v>
      </c>
      <c r="K50" s="108">
        <v>-182900.24341970999</v>
      </c>
      <c r="L50" s="108">
        <v>70879144.835659713</v>
      </c>
      <c r="M50" s="147"/>
      <c r="N50" s="108">
        <v>993409.5</v>
      </c>
      <c r="O50" s="147"/>
      <c r="P50" s="95">
        <v>1980691.5</v>
      </c>
    </row>
    <row r="51" spans="1:16" x14ac:dyDescent="0.3">
      <c r="A51" s="95"/>
      <c r="B51" s="95"/>
      <c r="C51" s="95"/>
      <c r="D51" s="95"/>
      <c r="E51" s="107"/>
      <c r="F51" s="107"/>
      <c r="G51" s="107"/>
      <c r="H51" s="142"/>
      <c r="I51" s="118"/>
      <c r="J51" s="107"/>
      <c r="K51" s="107"/>
      <c r="L51" s="107"/>
      <c r="M51" s="147"/>
      <c r="N51" s="118"/>
      <c r="O51" s="147"/>
      <c r="P51" s="95">
        <v>0</v>
      </c>
    </row>
    <row r="52" spans="1:16" x14ac:dyDescent="0.3">
      <c r="A52" s="109"/>
      <c r="B52" s="109"/>
      <c r="C52" s="109"/>
      <c r="D52" s="98" t="s">
        <v>500</v>
      </c>
      <c r="E52" s="107"/>
      <c r="F52" s="107"/>
      <c r="G52" s="107"/>
      <c r="H52" s="142"/>
      <c r="I52" s="118"/>
      <c r="J52" s="107"/>
      <c r="K52" s="107"/>
      <c r="L52" s="107"/>
      <c r="M52" s="147"/>
      <c r="N52" s="118"/>
      <c r="O52" s="147"/>
      <c r="P52" s="95">
        <v>0</v>
      </c>
    </row>
    <row r="53" spans="1:16" x14ac:dyDescent="0.3">
      <c r="A53" s="105" t="s">
        <v>501</v>
      </c>
      <c r="B53" s="105">
        <v>1311030</v>
      </c>
      <c r="C53" s="105" t="s">
        <v>451</v>
      </c>
      <c r="D53" s="106" t="s">
        <v>502</v>
      </c>
      <c r="E53" s="107">
        <v>3000</v>
      </c>
      <c r="F53" s="107">
        <v>-787.56699336686324</v>
      </c>
      <c r="G53" s="107">
        <v>293926.79590881796</v>
      </c>
      <c r="H53" s="147">
        <v>0</v>
      </c>
      <c r="I53" s="107">
        <v>0</v>
      </c>
      <c r="J53" s="107">
        <v>3000</v>
      </c>
      <c r="K53" s="107">
        <v>-787.56699336686324</v>
      </c>
      <c r="L53" s="107">
        <v>296139.22891545109</v>
      </c>
      <c r="M53" s="147">
        <v>0</v>
      </c>
      <c r="N53" s="107">
        <v>0</v>
      </c>
      <c r="O53" s="147"/>
      <c r="P53" s="95">
        <v>0</v>
      </c>
    </row>
    <row r="54" spans="1:16" x14ac:dyDescent="0.3">
      <c r="A54" s="105">
        <v>37401</v>
      </c>
      <c r="B54" s="105">
        <v>1311030</v>
      </c>
      <c r="C54" s="105" t="s">
        <v>451</v>
      </c>
      <c r="D54" s="106" t="s">
        <v>503</v>
      </c>
      <c r="E54" s="107">
        <v>0</v>
      </c>
      <c r="F54" s="107">
        <v>-192.15825035207934</v>
      </c>
      <c r="G54" s="107">
        <v>70983.147533118914</v>
      </c>
      <c r="H54" s="147">
        <v>0</v>
      </c>
      <c r="I54" s="107">
        <v>0</v>
      </c>
      <c r="J54" s="107">
        <v>0</v>
      </c>
      <c r="K54" s="107">
        <v>-192.15825035207934</v>
      </c>
      <c r="L54" s="107">
        <v>70790.989282766837</v>
      </c>
      <c r="M54" s="147">
        <v>0</v>
      </c>
      <c r="N54" s="107">
        <v>0</v>
      </c>
      <c r="O54" s="147"/>
      <c r="P54" s="95">
        <v>0</v>
      </c>
    </row>
    <row r="55" spans="1:16" x14ac:dyDescent="0.3">
      <c r="A55" s="105" t="s">
        <v>504</v>
      </c>
      <c r="B55" s="105">
        <v>1311070</v>
      </c>
      <c r="C55" s="105">
        <v>5501050</v>
      </c>
      <c r="D55" s="106" t="s">
        <v>492</v>
      </c>
      <c r="E55" s="107">
        <v>0</v>
      </c>
      <c r="F55" s="107">
        <v>-317.83249246172375</v>
      </c>
      <c r="G55" s="107">
        <v>117407.14053074906</v>
      </c>
      <c r="H55" s="147">
        <v>2.3400000000000001E-2</v>
      </c>
      <c r="I55" s="107">
        <v>1373.5</v>
      </c>
      <c r="J55" s="107">
        <v>0</v>
      </c>
      <c r="K55" s="107">
        <v>-317.83249246172375</v>
      </c>
      <c r="L55" s="107">
        <v>117089.30803828734</v>
      </c>
      <c r="M55" s="147">
        <v>2.3400000000000001E-2</v>
      </c>
      <c r="N55" s="107">
        <v>1370</v>
      </c>
      <c r="O55" s="147"/>
      <c r="P55" s="95">
        <v>2743.5</v>
      </c>
    </row>
    <row r="56" spans="1:16" x14ac:dyDescent="0.3">
      <c r="A56" s="105" t="s">
        <v>505</v>
      </c>
      <c r="B56" s="105">
        <v>1311070</v>
      </c>
      <c r="C56" s="105">
        <v>5501050</v>
      </c>
      <c r="D56" s="106" t="s">
        <v>321</v>
      </c>
      <c r="E56" s="107">
        <v>2440000</v>
      </c>
      <c r="F56" s="107">
        <v>-277455.31748573086</v>
      </c>
      <c r="G56" s="107">
        <v>104931835.23919852</v>
      </c>
      <c r="H56" s="147">
        <v>3.0499999999999999E-2</v>
      </c>
      <c r="I56" s="107">
        <v>1600210.5</v>
      </c>
      <c r="J56" s="107">
        <v>3960000</v>
      </c>
      <c r="K56" s="107">
        <v>-277455.31748573086</v>
      </c>
      <c r="L56" s="107">
        <v>108614379.92171279</v>
      </c>
      <c r="M56" s="147">
        <v>3.0499999999999999E-2</v>
      </c>
      <c r="N56" s="107">
        <v>1656369.5</v>
      </c>
      <c r="O56" s="147"/>
      <c r="P56" s="95">
        <v>3256580</v>
      </c>
    </row>
    <row r="57" spans="1:16" x14ac:dyDescent="0.3">
      <c r="A57" s="105" t="s">
        <v>506</v>
      </c>
      <c r="B57" s="105">
        <v>1311070</v>
      </c>
      <c r="C57" s="105">
        <v>5501050</v>
      </c>
      <c r="D57" s="106" t="s">
        <v>507</v>
      </c>
      <c r="E57" s="107">
        <v>34800</v>
      </c>
      <c r="F57" s="107">
        <v>-6084.5517095396035</v>
      </c>
      <c r="G57" s="107">
        <v>2282429.9137809407</v>
      </c>
      <c r="H57" s="147">
        <v>3.1800000000000002E-2</v>
      </c>
      <c r="I57" s="107">
        <v>36290.5</v>
      </c>
      <c r="J57" s="107">
        <v>35200</v>
      </c>
      <c r="K57" s="107">
        <v>-6084.5517095396035</v>
      </c>
      <c r="L57" s="107">
        <v>2311545.362071401</v>
      </c>
      <c r="M57" s="147">
        <v>3.1800000000000002E-2</v>
      </c>
      <c r="N57" s="107">
        <v>36753.5</v>
      </c>
      <c r="O57" s="147"/>
      <c r="P57" s="95">
        <v>73044</v>
      </c>
    </row>
    <row r="58" spans="1:16" x14ac:dyDescent="0.3">
      <c r="A58" s="105" t="s">
        <v>508</v>
      </c>
      <c r="B58" s="105">
        <v>1311070</v>
      </c>
      <c r="C58" s="105">
        <v>5501050</v>
      </c>
      <c r="D58" s="106" t="s">
        <v>509</v>
      </c>
      <c r="E58" s="107">
        <v>15000</v>
      </c>
      <c r="F58" s="107">
        <v>-2573.3980567370286</v>
      </c>
      <c r="G58" s="107">
        <v>965611.76706238335</v>
      </c>
      <c r="H58" s="147">
        <v>2.1700000000000001E-2</v>
      </c>
      <c r="I58" s="107">
        <v>10477</v>
      </c>
      <c r="J58" s="107">
        <v>15000</v>
      </c>
      <c r="K58" s="107">
        <v>-2573.3980567370286</v>
      </c>
      <c r="L58" s="107">
        <v>978038.36900564632</v>
      </c>
      <c r="M58" s="147">
        <v>2.1700000000000001E-2</v>
      </c>
      <c r="N58" s="107">
        <v>10611.5</v>
      </c>
      <c r="O58" s="147"/>
      <c r="P58" s="95">
        <v>21088.5</v>
      </c>
    </row>
    <row r="59" spans="1:16" x14ac:dyDescent="0.3">
      <c r="A59" s="106" t="s">
        <v>510</v>
      </c>
      <c r="B59" s="105">
        <v>1311070</v>
      </c>
      <c r="C59" s="105">
        <v>5501050</v>
      </c>
      <c r="D59" s="106" t="s">
        <v>511</v>
      </c>
      <c r="E59" s="107">
        <v>720000</v>
      </c>
      <c r="F59" s="107">
        <v>-65309.793353359608</v>
      </c>
      <c r="G59" s="107">
        <v>24845400.228535481</v>
      </c>
      <c r="H59" s="147">
        <v>3.1E-2</v>
      </c>
      <c r="I59" s="107">
        <v>385103.5</v>
      </c>
      <c r="J59" s="107">
        <v>720000</v>
      </c>
      <c r="K59" s="107">
        <v>-65309.793353359608</v>
      </c>
      <c r="L59" s="107">
        <v>25500090.435182121</v>
      </c>
      <c r="M59" s="147">
        <v>3.1E-2</v>
      </c>
      <c r="N59" s="107">
        <v>395251.5</v>
      </c>
      <c r="O59" s="95"/>
      <c r="P59" s="95">
        <v>780355</v>
      </c>
    </row>
    <row r="60" spans="1:16" x14ac:dyDescent="0.3">
      <c r="A60" s="105" t="s">
        <v>512</v>
      </c>
      <c r="B60" s="105">
        <v>1311070</v>
      </c>
      <c r="C60" s="105">
        <v>5501050</v>
      </c>
      <c r="D60" s="106" t="s">
        <v>513</v>
      </c>
      <c r="E60" s="107">
        <v>652200</v>
      </c>
      <c r="F60" s="107">
        <v>-28798.995773618739</v>
      </c>
      <c r="G60" s="107">
        <v>11290532.530916104</v>
      </c>
      <c r="H60" s="147">
        <v>2.86E-2</v>
      </c>
      <c r="I60" s="107">
        <v>161454.5</v>
      </c>
      <c r="J60" s="107">
        <v>214330</v>
      </c>
      <c r="K60" s="107">
        <v>-28798.995773618739</v>
      </c>
      <c r="L60" s="107">
        <v>11476063.535142485</v>
      </c>
      <c r="M60" s="147">
        <v>2.86E-2</v>
      </c>
      <c r="N60" s="107">
        <v>164107.5</v>
      </c>
      <c r="O60" s="147"/>
      <c r="P60" s="95">
        <v>325562</v>
      </c>
    </row>
    <row r="61" spans="1:16" x14ac:dyDescent="0.3">
      <c r="A61" s="105" t="s">
        <v>514</v>
      </c>
      <c r="B61" s="105">
        <v>1311070</v>
      </c>
      <c r="C61" s="105">
        <v>5501050</v>
      </c>
      <c r="D61" s="106" t="s">
        <v>515</v>
      </c>
      <c r="E61" s="107">
        <v>150000</v>
      </c>
      <c r="F61" s="107">
        <v>-15292.831918418155</v>
      </c>
      <c r="G61" s="107">
        <v>5799163.3446667623</v>
      </c>
      <c r="H61" s="147">
        <v>0.04</v>
      </c>
      <c r="I61" s="107">
        <v>115983.5</v>
      </c>
      <c r="J61" s="107">
        <v>150000</v>
      </c>
      <c r="K61" s="107">
        <v>-15292.831918418155</v>
      </c>
      <c r="L61" s="107">
        <v>5933870.5127483439</v>
      </c>
      <c r="M61" s="147">
        <v>0.04</v>
      </c>
      <c r="N61" s="107">
        <v>118677.5</v>
      </c>
      <c r="O61" s="147"/>
      <c r="P61" s="95">
        <v>234661</v>
      </c>
    </row>
    <row r="62" spans="1:16" x14ac:dyDescent="0.3">
      <c r="A62" s="105" t="s">
        <v>516</v>
      </c>
      <c r="B62" s="105">
        <v>1311070</v>
      </c>
      <c r="C62" s="105">
        <v>5501050</v>
      </c>
      <c r="D62" s="106" t="s">
        <v>517</v>
      </c>
      <c r="E62" s="107">
        <v>90000</v>
      </c>
      <c r="F62" s="107">
        <v>-12369.020079262929</v>
      </c>
      <c r="G62" s="107">
        <v>4659108.9272396145</v>
      </c>
      <c r="H62" s="147">
        <v>3.9600000000000003E-2</v>
      </c>
      <c r="I62" s="107">
        <v>92250.5</v>
      </c>
      <c r="J62" s="107">
        <v>89300</v>
      </c>
      <c r="K62" s="107">
        <v>-12369.020079262929</v>
      </c>
      <c r="L62" s="107">
        <v>4736039.907160352</v>
      </c>
      <c r="M62" s="147">
        <v>3.9600000000000003E-2</v>
      </c>
      <c r="N62" s="107">
        <v>93773.5</v>
      </c>
      <c r="O62" s="147"/>
      <c r="P62" s="95">
        <v>186024</v>
      </c>
    </row>
    <row r="63" spans="1:16" x14ac:dyDescent="0.3">
      <c r="A63" s="105" t="s">
        <v>518</v>
      </c>
      <c r="B63" s="105">
        <v>1311070</v>
      </c>
      <c r="C63" s="105">
        <v>5501050</v>
      </c>
      <c r="D63" s="106" t="s">
        <v>519</v>
      </c>
      <c r="E63" s="108">
        <v>25200</v>
      </c>
      <c r="F63" s="108">
        <v>-4922.7584114643614</v>
      </c>
      <c r="G63" s="108">
        <v>1843664.1354229297</v>
      </c>
      <c r="H63" s="147">
        <v>2.64E-2</v>
      </c>
      <c r="I63" s="108">
        <v>24336.5</v>
      </c>
      <c r="J63" s="108">
        <v>24800</v>
      </c>
      <c r="K63" s="108">
        <v>-4922.7584114643614</v>
      </c>
      <c r="L63" s="108">
        <v>1863541.3770114654</v>
      </c>
      <c r="M63" s="147">
        <v>2.64E-2</v>
      </c>
      <c r="N63" s="108">
        <v>24598.5</v>
      </c>
      <c r="O63" s="147"/>
      <c r="P63" s="95">
        <v>48935</v>
      </c>
    </row>
    <row r="64" spans="1:16" x14ac:dyDescent="0.3">
      <c r="A64" s="109"/>
      <c r="B64" s="109"/>
      <c r="C64" s="109"/>
      <c r="D64" s="95"/>
      <c r="E64" s="112"/>
      <c r="F64" s="112"/>
      <c r="G64" s="112"/>
      <c r="H64" s="143"/>
      <c r="I64" s="112"/>
      <c r="J64" s="112"/>
      <c r="K64" s="112"/>
      <c r="L64" s="112"/>
      <c r="M64" s="150"/>
      <c r="N64" s="112"/>
      <c r="O64" s="147"/>
      <c r="P64" s="95">
        <v>0</v>
      </c>
    </row>
    <row r="65" spans="1:16" x14ac:dyDescent="0.3">
      <c r="A65" s="109"/>
      <c r="B65" s="109"/>
      <c r="C65" s="109"/>
      <c r="D65" s="106" t="s">
        <v>455</v>
      </c>
      <c r="E65" s="108">
        <v>4130200</v>
      </c>
      <c r="F65" s="108">
        <v>-414104.22452431195</v>
      </c>
      <c r="G65" s="108">
        <v>157100063.17079541</v>
      </c>
      <c r="H65" s="142"/>
      <c r="I65" s="108">
        <v>2427480</v>
      </c>
      <c r="J65" s="108">
        <v>5211630</v>
      </c>
      <c r="K65" s="108">
        <v>-414104.22452431195</v>
      </c>
      <c r="L65" s="108">
        <v>161897588.94627109</v>
      </c>
      <c r="M65" s="147"/>
      <c r="N65" s="108">
        <v>2501513</v>
      </c>
      <c r="O65" s="147"/>
      <c r="P65" s="95">
        <v>4928993</v>
      </c>
    </row>
    <row r="66" spans="1:16" x14ac:dyDescent="0.3">
      <c r="A66" s="95"/>
      <c r="B66" s="95"/>
      <c r="C66" s="95"/>
      <c r="D66" s="95"/>
      <c r="E66" s="107"/>
      <c r="F66" s="107"/>
      <c r="G66" s="107"/>
      <c r="H66" s="95"/>
      <c r="I66" s="107"/>
      <c r="J66" s="107"/>
      <c r="K66" s="107"/>
      <c r="L66" s="107"/>
      <c r="M66" s="147"/>
      <c r="N66" s="107"/>
      <c r="O66" s="95"/>
      <c r="P66" s="95">
        <v>0</v>
      </c>
    </row>
    <row r="67" spans="1:16" x14ac:dyDescent="0.3">
      <c r="A67" s="95"/>
      <c r="B67" s="95"/>
      <c r="C67" s="95"/>
      <c r="D67" s="98" t="s">
        <v>520</v>
      </c>
      <c r="E67" s="107"/>
      <c r="F67" s="107"/>
      <c r="G67" s="107"/>
      <c r="H67" s="95"/>
      <c r="I67" s="107"/>
      <c r="J67" s="107"/>
      <c r="K67" s="107"/>
      <c r="L67" s="107"/>
      <c r="M67" s="147"/>
      <c r="N67" s="107"/>
      <c r="O67" s="147"/>
      <c r="P67" s="95">
        <v>0</v>
      </c>
    </row>
    <row r="68" spans="1:16" x14ac:dyDescent="0.3">
      <c r="A68" s="105" t="s">
        <v>521</v>
      </c>
      <c r="B68" s="105">
        <v>1331030</v>
      </c>
      <c r="C68" s="105" t="s">
        <v>451</v>
      </c>
      <c r="D68" s="106" t="s">
        <v>488</v>
      </c>
      <c r="E68" s="107">
        <v>0</v>
      </c>
      <c r="F68" s="107">
        <v>-2680.4260020999095</v>
      </c>
      <c r="G68" s="107">
        <v>990147.82872999401</v>
      </c>
      <c r="H68" s="147">
        <v>0</v>
      </c>
      <c r="I68" s="107">
        <v>0</v>
      </c>
      <c r="J68" s="107">
        <v>0</v>
      </c>
      <c r="K68" s="107">
        <v>-2680.4260020999095</v>
      </c>
      <c r="L68" s="107">
        <v>987467.40272789414</v>
      </c>
      <c r="M68" s="147">
        <v>0</v>
      </c>
      <c r="N68" s="107">
        <v>0</v>
      </c>
      <c r="O68" s="147"/>
      <c r="P68" s="95">
        <v>0</v>
      </c>
    </row>
    <row r="69" spans="1:16" x14ac:dyDescent="0.3">
      <c r="A69" s="105" t="s">
        <v>522</v>
      </c>
      <c r="B69" s="105">
        <v>1331090</v>
      </c>
      <c r="C69" s="105">
        <v>5501020</v>
      </c>
      <c r="D69" s="106" t="s">
        <v>471</v>
      </c>
      <c r="E69" s="107">
        <v>113000</v>
      </c>
      <c r="F69" s="107">
        <v>-17591.838206752018</v>
      </c>
      <c r="G69" s="107">
        <v>6611414.9497649912</v>
      </c>
      <c r="H69" s="147">
        <v>0.02</v>
      </c>
      <c r="I69" s="107">
        <v>66114</v>
      </c>
      <c r="J69" s="107">
        <v>297000</v>
      </c>
      <c r="K69" s="107">
        <v>-17591.838206752018</v>
      </c>
      <c r="L69" s="107">
        <v>6890823.111558239</v>
      </c>
      <c r="M69" s="147">
        <v>0.02</v>
      </c>
      <c r="N69" s="107">
        <v>68908</v>
      </c>
      <c r="O69" s="147"/>
      <c r="P69" s="95">
        <v>135022</v>
      </c>
    </row>
    <row r="70" spans="1:16" x14ac:dyDescent="0.3">
      <c r="A70" s="106" t="s">
        <v>523</v>
      </c>
      <c r="B70" s="105">
        <v>1331090</v>
      </c>
      <c r="C70" s="105">
        <v>5501070</v>
      </c>
      <c r="D70" s="110" t="s">
        <v>524</v>
      </c>
      <c r="E70" s="107">
        <v>0</v>
      </c>
      <c r="F70" s="107">
        <v>-484.36967549320434</v>
      </c>
      <c r="G70" s="107">
        <v>178925.88048187856</v>
      </c>
      <c r="H70" s="147">
        <v>0.01</v>
      </c>
      <c r="I70" s="107">
        <v>894.5</v>
      </c>
      <c r="J70" s="107">
        <v>0</v>
      </c>
      <c r="K70" s="107">
        <v>-484.36967549320434</v>
      </c>
      <c r="L70" s="107">
        <v>178441.51080638534</v>
      </c>
      <c r="M70" s="147">
        <v>0.01</v>
      </c>
      <c r="N70" s="107">
        <v>892</v>
      </c>
      <c r="O70" s="147"/>
      <c r="P70" s="95">
        <v>1786.5</v>
      </c>
    </row>
    <row r="71" spans="1:16" x14ac:dyDescent="0.3">
      <c r="A71" s="113">
        <v>391</v>
      </c>
      <c r="B71" s="105">
        <v>1331090</v>
      </c>
      <c r="C71" s="105">
        <v>5501070</v>
      </c>
      <c r="D71" s="110" t="s">
        <v>525</v>
      </c>
      <c r="E71" s="107">
        <v>37596</v>
      </c>
      <c r="F71" s="107">
        <v>-538.46036175648294</v>
      </c>
      <c r="G71" s="107">
        <v>236502.9489822372</v>
      </c>
      <c r="H71" s="147">
        <v>0.1</v>
      </c>
      <c r="I71" s="107">
        <v>11825</v>
      </c>
      <c r="J71" s="107">
        <v>37604</v>
      </c>
      <c r="K71" s="107">
        <v>-538.46036175648294</v>
      </c>
      <c r="L71" s="107">
        <v>273568.4886204807</v>
      </c>
      <c r="M71" s="147">
        <v>0.1</v>
      </c>
      <c r="N71" s="107">
        <v>13678.5</v>
      </c>
      <c r="O71" s="147"/>
      <c r="P71" s="95">
        <v>25503.5</v>
      </c>
    </row>
    <row r="72" spans="1:16" x14ac:dyDescent="0.3">
      <c r="A72" s="113">
        <v>3912</v>
      </c>
      <c r="B72" s="105">
        <v>1331090</v>
      </c>
      <c r="C72" s="105">
        <v>5501070</v>
      </c>
      <c r="D72" s="110" t="s">
        <v>526</v>
      </c>
      <c r="E72" s="107">
        <v>1220000</v>
      </c>
      <c r="F72" s="107">
        <v>-3555.9333910747532</v>
      </c>
      <c r="G72" s="107">
        <v>2533559.7563681277</v>
      </c>
      <c r="H72" s="147">
        <v>0.1</v>
      </c>
      <c r="I72" s="107">
        <v>126678</v>
      </c>
      <c r="J72" s="107">
        <v>374000</v>
      </c>
      <c r="K72" s="107">
        <v>-3555.9333910747532</v>
      </c>
      <c r="L72" s="107">
        <v>2904003.822977053</v>
      </c>
      <c r="M72" s="147">
        <v>0.1</v>
      </c>
      <c r="N72" s="107">
        <v>145200</v>
      </c>
      <c r="O72" s="147"/>
      <c r="P72" s="95">
        <v>271878</v>
      </c>
    </row>
    <row r="73" spans="1:16" x14ac:dyDescent="0.3">
      <c r="A73" s="105" t="s">
        <v>527</v>
      </c>
      <c r="B73" s="105">
        <v>1331090</v>
      </c>
      <c r="C73" s="105">
        <v>5501060</v>
      </c>
      <c r="D73" s="106" t="s">
        <v>528</v>
      </c>
      <c r="E73" s="107">
        <v>392300</v>
      </c>
      <c r="F73" s="107">
        <v>-18187.669694266599</v>
      </c>
      <c r="G73" s="107">
        <v>7110814.7597165946</v>
      </c>
      <c r="H73" s="147">
        <v>8.14E-2</v>
      </c>
      <c r="I73" s="107">
        <v>289410</v>
      </c>
      <c r="J73" s="107">
        <v>257700</v>
      </c>
      <c r="K73" s="107">
        <v>-18187.669694266599</v>
      </c>
      <c r="L73" s="107">
        <v>7350327.0900223283</v>
      </c>
      <c r="M73" s="147">
        <v>8.14E-2</v>
      </c>
      <c r="N73" s="107">
        <v>299158.5</v>
      </c>
      <c r="O73" s="147"/>
      <c r="P73" s="95">
        <v>588568.5</v>
      </c>
    </row>
    <row r="74" spans="1:16" x14ac:dyDescent="0.3">
      <c r="A74" s="105" t="s">
        <v>529</v>
      </c>
      <c r="B74" s="105">
        <v>1331090</v>
      </c>
      <c r="C74" s="105">
        <v>5501070</v>
      </c>
      <c r="D74" s="110" t="s">
        <v>530</v>
      </c>
      <c r="E74" s="107">
        <v>0</v>
      </c>
      <c r="F74" s="107">
        <v>-96.66295212019962</v>
      </c>
      <c r="G74" s="107">
        <v>35707.239105076973</v>
      </c>
      <c r="H74" s="147">
        <v>0.02</v>
      </c>
      <c r="I74" s="107">
        <v>0</v>
      </c>
      <c r="J74" s="107">
        <v>0</v>
      </c>
      <c r="K74" s="107">
        <v>-96.66295212019962</v>
      </c>
      <c r="L74" s="107">
        <v>35610.576152956775</v>
      </c>
      <c r="M74" s="147">
        <v>0.02</v>
      </c>
      <c r="N74" s="107">
        <v>0</v>
      </c>
      <c r="O74" s="147" t="s">
        <v>567</v>
      </c>
      <c r="P74" s="95">
        <v>0</v>
      </c>
    </row>
    <row r="75" spans="1:16" x14ac:dyDescent="0.3">
      <c r="A75" s="105" t="s">
        <v>531</v>
      </c>
      <c r="B75" s="105">
        <v>1331090</v>
      </c>
      <c r="C75" s="105">
        <v>5501070</v>
      </c>
      <c r="D75" s="110" t="s">
        <v>532</v>
      </c>
      <c r="E75" s="107">
        <v>15000</v>
      </c>
      <c r="F75" s="107">
        <v>-2955.3216636078432</v>
      </c>
      <c r="G75" s="107">
        <v>1106694.1285182135</v>
      </c>
      <c r="H75" s="147">
        <v>0.04</v>
      </c>
      <c r="I75" s="107">
        <v>22134</v>
      </c>
      <c r="J75" s="107">
        <v>15000</v>
      </c>
      <c r="K75" s="107">
        <v>-2955.3216636078432</v>
      </c>
      <c r="L75" s="107">
        <v>1118738.8068546057</v>
      </c>
      <c r="M75" s="147">
        <v>0.04</v>
      </c>
      <c r="N75" s="107">
        <v>22375</v>
      </c>
      <c r="O75" s="147"/>
      <c r="P75" s="95">
        <v>44509</v>
      </c>
    </row>
    <row r="76" spans="1:16" x14ac:dyDescent="0.3">
      <c r="A76" s="111" t="s">
        <v>533</v>
      </c>
      <c r="B76" s="105">
        <v>1331090</v>
      </c>
      <c r="C76" s="105">
        <v>5501070</v>
      </c>
      <c r="D76" s="110" t="s">
        <v>534</v>
      </c>
      <c r="E76" s="107">
        <v>0</v>
      </c>
      <c r="F76" s="107">
        <v>-7.3071511904876223</v>
      </c>
      <c r="G76" s="107">
        <v>2699.2574612374724</v>
      </c>
      <c r="H76" s="147">
        <v>0.04</v>
      </c>
      <c r="I76" s="107">
        <v>0</v>
      </c>
      <c r="J76" s="107">
        <v>0</v>
      </c>
      <c r="K76" s="107">
        <v>-7.3071511904876223</v>
      </c>
      <c r="L76" s="107">
        <v>2691.9503100469847</v>
      </c>
      <c r="M76" s="147">
        <v>0.04</v>
      </c>
      <c r="N76" s="107">
        <v>0</v>
      </c>
      <c r="O76" s="147" t="s">
        <v>567</v>
      </c>
      <c r="P76" s="95">
        <v>0</v>
      </c>
    </row>
    <row r="77" spans="1:16" x14ac:dyDescent="0.3">
      <c r="A77" s="105" t="s">
        <v>535</v>
      </c>
      <c r="B77" s="105">
        <v>1331090</v>
      </c>
      <c r="C77" s="105">
        <v>5501070</v>
      </c>
      <c r="D77" s="106" t="s">
        <v>201</v>
      </c>
      <c r="E77" s="107">
        <v>0</v>
      </c>
      <c r="F77" s="107">
        <v>-525.23219306077522</v>
      </c>
      <c r="G77" s="107">
        <v>194020.47104855505</v>
      </c>
      <c r="H77" s="147">
        <v>0.05</v>
      </c>
      <c r="I77" s="107">
        <v>4850.5</v>
      </c>
      <c r="J77" s="107">
        <v>0</v>
      </c>
      <c r="K77" s="107">
        <v>-525.23219306077522</v>
      </c>
      <c r="L77" s="107">
        <v>193495.23885549427</v>
      </c>
      <c r="M77" s="147">
        <v>0.05</v>
      </c>
      <c r="N77" s="107">
        <v>4837.5</v>
      </c>
      <c r="O77" s="147"/>
      <c r="P77" s="95">
        <v>9688</v>
      </c>
    </row>
    <row r="78" spans="1:16" x14ac:dyDescent="0.3">
      <c r="A78" s="105" t="s">
        <v>536</v>
      </c>
      <c r="B78" s="105">
        <v>1331090</v>
      </c>
      <c r="C78" s="105">
        <v>5501060</v>
      </c>
      <c r="D78" s="106" t="s">
        <v>356</v>
      </c>
      <c r="E78" s="107">
        <v>75600</v>
      </c>
      <c r="F78" s="107">
        <v>-13306.969367265794</v>
      </c>
      <c r="G78" s="107">
        <v>4991186.8565864079</v>
      </c>
      <c r="H78" s="147">
        <v>0.02</v>
      </c>
      <c r="I78" s="107">
        <v>49912</v>
      </c>
      <c r="J78" s="107">
        <v>137600</v>
      </c>
      <c r="K78" s="107">
        <v>-13306.969367265794</v>
      </c>
      <c r="L78" s="107">
        <v>5115479.8872191422</v>
      </c>
      <c r="M78" s="147">
        <v>0.02</v>
      </c>
      <c r="N78" s="107">
        <v>51155</v>
      </c>
      <c r="O78" s="147"/>
      <c r="P78" s="95">
        <v>101067</v>
      </c>
    </row>
    <row r="79" spans="1:16" x14ac:dyDescent="0.3">
      <c r="A79" s="105" t="s">
        <v>537</v>
      </c>
      <c r="B79" s="105">
        <v>1331090</v>
      </c>
      <c r="C79" s="105">
        <v>5501070</v>
      </c>
      <c r="D79" s="106" t="s">
        <v>228</v>
      </c>
      <c r="E79" s="107">
        <v>0</v>
      </c>
      <c r="F79" s="107">
        <v>-637.85039739286754</v>
      </c>
      <c r="G79" s="107">
        <v>235621.57117500264</v>
      </c>
      <c r="H79" s="147">
        <v>0.05</v>
      </c>
      <c r="I79" s="107">
        <v>5890.5</v>
      </c>
      <c r="J79" s="107">
        <v>0</v>
      </c>
      <c r="K79" s="107">
        <v>-637.85039739286754</v>
      </c>
      <c r="L79" s="107">
        <v>234983.72077760976</v>
      </c>
      <c r="M79" s="147">
        <v>0.05</v>
      </c>
      <c r="N79" s="107">
        <v>5874.5</v>
      </c>
      <c r="O79" s="147"/>
      <c r="P79" s="95">
        <v>11765</v>
      </c>
    </row>
    <row r="80" spans="1:16" x14ac:dyDescent="0.3">
      <c r="A80" s="105" t="s">
        <v>538</v>
      </c>
      <c r="B80" s="105">
        <v>1331090</v>
      </c>
      <c r="C80" s="105">
        <v>5501070</v>
      </c>
      <c r="D80" s="106" t="s">
        <v>232</v>
      </c>
      <c r="E80" s="107">
        <v>0</v>
      </c>
      <c r="F80" s="107">
        <v>-134.56741317069358</v>
      </c>
      <c r="G80" s="107">
        <v>49709.125289931377</v>
      </c>
      <c r="H80" s="147">
        <v>0.02</v>
      </c>
      <c r="I80" s="107">
        <v>497</v>
      </c>
      <c r="J80" s="107">
        <v>0</v>
      </c>
      <c r="K80" s="107">
        <v>-134.56741317069358</v>
      </c>
      <c r="L80" s="107">
        <v>49574.557876760686</v>
      </c>
      <c r="M80" s="147">
        <v>0.02</v>
      </c>
      <c r="N80" s="107">
        <v>495.5</v>
      </c>
      <c r="O80" s="147"/>
      <c r="P80" s="95">
        <v>992.5</v>
      </c>
    </row>
    <row r="81" spans="1:16" x14ac:dyDescent="0.3">
      <c r="A81" s="105">
        <v>39901</v>
      </c>
      <c r="B81" s="105">
        <v>1331090</v>
      </c>
      <c r="C81" s="105">
        <v>5501070</v>
      </c>
      <c r="D81" s="106" t="s">
        <v>539</v>
      </c>
      <c r="E81" s="108">
        <v>0</v>
      </c>
      <c r="F81" s="108">
        <v>-712.77888161944418</v>
      </c>
      <c r="G81" s="108">
        <v>263300.11029857927</v>
      </c>
      <c r="H81" s="147">
        <v>0.04</v>
      </c>
      <c r="I81" s="108">
        <v>0</v>
      </c>
      <c r="J81" s="108">
        <v>0</v>
      </c>
      <c r="K81" s="108">
        <v>-712.77888161944418</v>
      </c>
      <c r="L81" s="108">
        <v>262587.33141695982</v>
      </c>
      <c r="M81" s="147">
        <v>0.04</v>
      </c>
      <c r="N81" s="108">
        <v>0</v>
      </c>
      <c r="O81" s="147" t="s">
        <v>567</v>
      </c>
      <c r="P81" s="95">
        <v>0</v>
      </c>
    </row>
    <row r="82" spans="1:16" x14ac:dyDescent="0.3">
      <c r="A82" s="109"/>
      <c r="B82" s="109"/>
      <c r="C82" s="109"/>
      <c r="D82" s="95"/>
      <c r="E82" s="112"/>
      <c r="F82" s="112"/>
      <c r="G82" s="112"/>
      <c r="H82" s="143"/>
      <c r="I82" s="112"/>
      <c r="J82" s="112"/>
      <c r="K82" s="112"/>
      <c r="L82" s="112"/>
      <c r="M82" s="143"/>
      <c r="N82" s="112"/>
      <c r="O82" s="147"/>
      <c r="P82" s="147"/>
    </row>
    <row r="83" spans="1:16" x14ac:dyDescent="0.3">
      <c r="A83" s="109"/>
      <c r="B83" s="109"/>
      <c r="C83" s="109"/>
      <c r="D83" s="106" t="s">
        <v>455</v>
      </c>
      <c r="E83" s="108">
        <v>1853496</v>
      </c>
      <c r="F83" s="108">
        <v>-61415.38735087106</v>
      </c>
      <c r="G83" s="108">
        <v>24540304.883526824</v>
      </c>
      <c r="H83" s="142"/>
      <c r="I83" s="108">
        <v>578205.5</v>
      </c>
      <c r="J83" s="108">
        <v>1118904</v>
      </c>
      <c r="K83" s="108">
        <v>-61415.38735087106</v>
      </c>
      <c r="L83" s="108">
        <v>25597793.496175963</v>
      </c>
      <c r="M83" s="142"/>
      <c r="N83" s="108">
        <v>612574.5</v>
      </c>
      <c r="O83" s="95"/>
      <c r="P83" s="95">
        <v>1190780</v>
      </c>
    </row>
    <row r="84" spans="1:16" x14ac:dyDescent="0.3">
      <c r="A84" s="109"/>
      <c r="B84" s="109"/>
      <c r="C84" s="109"/>
      <c r="D84" s="106"/>
      <c r="E84" s="107"/>
      <c r="F84" s="107"/>
      <c r="G84" s="107"/>
      <c r="H84" s="142"/>
      <c r="I84" s="107"/>
      <c r="J84" s="107"/>
      <c r="K84" s="107"/>
      <c r="L84" s="107"/>
      <c r="M84" s="142"/>
      <c r="N84" s="107"/>
      <c r="O84" s="95"/>
      <c r="P84" s="95">
        <v>0</v>
      </c>
    </row>
    <row r="85" spans="1:16" x14ac:dyDescent="0.3">
      <c r="A85" s="109"/>
      <c r="B85" s="109"/>
      <c r="C85" s="109"/>
      <c r="D85" s="106" t="s">
        <v>540</v>
      </c>
      <c r="E85" s="108">
        <v>8949696</v>
      </c>
      <c r="F85" s="108">
        <v>-769893.00000000012</v>
      </c>
      <c r="G85" s="108">
        <v>293347728.89000005</v>
      </c>
      <c r="H85" s="142"/>
      <c r="I85" s="108">
        <v>4757763.5</v>
      </c>
      <c r="J85" s="108">
        <v>8662538</v>
      </c>
      <c r="K85" s="108">
        <v>-769893.00000000012</v>
      </c>
      <c r="L85" s="108">
        <v>301240373.88999999</v>
      </c>
      <c r="M85" s="142"/>
      <c r="N85" s="108">
        <v>4902194</v>
      </c>
      <c r="O85" s="95"/>
      <c r="P85" s="95">
        <v>9659957.5</v>
      </c>
    </row>
    <row r="86" spans="1:16" x14ac:dyDescent="0.3">
      <c r="A86" s="109"/>
      <c r="B86" s="109"/>
      <c r="C86" s="109"/>
      <c r="D86" s="109"/>
      <c r="E86" s="95"/>
      <c r="F86" s="95"/>
      <c r="G86" s="95"/>
      <c r="H86" s="142"/>
      <c r="I86" s="95"/>
      <c r="J86" s="116"/>
      <c r="K86" s="116"/>
      <c r="L86" s="95"/>
      <c r="M86" s="142"/>
      <c r="N86" s="95"/>
      <c r="O86" s="95"/>
      <c r="P86" s="95"/>
    </row>
    <row r="87" spans="1:16" x14ac:dyDescent="0.3">
      <c r="A87" s="109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hidden="1" x14ac:dyDescent="0.3">
      <c r="A88" s="95"/>
      <c r="B88" s="95"/>
      <c r="C88" s="95"/>
      <c r="D88" s="95"/>
      <c r="E88" s="106"/>
      <c r="F88" s="106"/>
      <c r="G88" s="106"/>
      <c r="H88" s="142" t="s">
        <v>449</v>
      </c>
      <c r="I88" s="95"/>
      <c r="J88" s="116"/>
      <c r="K88" s="116"/>
      <c r="L88" s="106"/>
      <c r="M88" s="142" t="s">
        <v>449</v>
      </c>
      <c r="N88" s="95"/>
      <c r="O88" s="95"/>
      <c r="P88" s="95"/>
    </row>
    <row r="89" spans="1:16" hidden="1" x14ac:dyDescent="0.3">
      <c r="A89" s="109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142"/>
      <c r="N89" s="95"/>
      <c r="O89" s="95"/>
      <c r="P89" s="95"/>
    </row>
    <row r="90" spans="1:16" hidden="1" x14ac:dyDescent="0.3">
      <c r="A90" s="109"/>
      <c r="B90" s="95"/>
      <c r="C90" s="117"/>
      <c r="D90" s="98"/>
      <c r="E90" s="94"/>
      <c r="F90" s="94"/>
      <c r="G90" s="121">
        <v>-1539786.0000000002</v>
      </c>
      <c r="H90" s="94"/>
      <c r="I90" s="94"/>
      <c r="J90" s="94"/>
      <c r="K90" s="94"/>
      <c r="L90" s="94"/>
      <c r="M90" s="151"/>
      <c r="N90" s="95"/>
      <c r="O90" s="95"/>
      <c r="P90" s="95"/>
    </row>
    <row r="91" spans="1:16" hidden="1" x14ac:dyDescent="0.3">
      <c r="A91" s="109"/>
      <c r="B91" s="122"/>
      <c r="C91" s="117"/>
      <c r="D91" s="95"/>
      <c r="E91" s="95"/>
      <c r="F91" s="95"/>
      <c r="G91" s="95"/>
      <c r="H91" s="95"/>
      <c r="I91" s="95"/>
      <c r="J91" s="95"/>
      <c r="K91" s="95"/>
      <c r="L91" s="95"/>
      <c r="M91" s="143"/>
      <c r="N91" s="95"/>
      <c r="O91" s="95"/>
      <c r="P91" s="95"/>
    </row>
    <row r="92" spans="1:16" hidden="1" x14ac:dyDescent="0.3">
      <c r="A92" s="109"/>
      <c r="B92" s="109"/>
      <c r="C92" s="109"/>
      <c r="D92" s="95" t="s">
        <v>541</v>
      </c>
      <c r="E92" s="95"/>
      <c r="F92" s="95"/>
      <c r="G92" s="95"/>
      <c r="H92" s="143"/>
      <c r="I92" s="152"/>
      <c r="J92" s="94"/>
      <c r="K92" s="94"/>
      <c r="L92" s="95"/>
      <c r="M92" s="143"/>
      <c r="N92" s="152"/>
      <c r="O92" s="95"/>
      <c r="P92" s="95"/>
    </row>
    <row r="93" spans="1:16" hidden="1" x14ac:dyDescent="0.3">
      <c r="A93" s="109"/>
      <c r="B93" s="109"/>
      <c r="C93" s="109"/>
      <c r="D93" s="95"/>
      <c r="E93" s="95"/>
      <c r="F93" s="95"/>
      <c r="G93" s="95"/>
      <c r="H93" s="143"/>
      <c r="I93" s="152"/>
      <c r="J93" s="94"/>
      <c r="K93" s="94"/>
      <c r="L93" s="95"/>
      <c r="M93" s="143"/>
      <c r="N93" s="152"/>
      <c r="O93" s="95"/>
      <c r="P93" s="95"/>
    </row>
    <row r="94" spans="1:16" hidden="1" x14ac:dyDescent="0.3">
      <c r="A94" s="109"/>
      <c r="B94" s="109"/>
      <c r="C94" s="109"/>
      <c r="D94" s="95"/>
      <c r="E94" s="95"/>
      <c r="F94" s="113"/>
      <c r="G94" s="95"/>
      <c r="H94" s="143"/>
      <c r="I94" s="153"/>
      <c r="J94" s="94"/>
      <c r="K94" s="94"/>
      <c r="L94" s="95"/>
      <c r="M94" s="143"/>
      <c r="N94" s="153"/>
      <c r="O94" s="95"/>
      <c r="P94" s="95"/>
    </row>
    <row r="95" spans="1:16" hidden="1" x14ac:dyDescent="0.3">
      <c r="A95" s="109"/>
      <c r="B95" s="109"/>
      <c r="C95" s="109"/>
      <c r="D95" s="95"/>
      <c r="E95" s="95"/>
      <c r="F95" s="113"/>
      <c r="G95" s="154"/>
      <c r="H95" s="143"/>
      <c r="I95" s="153"/>
      <c r="J95" s="94"/>
      <c r="K95" s="94"/>
      <c r="L95" s="154"/>
      <c r="M95" s="143"/>
      <c r="N95" s="153"/>
      <c r="O95" s="95"/>
      <c r="P95" s="131"/>
    </row>
    <row r="96" spans="1:16" hidden="1" x14ac:dyDescent="0.3">
      <c r="A96" s="109"/>
      <c r="B96" s="109"/>
      <c r="C96" s="109"/>
      <c r="D96" s="123" t="s">
        <v>542</v>
      </c>
      <c r="E96" s="95"/>
      <c r="F96" s="95"/>
      <c r="G96" s="95"/>
      <c r="H96" s="143"/>
      <c r="I96" s="152"/>
      <c r="J96" s="94"/>
      <c r="K96" s="94"/>
      <c r="L96" s="95"/>
      <c r="M96" s="143"/>
      <c r="N96" s="152"/>
      <c r="O96" s="95"/>
      <c r="P96" s="155"/>
    </row>
    <row r="97" spans="1:16" hidden="1" x14ac:dyDescent="0.3">
      <c r="A97" s="95"/>
      <c r="B97" s="95"/>
      <c r="C97" s="95"/>
      <c r="D97" s="106"/>
      <c r="E97" s="124"/>
      <c r="F97" s="124"/>
      <c r="G97" s="95"/>
      <c r="H97" s="143"/>
      <c r="I97" s="152"/>
      <c r="J97" s="95"/>
      <c r="K97" s="95"/>
      <c r="L97" s="95"/>
      <c r="M97" s="143"/>
      <c r="N97" s="152"/>
      <c r="O97" s="95"/>
      <c r="P97" s="95"/>
    </row>
    <row r="98" spans="1:16" hidden="1" x14ac:dyDescent="0.3">
      <c r="A98" s="109"/>
      <c r="B98" s="109"/>
      <c r="C98" s="109"/>
      <c r="D98" s="95" t="s">
        <v>543</v>
      </c>
      <c r="E98" s="95"/>
      <c r="F98" s="95"/>
      <c r="G98" s="156"/>
      <c r="H98" s="157" t="s">
        <v>568</v>
      </c>
      <c r="I98" s="158"/>
      <c r="J98" s="95"/>
      <c r="K98" s="95"/>
      <c r="L98" s="159"/>
      <c r="M98" s="157" t="s">
        <v>568</v>
      </c>
      <c r="N98" s="158"/>
      <c r="O98" s="95"/>
      <c r="P98" s="95"/>
    </row>
    <row r="99" spans="1:16" ht="15" hidden="1" thickBot="1" x14ac:dyDescent="0.35">
      <c r="A99" s="109"/>
      <c r="B99" s="109"/>
      <c r="C99" s="109"/>
      <c r="D99" s="125">
        <v>1130239</v>
      </c>
      <c r="E99" s="95"/>
      <c r="F99" s="95"/>
      <c r="G99" s="160"/>
      <c r="H99" s="161" t="s">
        <v>569</v>
      </c>
      <c r="I99" s="162">
        <v>0</v>
      </c>
      <c r="J99" s="95"/>
      <c r="K99" s="95"/>
      <c r="L99" s="163"/>
      <c r="M99" s="161" t="s">
        <v>570</v>
      </c>
      <c r="N99" s="162">
        <v>0</v>
      </c>
      <c r="O99" s="95"/>
      <c r="P99" s="95"/>
    </row>
    <row r="100" spans="1:16" hidden="1" x14ac:dyDescent="0.3">
      <c r="A100" s="109"/>
      <c r="B100" s="109"/>
      <c r="C100" s="109"/>
      <c r="D100" s="95"/>
      <c r="E100" s="95"/>
      <c r="F100" s="95"/>
      <c r="G100" s="95"/>
      <c r="H100" s="143"/>
      <c r="I100" s="95"/>
      <c r="J100" s="95"/>
      <c r="K100" s="95"/>
      <c r="L100" s="143"/>
      <c r="M100" s="152"/>
      <c r="N100" s="95"/>
      <c r="O100" s="95"/>
      <c r="P100" s="95"/>
    </row>
    <row r="101" spans="1:16" hidden="1" x14ac:dyDescent="0.3">
      <c r="A101" s="109"/>
      <c r="B101" s="109"/>
      <c r="C101" s="109"/>
      <c r="D101" s="95" t="s">
        <v>544</v>
      </c>
      <c r="E101" s="95"/>
      <c r="F101" s="95"/>
      <c r="G101" s="95"/>
      <c r="H101" s="143"/>
      <c r="I101" s="95">
        <v>0</v>
      </c>
      <c r="J101" s="95"/>
      <c r="K101" s="95"/>
      <c r="L101" s="143"/>
      <c r="M101" s="152"/>
      <c r="N101" s="95">
        <v>0</v>
      </c>
      <c r="O101" s="95"/>
      <c r="P101" s="95">
        <v>0</v>
      </c>
    </row>
    <row r="102" spans="1:16" hidden="1" x14ac:dyDescent="0.3">
      <c r="A102" s="109"/>
      <c r="B102" s="109"/>
      <c r="C102" s="109"/>
      <c r="D102" s="126">
        <v>1949332</v>
      </c>
      <c r="E102" s="95"/>
      <c r="F102" s="95"/>
      <c r="G102" s="124"/>
      <c r="H102" s="95"/>
      <c r="I102" s="124"/>
      <c r="J102" s="124"/>
      <c r="K102" s="124"/>
      <c r="L102" s="95"/>
      <c r="M102" s="95"/>
      <c r="N102" s="95"/>
      <c r="O102" s="95"/>
      <c r="P102" s="95"/>
    </row>
    <row r="103" spans="1:16" hidden="1" x14ac:dyDescent="0.3">
      <c r="A103" s="109"/>
      <c r="B103" s="109"/>
      <c r="C103" s="109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1:16" hidden="1" x14ac:dyDescent="0.3">
      <c r="A104" s="95"/>
      <c r="B104" s="95"/>
      <c r="C104" s="95"/>
      <c r="D104" s="95" t="s">
        <v>545</v>
      </c>
      <c r="E104" s="95"/>
      <c r="F104" s="95"/>
      <c r="G104" s="95"/>
      <c r="H104" s="95"/>
      <c r="I104" s="95"/>
      <c r="J104" s="131" t="s">
        <v>571</v>
      </c>
      <c r="K104" s="164">
        <v>0</v>
      </c>
      <c r="L104" s="95"/>
      <c r="M104" s="95"/>
      <c r="N104" s="95"/>
      <c r="O104" s="95"/>
      <c r="P104" s="95"/>
    </row>
    <row r="105" spans="1:16" hidden="1" x14ac:dyDescent="0.3">
      <c r="A105" s="95"/>
      <c r="B105" s="95"/>
      <c r="C105" s="95"/>
      <c r="D105" s="128">
        <f>ROUND((D99+D102)/2,0)</f>
        <v>1539786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16" hidden="1" x14ac:dyDescent="0.3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1:16" hidden="1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1:16" hidden="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1:16" hidden="1" x14ac:dyDescent="0.3">
      <c r="A109" s="95"/>
      <c r="B109" s="95"/>
      <c r="C109" s="95"/>
      <c r="D109" s="95" t="s">
        <v>546</v>
      </c>
      <c r="E109" s="95"/>
      <c r="F109" s="95"/>
      <c r="G109" s="95"/>
      <c r="H109" s="95"/>
      <c r="I109" s="95"/>
      <c r="J109" s="95"/>
      <c r="K109" s="95"/>
      <c r="L109" s="130">
        <v>301240373.88999999</v>
      </c>
      <c r="M109" s="95"/>
      <c r="N109" s="95"/>
      <c r="O109" s="95"/>
      <c r="P109" s="95"/>
    </row>
    <row r="110" spans="1:16" hidden="1" x14ac:dyDescent="0.3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1:16" hidden="1" x14ac:dyDescent="0.3">
      <c r="A111" s="95"/>
      <c r="B111" s="95"/>
      <c r="C111" s="95"/>
      <c r="D111" s="95" t="s">
        <v>547</v>
      </c>
      <c r="E111" s="95"/>
      <c r="F111" s="95"/>
      <c r="G111" s="95"/>
      <c r="H111" s="95"/>
      <c r="I111" s="95"/>
      <c r="J111" s="95"/>
      <c r="K111" s="95"/>
      <c r="L111" s="130">
        <v>0</v>
      </c>
      <c r="M111" s="95"/>
      <c r="N111" s="95"/>
      <c r="O111" s="95"/>
      <c r="P111" s="95"/>
    </row>
    <row r="112" spans="1:16" hidden="1" x14ac:dyDescent="0.3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4:16" hidden="1" x14ac:dyDescent="0.3">
      <c r="D113" s="95"/>
      <c r="E113" s="95"/>
      <c r="F113" s="95"/>
      <c r="G113" s="95"/>
      <c r="H113" s="95"/>
      <c r="I113" s="95"/>
      <c r="J113" s="95"/>
      <c r="K113" s="95"/>
      <c r="L113" s="134">
        <v>301240373.88999999</v>
      </c>
      <c r="M113" s="95"/>
      <c r="N113" s="95"/>
      <c r="O113" s="95"/>
      <c r="P113" s="95"/>
    </row>
    <row r="114" spans="4:16" hidden="1" x14ac:dyDescent="0.3"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4:16" hidden="1" x14ac:dyDescent="0.3">
      <c r="D115" s="95" t="s">
        <v>546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4:16" hidden="1" x14ac:dyDescent="0.3">
      <c r="D116" s="95" t="s">
        <v>549</v>
      </c>
      <c r="E116" s="95"/>
      <c r="F116" s="95"/>
      <c r="G116" s="95"/>
      <c r="H116" s="95"/>
      <c r="I116" s="95"/>
      <c r="J116" s="95"/>
      <c r="K116" s="95" t="s">
        <v>572</v>
      </c>
      <c r="L116" s="134" t="e">
        <f>#REF!</f>
        <v>#REF!</v>
      </c>
      <c r="M116" s="95"/>
      <c r="N116" s="95" t="s">
        <v>573</v>
      </c>
      <c r="O116" s="95"/>
      <c r="P116" s="95"/>
    </row>
    <row r="117" spans="4:16" hidden="1" x14ac:dyDescent="0.3">
      <c r="D117" s="95"/>
      <c r="E117" s="95"/>
      <c r="F117" s="95"/>
      <c r="G117" s="95"/>
      <c r="H117" s="95"/>
      <c r="I117" s="95"/>
      <c r="J117" s="95"/>
      <c r="K117" s="95" t="s">
        <v>574</v>
      </c>
      <c r="L117" s="134" t="e">
        <f>#REF!</f>
        <v>#REF!</v>
      </c>
      <c r="M117" s="95"/>
      <c r="N117" s="95" t="s">
        <v>573</v>
      </c>
      <c r="O117" s="95"/>
      <c r="P117" s="95"/>
    </row>
    <row r="118" spans="4:16" hidden="1" x14ac:dyDescent="0.3">
      <c r="D118" s="95" t="s">
        <v>552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4:16" hidden="1" x14ac:dyDescent="0.3">
      <c r="D119" s="95"/>
      <c r="E119" s="95"/>
      <c r="F119" s="95"/>
      <c r="G119" s="95"/>
      <c r="H119" s="95"/>
      <c r="I119" s="95"/>
      <c r="J119" s="95"/>
      <c r="K119" s="95" t="s">
        <v>575</v>
      </c>
      <c r="L119" s="165">
        <f>'[38]Dec 20 &amp; Jan 21 BS'!E9</f>
        <v>4585903.09</v>
      </c>
      <c r="M119" s="95"/>
      <c r="N119" s="95" t="s">
        <v>576</v>
      </c>
      <c r="O119" s="95"/>
      <c r="P119" s="95"/>
    </row>
    <row r="120" spans="4:16" hidden="1" x14ac:dyDescent="0.3"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4:16" hidden="1" x14ac:dyDescent="0.3">
      <c r="D121" s="95"/>
      <c r="E121" s="95"/>
      <c r="F121" s="95"/>
      <c r="G121" s="95"/>
      <c r="H121" s="95"/>
      <c r="I121" s="95"/>
      <c r="J121" s="95"/>
      <c r="K121" s="95"/>
      <c r="L121" s="134" t="e">
        <f>SUM(L113:L119)</f>
        <v>#REF!</v>
      </c>
      <c r="M121" s="95" t="s">
        <v>577</v>
      </c>
      <c r="N121" s="95"/>
      <c r="O121" s="95"/>
      <c r="P121" s="95"/>
    </row>
    <row r="122" spans="4:16" ht="15" hidden="1" x14ac:dyDescent="0.35">
      <c r="D122" s="95"/>
      <c r="E122" s="95"/>
      <c r="F122" s="95"/>
      <c r="G122" s="95"/>
      <c r="H122" s="95"/>
      <c r="I122" s="95"/>
      <c r="J122" s="95"/>
      <c r="K122" s="95"/>
      <c r="L122" s="133">
        <f>'[38]2022 capex &amp; dep'!AD48</f>
        <v>309545058.56</v>
      </c>
      <c r="M122" s="95" t="s">
        <v>578</v>
      </c>
      <c r="N122" s="95"/>
      <c r="O122" s="95"/>
      <c r="P122" s="95"/>
    </row>
    <row r="123" spans="4:16" hidden="1" x14ac:dyDescent="0.3">
      <c r="D123" s="95"/>
      <c r="E123" s="95"/>
      <c r="F123" s="95"/>
      <c r="G123" s="95"/>
      <c r="H123" s="95"/>
      <c r="I123" s="95"/>
      <c r="J123" s="95"/>
      <c r="K123" s="95"/>
      <c r="L123" s="134" t="e">
        <f>L121-L122</f>
        <v>#REF!</v>
      </c>
      <c r="M123" s="95" t="s">
        <v>579</v>
      </c>
      <c r="N123" s="95" t="s">
        <v>580</v>
      </c>
      <c r="O123" s="95"/>
      <c r="P123" s="95"/>
    </row>
    <row r="124" spans="4:16" hidden="1" x14ac:dyDescent="0.3"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4:16" hidden="1" x14ac:dyDescent="0.3"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4:16" hidden="1" x14ac:dyDescent="0.3"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4:16" hidden="1" x14ac:dyDescent="0.3">
      <c r="D127" s="95"/>
      <c r="E127" s="95"/>
      <c r="F127" s="95"/>
      <c r="G127" s="95"/>
      <c r="H127" s="95"/>
      <c r="I127" s="95"/>
      <c r="J127" s="95"/>
      <c r="K127" s="95"/>
      <c r="L127" s="130">
        <f>'[38]Rate Base'!I5</f>
        <v>301255706.79076922</v>
      </c>
      <c r="M127" s="95" t="s">
        <v>581</v>
      </c>
      <c r="N127" s="95"/>
      <c r="O127" s="95"/>
      <c r="P127" s="95"/>
    </row>
    <row r="128" spans="4:16" hidden="1" x14ac:dyDescent="0.3"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14:14" hidden="1" x14ac:dyDescent="0.3">
      <c r="N129" s="95"/>
    </row>
    <row r="130" spans="14:14" hidden="1" x14ac:dyDescent="0.3">
      <c r="N130" s="95" t="s">
        <v>582</v>
      </c>
    </row>
    <row r="131" spans="14:14" hidden="1" x14ac:dyDescent="0.3">
      <c r="N131" s="95"/>
    </row>
    <row r="132" spans="14:14" hidden="1" x14ac:dyDescent="0.3">
      <c r="N132" s="95"/>
    </row>
    <row r="133" spans="14:14" hidden="1" x14ac:dyDescent="0.3">
      <c r="N133" s="95"/>
    </row>
    <row r="134" spans="14:14" hidden="1" x14ac:dyDescent="0.3">
      <c r="N134" s="95"/>
    </row>
    <row r="135" spans="14:14" hidden="1" x14ac:dyDescent="0.3">
      <c r="N135" s="95"/>
    </row>
    <row r="136" spans="14:14" hidden="1" x14ac:dyDescent="0.3">
      <c r="N136" s="95"/>
    </row>
    <row r="137" spans="14:14" hidden="1" x14ac:dyDescent="0.3">
      <c r="N137" s="97"/>
    </row>
    <row r="138" spans="14:14" hidden="1" x14ac:dyDescent="0.3">
      <c r="N138" s="97"/>
    </row>
    <row r="139" spans="14:14" x14ac:dyDescent="0.3">
      <c r="N139" s="97"/>
    </row>
  </sheetData>
  <pageMargins left="0.7" right="0.7" top="0.75" bottom="0.75" header="0.3" footer="0.3"/>
  <pageSetup scale="48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BE0D-1E67-4A78-B707-AA087969DE5F}">
  <sheetPr>
    <tabColor rgb="FF66FF33"/>
    <pageSetUpPr fitToPage="1"/>
  </sheetPr>
  <dimension ref="A1:AO140"/>
  <sheetViews>
    <sheetView topLeftCell="A25" workbookViewId="0">
      <selection activeCell="G32" sqref="G32"/>
    </sheetView>
  </sheetViews>
  <sheetFormatPr defaultColWidth="11" defaultRowHeight="14.4" x14ac:dyDescent="0.3"/>
  <cols>
    <col min="1" max="1" width="7.5546875" customWidth="1"/>
    <col min="2" max="3" width="9.5546875" customWidth="1"/>
    <col min="4" max="4" width="37.6640625" bestFit="1" customWidth="1"/>
    <col min="5" max="5" width="9.5546875" customWidth="1"/>
    <col min="6" max="8" width="9.6640625" customWidth="1"/>
    <col min="9" max="9" width="9.44140625" customWidth="1"/>
    <col min="10" max="10" width="10.33203125" customWidth="1"/>
    <col min="11" max="11" width="10" customWidth="1"/>
    <col min="12" max="12" width="9.6640625" customWidth="1"/>
    <col min="13" max="16" width="9.5546875" customWidth="1"/>
    <col min="17" max="17" width="12" customWidth="1"/>
    <col min="18" max="18" width="4.33203125" customWidth="1"/>
    <col min="19" max="19" width="13.5546875" bestFit="1" customWidth="1"/>
    <col min="22" max="34" width="15.5546875" hidden="1" customWidth="1"/>
    <col min="35" max="35" width="0" hidden="1" customWidth="1"/>
    <col min="36" max="36" width="12" hidden="1" customWidth="1"/>
    <col min="37" max="37" width="0" hidden="1" customWidth="1"/>
    <col min="38" max="38" width="13.5546875" hidden="1" customWidth="1"/>
    <col min="39" max="40" width="0" hidden="1" customWidth="1"/>
    <col min="239" max="239" width="7.5546875" customWidth="1"/>
    <col min="240" max="241" width="9.5546875" customWidth="1"/>
    <col min="242" max="242" width="32.6640625" customWidth="1"/>
    <col min="243" max="246" width="13.6640625" customWidth="1"/>
    <col min="247" max="247" width="11.5546875" customWidth="1"/>
    <col min="248" max="248" width="11.109375" customWidth="1"/>
    <col min="249" max="249" width="12.44140625" customWidth="1"/>
    <col min="250" max="250" width="8.88671875" customWidth="1"/>
    <col min="251" max="251" width="13.33203125" customWidth="1"/>
    <col min="252" max="252" width="11.33203125" customWidth="1"/>
    <col min="253" max="253" width="10.6640625" customWidth="1"/>
    <col min="254" max="254" width="11.33203125" customWidth="1"/>
    <col min="255" max="255" width="8.6640625" customWidth="1"/>
    <col min="256" max="256" width="13.88671875" customWidth="1"/>
    <col min="257" max="257" width="10.88671875" customWidth="1"/>
    <col min="258" max="258" width="9.88671875" customWidth="1"/>
    <col min="259" max="270" width="10.44140625" customWidth="1"/>
    <col min="271" max="271" width="12" customWidth="1"/>
    <col min="495" max="495" width="7.5546875" customWidth="1"/>
    <col min="496" max="497" width="9.5546875" customWidth="1"/>
    <col min="498" max="498" width="32.6640625" customWidth="1"/>
    <col min="499" max="502" width="13.6640625" customWidth="1"/>
    <col min="503" max="503" width="11.5546875" customWidth="1"/>
    <col min="504" max="504" width="11.109375" customWidth="1"/>
    <col min="505" max="505" width="12.44140625" customWidth="1"/>
    <col min="506" max="506" width="8.88671875" customWidth="1"/>
    <col min="507" max="507" width="13.33203125" customWidth="1"/>
    <col min="508" max="508" width="11.33203125" customWidth="1"/>
    <col min="509" max="509" width="10.6640625" customWidth="1"/>
    <col min="510" max="510" width="11.33203125" customWidth="1"/>
    <col min="511" max="511" width="8.6640625" customWidth="1"/>
    <col min="512" max="512" width="13.88671875" customWidth="1"/>
    <col min="513" max="513" width="10.88671875" customWidth="1"/>
    <col min="514" max="514" width="9.88671875" customWidth="1"/>
    <col min="515" max="526" width="10.44140625" customWidth="1"/>
    <col min="527" max="527" width="12" customWidth="1"/>
    <col min="751" max="751" width="7.5546875" customWidth="1"/>
    <col min="752" max="753" width="9.5546875" customWidth="1"/>
    <col min="754" max="754" width="32.6640625" customWidth="1"/>
    <col min="755" max="758" width="13.6640625" customWidth="1"/>
    <col min="759" max="759" width="11.5546875" customWidth="1"/>
    <col min="760" max="760" width="11.109375" customWidth="1"/>
    <col min="761" max="761" width="12.44140625" customWidth="1"/>
    <col min="762" max="762" width="8.88671875" customWidth="1"/>
    <col min="763" max="763" width="13.33203125" customWidth="1"/>
    <col min="764" max="764" width="11.33203125" customWidth="1"/>
    <col min="765" max="765" width="10.6640625" customWidth="1"/>
    <col min="766" max="766" width="11.33203125" customWidth="1"/>
    <col min="767" max="767" width="8.6640625" customWidth="1"/>
    <col min="768" max="768" width="13.88671875" customWidth="1"/>
    <col min="769" max="769" width="10.88671875" customWidth="1"/>
    <col min="770" max="770" width="9.88671875" customWidth="1"/>
    <col min="771" max="782" width="10.44140625" customWidth="1"/>
    <col min="783" max="783" width="12" customWidth="1"/>
    <col min="1007" max="1007" width="7.5546875" customWidth="1"/>
    <col min="1008" max="1009" width="9.5546875" customWidth="1"/>
    <col min="1010" max="1010" width="32.6640625" customWidth="1"/>
    <col min="1011" max="1014" width="13.6640625" customWidth="1"/>
    <col min="1015" max="1015" width="11.5546875" customWidth="1"/>
    <col min="1016" max="1016" width="11.109375" customWidth="1"/>
    <col min="1017" max="1017" width="12.44140625" customWidth="1"/>
    <col min="1018" max="1018" width="8.88671875" customWidth="1"/>
    <col min="1019" max="1019" width="13.33203125" customWidth="1"/>
    <col min="1020" max="1020" width="11.33203125" customWidth="1"/>
    <col min="1021" max="1021" width="10.6640625" customWidth="1"/>
    <col min="1022" max="1022" width="11.33203125" customWidth="1"/>
    <col min="1023" max="1023" width="8.6640625" customWidth="1"/>
    <col min="1024" max="1024" width="13.88671875" customWidth="1"/>
    <col min="1025" max="1025" width="10.88671875" customWidth="1"/>
    <col min="1026" max="1026" width="9.88671875" customWidth="1"/>
    <col min="1027" max="1038" width="10.44140625" customWidth="1"/>
    <col min="1039" max="1039" width="12" customWidth="1"/>
    <col min="1263" max="1263" width="7.5546875" customWidth="1"/>
    <col min="1264" max="1265" width="9.5546875" customWidth="1"/>
    <col min="1266" max="1266" width="32.6640625" customWidth="1"/>
    <col min="1267" max="1270" width="13.6640625" customWidth="1"/>
    <col min="1271" max="1271" width="11.5546875" customWidth="1"/>
    <col min="1272" max="1272" width="11.109375" customWidth="1"/>
    <col min="1273" max="1273" width="12.44140625" customWidth="1"/>
    <col min="1274" max="1274" width="8.88671875" customWidth="1"/>
    <col min="1275" max="1275" width="13.33203125" customWidth="1"/>
    <col min="1276" max="1276" width="11.33203125" customWidth="1"/>
    <col min="1277" max="1277" width="10.6640625" customWidth="1"/>
    <col min="1278" max="1278" width="11.33203125" customWidth="1"/>
    <col min="1279" max="1279" width="8.6640625" customWidth="1"/>
    <col min="1280" max="1280" width="13.88671875" customWidth="1"/>
    <col min="1281" max="1281" width="10.88671875" customWidth="1"/>
    <col min="1282" max="1282" width="9.88671875" customWidth="1"/>
    <col min="1283" max="1294" width="10.44140625" customWidth="1"/>
    <col min="1295" max="1295" width="12" customWidth="1"/>
    <col min="1519" max="1519" width="7.5546875" customWidth="1"/>
    <col min="1520" max="1521" width="9.5546875" customWidth="1"/>
    <col min="1522" max="1522" width="32.6640625" customWidth="1"/>
    <col min="1523" max="1526" width="13.6640625" customWidth="1"/>
    <col min="1527" max="1527" width="11.5546875" customWidth="1"/>
    <col min="1528" max="1528" width="11.109375" customWidth="1"/>
    <col min="1529" max="1529" width="12.44140625" customWidth="1"/>
    <col min="1530" max="1530" width="8.88671875" customWidth="1"/>
    <col min="1531" max="1531" width="13.33203125" customWidth="1"/>
    <col min="1532" max="1532" width="11.33203125" customWidth="1"/>
    <col min="1533" max="1533" width="10.6640625" customWidth="1"/>
    <col min="1534" max="1534" width="11.33203125" customWidth="1"/>
    <col min="1535" max="1535" width="8.6640625" customWidth="1"/>
    <col min="1536" max="1536" width="13.88671875" customWidth="1"/>
    <col min="1537" max="1537" width="10.88671875" customWidth="1"/>
    <col min="1538" max="1538" width="9.88671875" customWidth="1"/>
    <col min="1539" max="1550" width="10.44140625" customWidth="1"/>
    <col min="1551" max="1551" width="12" customWidth="1"/>
    <col min="1775" max="1775" width="7.5546875" customWidth="1"/>
    <col min="1776" max="1777" width="9.5546875" customWidth="1"/>
    <col min="1778" max="1778" width="32.6640625" customWidth="1"/>
    <col min="1779" max="1782" width="13.6640625" customWidth="1"/>
    <col min="1783" max="1783" width="11.5546875" customWidth="1"/>
    <col min="1784" max="1784" width="11.109375" customWidth="1"/>
    <col min="1785" max="1785" width="12.44140625" customWidth="1"/>
    <col min="1786" max="1786" width="8.88671875" customWidth="1"/>
    <col min="1787" max="1787" width="13.33203125" customWidth="1"/>
    <col min="1788" max="1788" width="11.33203125" customWidth="1"/>
    <col min="1789" max="1789" width="10.6640625" customWidth="1"/>
    <col min="1790" max="1790" width="11.33203125" customWidth="1"/>
    <col min="1791" max="1791" width="8.6640625" customWidth="1"/>
    <col min="1792" max="1792" width="13.88671875" customWidth="1"/>
    <col min="1793" max="1793" width="10.88671875" customWidth="1"/>
    <col min="1794" max="1794" width="9.88671875" customWidth="1"/>
    <col min="1795" max="1806" width="10.44140625" customWidth="1"/>
    <col min="1807" max="1807" width="12" customWidth="1"/>
    <col min="2031" max="2031" width="7.5546875" customWidth="1"/>
    <col min="2032" max="2033" width="9.5546875" customWidth="1"/>
    <col min="2034" max="2034" width="32.6640625" customWidth="1"/>
    <col min="2035" max="2038" width="13.6640625" customWidth="1"/>
    <col min="2039" max="2039" width="11.5546875" customWidth="1"/>
    <col min="2040" max="2040" width="11.109375" customWidth="1"/>
    <col min="2041" max="2041" width="12.44140625" customWidth="1"/>
    <col min="2042" max="2042" width="8.88671875" customWidth="1"/>
    <col min="2043" max="2043" width="13.33203125" customWidth="1"/>
    <col min="2044" max="2044" width="11.33203125" customWidth="1"/>
    <col min="2045" max="2045" width="10.6640625" customWidth="1"/>
    <col min="2046" max="2046" width="11.33203125" customWidth="1"/>
    <col min="2047" max="2047" width="8.6640625" customWidth="1"/>
    <col min="2048" max="2048" width="13.88671875" customWidth="1"/>
    <col min="2049" max="2049" width="10.88671875" customWidth="1"/>
    <col min="2050" max="2050" width="9.88671875" customWidth="1"/>
    <col min="2051" max="2062" width="10.44140625" customWidth="1"/>
    <col min="2063" max="2063" width="12" customWidth="1"/>
    <col min="2287" max="2287" width="7.5546875" customWidth="1"/>
    <col min="2288" max="2289" width="9.5546875" customWidth="1"/>
    <col min="2290" max="2290" width="32.6640625" customWidth="1"/>
    <col min="2291" max="2294" width="13.6640625" customWidth="1"/>
    <col min="2295" max="2295" width="11.5546875" customWidth="1"/>
    <col min="2296" max="2296" width="11.109375" customWidth="1"/>
    <col min="2297" max="2297" width="12.44140625" customWidth="1"/>
    <col min="2298" max="2298" width="8.88671875" customWidth="1"/>
    <col min="2299" max="2299" width="13.33203125" customWidth="1"/>
    <col min="2300" max="2300" width="11.33203125" customWidth="1"/>
    <col min="2301" max="2301" width="10.6640625" customWidth="1"/>
    <col min="2302" max="2302" width="11.33203125" customWidth="1"/>
    <col min="2303" max="2303" width="8.6640625" customWidth="1"/>
    <col min="2304" max="2304" width="13.88671875" customWidth="1"/>
    <col min="2305" max="2305" width="10.88671875" customWidth="1"/>
    <col min="2306" max="2306" width="9.88671875" customWidth="1"/>
    <col min="2307" max="2318" width="10.44140625" customWidth="1"/>
    <col min="2319" max="2319" width="12" customWidth="1"/>
    <col min="2543" max="2543" width="7.5546875" customWidth="1"/>
    <col min="2544" max="2545" width="9.5546875" customWidth="1"/>
    <col min="2546" max="2546" width="32.6640625" customWidth="1"/>
    <col min="2547" max="2550" width="13.6640625" customWidth="1"/>
    <col min="2551" max="2551" width="11.5546875" customWidth="1"/>
    <col min="2552" max="2552" width="11.109375" customWidth="1"/>
    <col min="2553" max="2553" width="12.44140625" customWidth="1"/>
    <col min="2554" max="2554" width="8.88671875" customWidth="1"/>
    <col min="2555" max="2555" width="13.33203125" customWidth="1"/>
    <col min="2556" max="2556" width="11.33203125" customWidth="1"/>
    <col min="2557" max="2557" width="10.6640625" customWidth="1"/>
    <col min="2558" max="2558" width="11.33203125" customWidth="1"/>
    <col min="2559" max="2559" width="8.6640625" customWidth="1"/>
    <col min="2560" max="2560" width="13.88671875" customWidth="1"/>
    <col min="2561" max="2561" width="10.88671875" customWidth="1"/>
    <col min="2562" max="2562" width="9.88671875" customWidth="1"/>
    <col min="2563" max="2574" width="10.44140625" customWidth="1"/>
    <col min="2575" max="2575" width="12" customWidth="1"/>
    <col min="2799" max="2799" width="7.5546875" customWidth="1"/>
    <col min="2800" max="2801" width="9.5546875" customWidth="1"/>
    <col min="2802" max="2802" width="32.6640625" customWidth="1"/>
    <col min="2803" max="2806" width="13.6640625" customWidth="1"/>
    <col min="2807" max="2807" width="11.5546875" customWidth="1"/>
    <col min="2808" max="2808" width="11.109375" customWidth="1"/>
    <col min="2809" max="2809" width="12.44140625" customWidth="1"/>
    <col min="2810" max="2810" width="8.88671875" customWidth="1"/>
    <col min="2811" max="2811" width="13.33203125" customWidth="1"/>
    <col min="2812" max="2812" width="11.33203125" customWidth="1"/>
    <col min="2813" max="2813" width="10.6640625" customWidth="1"/>
    <col min="2814" max="2814" width="11.33203125" customWidth="1"/>
    <col min="2815" max="2815" width="8.6640625" customWidth="1"/>
    <col min="2816" max="2816" width="13.88671875" customWidth="1"/>
    <col min="2817" max="2817" width="10.88671875" customWidth="1"/>
    <col min="2818" max="2818" width="9.88671875" customWidth="1"/>
    <col min="2819" max="2830" width="10.44140625" customWidth="1"/>
    <col min="2831" max="2831" width="12" customWidth="1"/>
    <col min="3055" max="3055" width="7.5546875" customWidth="1"/>
    <col min="3056" max="3057" width="9.5546875" customWidth="1"/>
    <col min="3058" max="3058" width="32.6640625" customWidth="1"/>
    <col min="3059" max="3062" width="13.6640625" customWidth="1"/>
    <col min="3063" max="3063" width="11.5546875" customWidth="1"/>
    <col min="3064" max="3064" width="11.109375" customWidth="1"/>
    <col min="3065" max="3065" width="12.44140625" customWidth="1"/>
    <col min="3066" max="3066" width="8.88671875" customWidth="1"/>
    <col min="3067" max="3067" width="13.33203125" customWidth="1"/>
    <col min="3068" max="3068" width="11.33203125" customWidth="1"/>
    <col min="3069" max="3069" width="10.6640625" customWidth="1"/>
    <col min="3070" max="3070" width="11.33203125" customWidth="1"/>
    <col min="3071" max="3071" width="8.6640625" customWidth="1"/>
    <col min="3072" max="3072" width="13.88671875" customWidth="1"/>
    <col min="3073" max="3073" width="10.88671875" customWidth="1"/>
    <col min="3074" max="3074" width="9.88671875" customWidth="1"/>
    <col min="3075" max="3086" width="10.44140625" customWidth="1"/>
    <col min="3087" max="3087" width="12" customWidth="1"/>
    <col min="3311" max="3311" width="7.5546875" customWidth="1"/>
    <col min="3312" max="3313" width="9.5546875" customWidth="1"/>
    <col min="3314" max="3314" width="32.6640625" customWidth="1"/>
    <col min="3315" max="3318" width="13.6640625" customWidth="1"/>
    <col min="3319" max="3319" width="11.5546875" customWidth="1"/>
    <col min="3320" max="3320" width="11.109375" customWidth="1"/>
    <col min="3321" max="3321" width="12.44140625" customWidth="1"/>
    <col min="3322" max="3322" width="8.88671875" customWidth="1"/>
    <col min="3323" max="3323" width="13.33203125" customWidth="1"/>
    <col min="3324" max="3324" width="11.33203125" customWidth="1"/>
    <col min="3325" max="3325" width="10.6640625" customWidth="1"/>
    <col min="3326" max="3326" width="11.33203125" customWidth="1"/>
    <col min="3327" max="3327" width="8.6640625" customWidth="1"/>
    <col min="3328" max="3328" width="13.88671875" customWidth="1"/>
    <col min="3329" max="3329" width="10.88671875" customWidth="1"/>
    <col min="3330" max="3330" width="9.88671875" customWidth="1"/>
    <col min="3331" max="3342" width="10.44140625" customWidth="1"/>
    <col min="3343" max="3343" width="12" customWidth="1"/>
    <col min="3567" max="3567" width="7.5546875" customWidth="1"/>
    <col min="3568" max="3569" width="9.5546875" customWidth="1"/>
    <col min="3570" max="3570" width="32.6640625" customWidth="1"/>
    <col min="3571" max="3574" width="13.6640625" customWidth="1"/>
    <col min="3575" max="3575" width="11.5546875" customWidth="1"/>
    <col min="3576" max="3576" width="11.109375" customWidth="1"/>
    <col min="3577" max="3577" width="12.44140625" customWidth="1"/>
    <col min="3578" max="3578" width="8.88671875" customWidth="1"/>
    <col min="3579" max="3579" width="13.33203125" customWidth="1"/>
    <col min="3580" max="3580" width="11.33203125" customWidth="1"/>
    <col min="3581" max="3581" width="10.6640625" customWidth="1"/>
    <col min="3582" max="3582" width="11.33203125" customWidth="1"/>
    <col min="3583" max="3583" width="8.6640625" customWidth="1"/>
    <col min="3584" max="3584" width="13.88671875" customWidth="1"/>
    <col min="3585" max="3585" width="10.88671875" customWidth="1"/>
    <col min="3586" max="3586" width="9.88671875" customWidth="1"/>
    <col min="3587" max="3598" width="10.44140625" customWidth="1"/>
    <col min="3599" max="3599" width="12" customWidth="1"/>
    <col min="3823" max="3823" width="7.5546875" customWidth="1"/>
    <col min="3824" max="3825" width="9.5546875" customWidth="1"/>
    <col min="3826" max="3826" width="32.6640625" customWidth="1"/>
    <col min="3827" max="3830" width="13.6640625" customWidth="1"/>
    <col min="3831" max="3831" width="11.5546875" customWidth="1"/>
    <col min="3832" max="3832" width="11.109375" customWidth="1"/>
    <col min="3833" max="3833" width="12.44140625" customWidth="1"/>
    <col min="3834" max="3834" width="8.88671875" customWidth="1"/>
    <col min="3835" max="3835" width="13.33203125" customWidth="1"/>
    <col min="3836" max="3836" width="11.33203125" customWidth="1"/>
    <col min="3837" max="3837" width="10.6640625" customWidth="1"/>
    <col min="3838" max="3838" width="11.33203125" customWidth="1"/>
    <col min="3839" max="3839" width="8.6640625" customWidth="1"/>
    <col min="3840" max="3840" width="13.88671875" customWidth="1"/>
    <col min="3841" max="3841" width="10.88671875" customWidth="1"/>
    <col min="3842" max="3842" width="9.88671875" customWidth="1"/>
    <col min="3843" max="3854" width="10.44140625" customWidth="1"/>
    <col min="3855" max="3855" width="12" customWidth="1"/>
    <col min="4079" max="4079" width="7.5546875" customWidth="1"/>
    <col min="4080" max="4081" width="9.5546875" customWidth="1"/>
    <col min="4082" max="4082" width="32.6640625" customWidth="1"/>
    <col min="4083" max="4086" width="13.6640625" customWidth="1"/>
    <col min="4087" max="4087" width="11.5546875" customWidth="1"/>
    <col min="4088" max="4088" width="11.109375" customWidth="1"/>
    <col min="4089" max="4089" width="12.44140625" customWidth="1"/>
    <col min="4090" max="4090" width="8.88671875" customWidth="1"/>
    <col min="4091" max="4091" width="13.33203125" customWidth="1"/>
    <col min="4092" max="4092" width="11.33203125" customWidth="1"/>
    <col min="4093" max="4093" width="10.6640625" customWidth="1"/>
    <col min="4094" max="4094" width="11.33203125" customWidth="1"/>
    <col min="4095" max="4095" width="8.6640625" customWidth="1"/>
    <col min="4096" max="4096" width="13.88671875" customWidth="1"/>
    <col min="4097" max="4097" width="10.88671875" customWidth="1"/>
    <col min="4098" max="4098" width="9.88671875" customWidth="1"/>
    <col min="4099" max="4110" width="10.44140625" customWidth="1"/>
    <col min="4111" max="4111" width="12" customWidth="1"/>
    <col min="4335" max="4335" width="7.5546875" customWidth="1"/>
    <col min="4336" max="4337" width="9.5546875" customWidth="1"/>
    <col min="4338" max="4338" width="32.6640625" customWidth="1"/>
    <col min="4339" max="4342" width="13.6640625" customWidth="1"/>
    <col min="4343" max="4343" width="11.5546875" customWidth="1"/>
    <col min="4344" max="4344" width="11.109375" customWidth="1"/>
    <col min="4345" max="4345" width="12.44140625" customWidth="1"/>
    <col min="4346" max="4346" width="8.88671875" customWidth="1"/>
    <col min="4347" max="4347" width="13.33203125" customWidth="1"/>
    <col min="4348" max="4348" width="11.33203125" customWidth="1"/>
    <col min="4349" max="4349" width="10.6640625" customWidth="1"/>
    <col min="4350" max="4350" width="11.33203125" customWidth="1"/>
    <col min="4351" max="4351" width="8.6640625" customWidth="1"/>
    <col min="4352" max="4352" width="13.88671875" customWidth="1"/>
    <col min="4353" max="4353" width="10.88671875" customWidth="1"/>
    <col min="4354" max="4354" width="9.88671875" customWidth="1"/>
    <col min="4355" max="4366" width="10.44140625" customWidth="1"/>
    <col min="4367" max="4367" width="12" customWidth="1"/>
    <col min="4591" max="4591" width="7.5546875" customWidth="1"/>
    <col min="4592" max="4593" width="9.5546875" customWidth="1"/>
    <col min="4594" max="4594" width="32.6640625" customWidth="1"/>
    <col min="4595" max="4598" width="13.6640625" customWidth="1"/>
    <col min="4599" max="4599" width="11.5546875" customWidth="1"/>
    <col min="4600" max="4600" width="11.109375" customWidth="1"/>
    <col min="4601" max="4601" width="12.44140625" customWidth="1"/>
    <col min="4602" max="4602" width="8.88671875" customWidth="1"/>
    <col min="4603" max="4603" width="13.33203125" customWidth="1"/>
    <col min="4604" max="4604" width="11.33203125" customWidth="1"/>
    <col min="4605" max="4605" width="10.6640625" customWidth="1"/>
    <col min="4606" max="4606" width="11.33203125" customWidth="1"/>
    <col min="4607" max="4607" width="8.6640625" customWidth="1"/>
    <col min="4608" max="4608" width="13.88671875" customWidth="1"/>
    <col min="4609" max="4609" width="10.88671875" customWidth="1"/>
    <col min="4610" max="4610" width="9.88671875" customWidth="1"/>
    <col min="4611" max="4622" width="10.44140625" customWidth="1"/>
    <col min="4623" max="4623" width="12" customWidth="1"/>
    <col min="4847" max="4847" width="7.5546875" customWidth="1"/>
    <col min="4848" max="4849" width="9.5546875" customWidth="1"/>
    <col min="4850" max="4850" width="32.6640625" customWidth="1"/>
    <col min="4851" max="4854" width="13.6640625" customWidth="1"/>
    <col min="4855" max="4855" width="11.5546875" customWidth="1"/>
    <col min="4856" max="4856" width="11.109375" customWidth="1"/>
    <col min="4857" max="4857" width="12.44140625" customWidth="1"/>
    <col min="4858" max="4858" width="8.88671875" customWidth="1"/>
    <col min="4859" max="4859" width="13.33203125" customWidth="1"/>
    <col min="4860" max="4860" width="11.33203125" customWidth="1"/>
    <col min="4861" max="4861" width="10.6640625" customWidth="1"/>
    <col min="4862" max="4862" width="11.33203125" customWidth="1"/>
    <col min="4863" max="4863" width="8.6640625" customWidth="1"/>
    <col min="4864" max="4864" width="13.88671875" customWidth="1"/>
    <col min="4865" max="4865" width="10.88671875" customWidth="1"/>
    <col min="4866" max="4866" width="9.88671875" customWidth="1"/>
    <col min="4867" max="4878" width="10.44140625" customWidth="1"/>
    <col min="4879" max="4879" width="12" customWidth="1"/>
    <col min="5103" max="5103" width="7.5546875" customWidth="1"/>
    <col min="5104" max="5105" width="9.5546875" customWidth="1"/>
    <col min="5106" max="5106" width="32.6640625" customWidth="1"/>
    <col min="5107" max="5110" width="13.6640625" customWidth="1"/>
    <col min="5111" max="5111" width="11.5546875" customWidth="1"/>
    <col min="5112" max="5112" width="11.109375" customWidth="1"/>
    <col min="5113" max="5113" width="12.44140625" customWidth="1"/>
    <col min="5114" max="5114" width="8.88671875" customWidth="1"/>
    <col min="5115" max="5115" width="13.33203125" customWidth="1"/>
    <col min="5116" max="5116" width="11.33203125" customWidth="1"/>
    <col min="5117" max="5117" width="10.6640625" customWidth="1"/>
    <col min="5118" max="5118" width="11.33203125" customWidth="1"/>
    <col min="5119" max="5119" width="8.6640625" customWidth="1"/>
    <col min="5120" max="5120" width="13.88671875" customWidth="1"/>
    <col min="5121" max="5121" width="10.88671875" customWidth="1"/>
    <col min="5122" max="5122" width="9.88671875" customWidth="1"/>
    <col min="5123" max="5134" width="10.44140625" customWidth="1"/>
    <col min="5135" max="5135" width="12" customWidth="1"/>
    <col min="5359" max="5359" width="7.5546875" customWidth="1"/>
    <col min="5360" max="5361" width="9.5546875" customWidth="1"/>
    <col min="5362" max="5362" width="32.6640625" customWidth="1"/>
    <col min="5363" max="5366" width="13.6640625" customWidth="1"/>
    <col min="5367" max="5367" width="11.5546875" customWidth="1"/>
    <col min="5368" max="5368" width="11.109375" customWidth="1"/>
    <col min="5369" max="5369" width="12.44140625" customWidth="1"/>
    <col min="5370" max="5370" width="8.88671875" customWidth="1"/>
    <col min="5371" max="5371" width="13.33203125" customWidth="1"/>
    <col min="5372" max="5372" width="11.33203125" customWidth="1"/>
    <col min="5373" max="5373" width="10.6640625" customWidth="1"/>
    <col min="5374" max="5374" width="11.33203125" customWidth="1"/>
    <col min="5375" max="5375" width="8.6640625" customWidth="1"/>
    <col min="5376" max="5376" width="13.88671875" customWidth="1"/>
    <col min="5377" max="5377" width="10.88671875" customWidth="1"/>
    <col min="5378" max="5378" width="9.88671875" customWidth="1"/>
    <col min="5379" max="5390" width="10.44140625" customWidth="1"/>
    <col min="5391" max="5391" width="12" customWidth="1"/>
    <col min="5615" max="5615" width="7.5546875" customWidth="1"/>
    <col min="5616" max="5617" width="9.5546875" customWidth="1"/>
    <col min="5618" max="5618" width="32.6640625" customWidth="1"/>
    <col min="5619" max="5622" width="13.6640625" customWidth="1"/>
    <col min="5623" max="5623" width="11.5546875" customWidth="1"/>
    <col min="5624" max="5624" width="11.109375" customWidth="1"/>
    <col min="5625" max="5625" width="12.44140625" customWidth="1"/>
    <col min="5626" max="5626" width="8.88671875" customWidth="1"/>
    <col min="5627" max="5627" width="13.33203125" customWidth="1"/>
    <col min="5628" max="5628" width="11.33203125" customWidth="1"/>
    <col min="5629" max="5629" width="10.6640625" customWidth="1"/>
    <col min="5630" max="5630" width="11.33203125" customWidth="1"/>
    <col min="5631" max="5631" width="8.6640625" customWidth="1"/>
    <col min="5632" max="5632" width="13.88671875" customWidth="1"/>
    <col min="5633" max="5633" width="10.88671875" customWidth="1"/>
    <col min="5634" max="5634" width="9.88671875" customWidth="1"/>
    <col min="5635" max="5646" width="10.44140625" customWidth="1"/>
    <col min="5647" max="5647" width="12" customWidth="1"/>
    <col min="5871" max="5871" width="7.5546875" customWidth="1"/>
    <col min="5872" max="5873" width="9.5546875" customWidth="1"/>
    <col min="5874" max="5874" width="32.6640625" customWidth="1"/>
    <col min="5875" max="5878" width="13.6640625" customWidth="1"/>
    <col min="5879" max="5879" width="11.5546875" customWidth="1"/>
    <col min="5880" max="5880" width="11.109375" customWidth="1"/>
    <col min="5881" max="5881" width="12.44140625" customWidth="1"/>
    <col min="5882" max="5882" width="8.88671875" customWidth="1"/>
    <col min="5883" max="5883" width="13.33203125" customWidth="1"/>
    <col min="5884" max="5884" width="11.33203125" customWidth="1"/>
    <col min="5885" max="5885" width="10.6640625" customWidth="1"/>
    <col min="5886" max="5886" width="11.33203125" customWidth="1"/>
    <col min="5887" max="5887" width="8.6640625" customWidth="1"/>
    <col min="5888" max="5888" width="13.88671875" customWidth="1"/>
    <col min="5889" max="5889" width="10.88671875" customWidth="1"/>
    <col min="5890" max="5890" width="9.88671875" customWidth="1"/>
    <col min="5891" max="5902" width="10.44140625" customWidth="1"/>
    <col min="5903" max="5903" width="12" customWidth="1"/>
    <col min="6127" max="6127" width="7.5546875" customWidth="1"/>
    <col min="6128" max="6129" width="9.5546875" customWidth="1"/>
    <col min="6130" max="6130" width="32.6640625" customWidth="1"/>
    <col min="6131" max="6134" width="13.6640625" customWidth="1"/>
    <col min="6135" max="6135" width="11.5546875" customWidth="1"/>
    <col min="6136" max="6136" width="11.109375" customWidth="1"/>
    <col min="6137" max="6137" width="12.44140625" customWidth="1"/>
    <col min="6138" max="6138" width="8.88671875" customWidth="1"/>
    <col min="6139" max="6139" width="13.33203125" customWidth="1"/>
    <col min="6140" max="6140" width="11.33203125" customWidth="1"/>
    <col min="6141" max="6141" width="10.6640625" customWidth="1"/>
    <col min="6142" max="6142" width="11.33203125" customWidth="1"/>
    <col min="6143" max="6143" width="8.6640625" customWidth="1"/>
    <col min="6144" max="6144" width="13.88671875" customWidth="1"/>
    <col min="6145" max="6145" width="10.88671875" customWidth="1"/>
    <col min="6146" max="6146" width="9.88671875" customWidth="1"/>
    <col min="6147" max="6158" width="10.44140625" customWidth="1"/>
    <col min="6159" max="6159" width="12" customWidth="1"/>
    <col min="6383" max="6383" width="7.5546875" customWidth="1"/>
    <col min="6384" max="6385" width="9.5546875" customWidth="1"/>
    <col min="6386" max="6386" width="32.6640625" customWidth="1"/>
    <col min="6387" max="6390" width="13.6640625" customWidth="1"/>
    <col min="6391" max="6391" width="11.5546875" customWidth="1"/>
    <col min="6392" max="6392" width="11.109375" customWidth="1"/>
    <col min="6393" max="6393" width="12.44140625" customWidth="1"/>
    <col min="6394" max="6394" width="8.88671875" customWidth="1"/>
    <col min="6395" max="6395" width="13.33203125" customWidth="1"/>
    <col min="6396" max="6396" width="11.33203125" customWidth="1"/>
    <col min="6397" max="6397" width="10.6640625" customWidth="1"/>
    <col min="6398" max="6398" width="11.33203125" customWidth="1"/>
    <col min="6399" max="6399" width="8.6640625" customWidth="1"/>
    <col min="6400" max="6400" width="13.88671875" customWidth="1"/>
    <col min="6401" max="6401" width="10.88671875" customWidth="1"/>
    <col min="6402" max="6402" width="9.88671875" customWidth="1"/>
    <col min="6403" max="6414" width="10.44140625" customWidth="1"/>
    <col min="6415" max="6415" width="12" customWidth="1"/>
    <col min="6639" max="6639" width="7.5546875" customWidth="1"/>
    <col min="6640" max="6641" width="9.5546875" customWidth="1"/>
    <col min="6642" max="6642" width="32.6640625" customWidth="1"/>
    <col min="6643" max="6646" width="13.6640625" customWidth="1"/>
    <col min="6647" max="6647" width="11.5546875" customWidth="1"/>
    <col min="6648" max="6648" width="11.109375" customWidth="1"/>
    <col min="6649" max="6649" width="12.44140625" customWidth="1"/>
    <col min="6650" max="6650" width="8.88671875" customWidth="1"/>
    <col min="6651" max="6651" width="13.33203125" customWidth="1"/>
    <col min="6652" max="6652" width="11.33203125" customWidth="1"/>
    <col min="6653" max="6653" width="10.6640625" customWidth="1"/>
    <col min="6654" max="6654" width="11.33203125" customWidth="1"/>
    <col min="6655" max="6655" width="8.6640625" customWidth="1"/>
    <col min="6656" max="6656" width="13.88671875" customWidth="1"/>
    <col min="6657" max="6657" width="10.88671875" customWidth="1"/>
    <col min="6658" max="6658" width="9.88671875" customWidth="1"/>
    <col min="6659" max="6670" width="10.44140625" customWidth="1"/>
    <col min="6671" max="6671" width="12" customWidth="1"/>
    <col min="6895" max="6895" width="7.5546875" customWidth="1"/>
    <col min="6896" max="6897" width="9.5546875" customWidth="1"/>
    <col min="6898" max="6898" width="32.6640625" customWidth="1"/>
    <col min="6899" max="6902" width="13.6640625" customWidth="1"/>
    <col min="6903" max="6903" width="11.5546875" customWidth="1"/>
    <col min="6904" max="6904" width="11.109375" customWidth="1"/>
    <col min="6905" max="6905" width="12.44140625" customWidth="1"/>
    <col min="6906" max="6906" width="8.88671875" customWidth="1"/>
    <col min="6907" max="6907" width="13.33203125" customWidth="1"/>
    <col min="6908" max="6908" width="11.33203125" customWidth="1"/>
    <col min="6909" max="6909" width="10.6640625" customWidth="1"/>
    <col min="6910" max="6910" width="11.33203125" customWidth="1"/>
    <col min="6911" max="6911" width="8.6640625" customWidth="1"/>
    <col min="6912" max="6912" width="13.88671875" customWidth="1"/>
    <col min="6913" max="6913" width="10.88671875" customWidth="1"/>
    <col min="6914" max="6914" width="9.88671875" customWidth="1"/>
    <col min="6915" max="6926" width="10.44140625" customWidth="1"/>
    <col min="6927" max="6927" width="12" customWidth="1"/>
    <col min="7151" max="7151" width="7.5546875" customWidth="1"/>
    <col min="7152" max="7153" width="9.5546875" customWidth="1"/>
    <col min="7154" max="7154" width="32.6640625" customWidth="1"/>
    <col min="7155" max="7158" width="13.6640625" customWidth="1"/>
    <col min="7159" max="7159" width="11.5546875" customWidth="1"/>
    <col min="7160" max="7160" width="11.109375" customWidth="1"/>
    <col min="7161" max="7161" width="12.44140625" customWidth="1"/>
    <col min="7162" max="7162" width="8.88671875" customWidth="1"/>
    <col min="7163" max="7163" width="13.33203125" customWidth="1"/>
    <col min="7164" max="7164" width="11.33203125" customWidth="1"/>
    <col min="7165" max="7165" width="10.6640625" customWidth="1"/>
    <col min="7166" max="7166" width="11.33203125" customWidth="1"/>
    <col min="7167" max="7167" width="8.6640625" customWidth="1"/>
    <col min="7168" max="7168" width="13.88671875" customWidth="1"/>
    <col min="7169" max="7169" width="10.88671875" customWidth="1"/>
    <col min="7170" max="7170" width="9.88671875" customWidth="1"/>
    <col min="7171" max="7182" width="10.44140625" customWidth="1"/>
    <col min="7183" max="7183" width="12" customWidth="1"/>
    <col min="7407" max="7407" width="7.5546875" customWidth="1"/>
    <col min="7408" max="7409" width="9.5546875" customWidth="1"/>
    <col min="7410" max="7410" width="32.6640625" customWidth="1"/>
    <col min="7411" max="7414" width="13.6640625" customWidth="1"/>
    <col min="7415" max="7415" width="11.5546875" customWidth="1"/>
    <col min="7416" max="7416" width="11.109375" customWidth="1"/>
    <col min="7417" max="7417" width="12.44140625" customWidth="1"/>
    <col min="7418" max="7418" width="8.88671875" customWidth="1"/>
    <col min="7419" max="7419" width="13.33203125" customWidth="1"/>
    <col min="7420" max="7420" width="11.33203125" customWidth="1"/>
    <col min="7421" max="7421" width="10.6640625" customWidth="1"/>
    <col min="7422" max="7422" width="11.33203125" customWidth="1"/>
    <col min="7423" max="7423" width="8.6640625" customWidth="1"/>
    <col min="7424" max="7424" width="13.88671875" customWidth="1"/>
    <col min="7425" max="7425" width="10.88671875" customWidth="1"/>
    <col min="7426" max="7426" width="9.88671875" customWidth="1"/>
    <col min="7427" max="7438" width="10.44140625" customWidth="1"/>
    <col min="7439" max="7439" width="12" customWidth="1"/>
    <col min="7663" max="7663" width="7.5546875" customWidth="1"/>
    <col min="7664" max="7665" width="9.5546875" customWidth="1"/>
    <col min="7666" max="7666" width="32.6640625" customWidth="1"/>
    <col min="7667" max="7670" width="13.6640625" customWidth="1"/>
    <col min="7671" max="7671" width="11.5546875" customWidth="1"/>
    <col min="7672" max="7672" width="11.109375" customWidth="1"/>
    <col min="7673" max="7673" width="12.44140625" customWidth="1"/>
    <col min="7674" max="7674" width="8.88671875" customWidth="1"/>
    <col min="7675" max="7675" width="13.33203125" customWidth="1"/>
    <col min="7676" max="7676" width="11.33203125" customWidth="1"/>
    <col min="7677" max="7677" width="10.6640625" customWidth="1"/>
    <col min="7678" max="7678" width="11.33203125" customWidth="1"/>
    <col min="7679" max="7679" width="8.6640625" customWidth="1"/>
    <col min="7680" max="7680" width="13.88671875" customWidth="1"/>
    <col min="7681" max="7681" width="10.88671875" customWidth="1"/>
    <col min="7682" max="7682" width="9.88671875" customWidth="1"/>
    <col min="7683" max="7694" width="10.44140625" customWidth="1"/>
    <col min="7695" max="7695" width="12" customWidth="1"/>
    <col min="7919" max="7919" width="7.5546875" customWidth="1"/>
    <col min="7920" max="7921" width="9.5546875" customWidth="1"/>
    <col min="7922" max="7922" width="32.6640625" customWidth="1"/>
    <col min="7923" max="7926" width="13.6640625" customWidth="1"/>
    <col min="7927" max="7927" width="11.5546875" customWidth="1"/>
    <col min="7928" max="7928" width="11.109375" customWidth="1"/>
    <col min="7929" max="7929" width="12.44140625" customWidth="1"/>
    <col min="7930" max="7930" width="8.88671875" customWidth="1"/>
    <col min="7931" max="7931" width="13.33203125" customWidth="1"/>
    <col min="7932" max="7932" width="11.33203125" customWidth="1"/>
    <col min="7933" max="7933" width="10.6640625" customWidth="1"/>
    <col min="7934" max="7934" width="11.33203125" customWidth="1"/>
    <col min="7935" max="7935" width="8.6640625" customWidth="1"/>
    <col min="7936" max="7936" width="13.88671875" customWidth="1"/>
    <col min="7937" max="7937" width="10.88671875" customWidth="1"/>
    <col min="7938" max="7938" width="9.88671875" customWidth="1"/>
    <col min="7939" max="7950" width="10.44140625" customWidth="1"/>
    <col min="7951" max="7951" width="12" customWidth="1"/>
    <col min="8175" max="8175" width="7.5546875" customWidth="1"/>
    <col min="8176" max="8177" width="9.5546875" customWidth="1"/>
    <col min="8178" max="8178" width="32.6640625" customWidth="1"/>
    <col min="8179" max="8182" width="13.6640625" customWidth="1"/>
    <col min="8183" max="8183" width="11.5546875" customWidth="1"/>
    <col min="8184" max="8184" width="11.109375" customWidth="1"/>
    <col min="8185" max="8185" width="12.44140625" customWidth="1"/>
    <col min="8186" max="8186" width="8.88671875" customWidth="1"/>
    <col min="8187" max="8187" width="13.33203125" customWidth="1"/>
    <col min="8188" max="8188" width="11.33203125" customWidth="1"/>
    <col min="8189" max="8189" width="10.6640625" customWidth="1"/>
    <col min="8190" max="8190" width="11.33203125" customWidth="1"/>
    <col min="8191" max="8191" width="8.6640625" customWidth="1"/>
    <col min="8192" max="8192" width="13.88671875" customWidth="1"/>
    <col min="8193" max="8193" width="10.88671875" customWidth="1"/>
    <col min="8194" max="8194" width="9.88671875" customWidth="1"/>
    <col min="8195" max="8206" width="10.44140625" customWidth="1"/>
    <col min="8207" max="8207" width="12" customWidth="1"/>
    <col min="8431" max="8431" width="7.5546875" customWidth="1"/>
    <col min="8432" max="8433" width="9.5546875" customWidth="1"/>
    <col min="8434" max="8434" width="32.6640625" customWidth="1"/>
    <col min="8435" max="8438" width="13.6640625" customWidth="1"/>
    <col min="8439" max="8439" width="11.5546875" customWidth="1"/>
    <col min="8440" max="8440" width="11.109375" customWidth="1"/>
    <col min="8441" max="8441" width="12.44140625" customWidth="1"/>
    <col min="8442" max="8442" width="8.88671875" customWidth="1"/>
    <col min="8443" max="8443" width="13.33203125" customWidth="1"/>
    <col min="8444" max="8444" width="11.33203125" customWidth="1"/>
    <col min="8445" max="8445" width="10.6640625" customWidth="1"/>
    <col min="8446" max="8446" width="11.33203125" customWidth="1"/>
    <col min="8447" max="8447" width="8.6640625" customWidth="1"/>
    <col min="8448" max="8448" width="13.88671875" customWidth="1"/>
    <col min="8449" max="8449" width="10.88671875" customWidth="1"/>
    <col min="8450" max="8450" width="9.88671875" customWidth="1"/>
    <col min="8451" max="8462" width="10.44140625" customWidth="1"/>
    <col min="8463" max="8463" width="12" customWidth="1"/>
    <col min="8687" max="8687" width="7.5546875" customWidth="1"/>
    <col min="8688" max="8689" width="9.5546875" customWidth="1"/>
    <col min="8690" max="8690" width="32.6640625" customWidth="1"/>
    <col min="8691" max="8694" width="13.6640625" customWidth="1"/>
    <col min="8695" max="8695" width="11.5546875" customWidth="1"/>
    <col min="8696" max="8696" width="11.109375" customWidth="1"/>
    <col min="8697" max="8697" width="12.44140625" customWidth="1"/>
    <col min="8698" max="8698" width="8.88671875" customWidth="1"/>
    <col min="8699" max="8699" width="13.33203125" customWidth="1"/>
    <col min="8700" max="8700" width="11.33203125" customWidth="1"/>
    <col min="8701" max="8701" width="10.6640625" customWidth="1"/>
    <col min="8702" max="8702" width="11.33203125" customWidth="1"/>
    <col min="8703" max="8703" width="8.6640625" customWidth="1"/>
    <col min="8704" max="8704" width="13.88671875" customWidth="1"/>
    <col min="8705" max="8705" width="10.88671875" customWidth="1"/>
    <col min="8706" max="8706" width="9.88671875" customWidth="1"/>
    <col min="8707" max="8718" width="10.44140625" customWidth="1"/>
    <col min="8719" max="8719" width="12" customWidth="1"/>
    <col min="8943" max="8943" width="7.5546875" customWidth="1"/>
    <col min="8944" max="8945" width="9.5546875" customWidth="1"/>
    <col min="8946" max="8946" width="32.6640625" customWidth="1"/>
    <col min="8947" max="8950" width="13.6640625" customWidth="1"/>
    <col min="8951" max="8951" width="11.5546875" customWidth="1"/>
    <col min="8952" max="8952" width="11.109375" customWidth="1"/>
    <col min="8953" max="8953" width="12.44140625" customWidth="1"/>
    <col min="8954" max="8954" width="8.88671875" customWidth="1"/>
    <col min="8955" max="8955" width="13.33203125" customWidth="1"/>
    <col min="8956" max="8956" width="11.33203125" customWidth="1"/>
    <col min="8957" max="8957" width="10.6640625" customWidth="1"/>
    <col min="8958" max="8958" width="11.33203125" customWidth="1"/>
    <col min="8959" max="8959" width="8.6640625" customWidth="1"/>
    <col min="8960" max="8960" width="13.88671875" customWidth="1"/>
    <col min="8961" max="8961" width="10.88671875" customWidth="1"/>
    <col min="8962" max="8962" width="9.88671875" customWidth="1"/>
    <col min="8963" max="8974" width="10.44140625" customWidth="1"/>
    <col min="8975" max="8975" width="12" customWidth="1"/>
    <col min="9199" max="9199" width="7.5546875" customWidth="1"/>
    <col min="9200" max="9201" width="9.5546875" customWidth="1"/>
    <col min="9202" max="9202" width="32.6640625" customWidth="1"/>
    <col min="9203" max="9206" width="13.6640625" customWidth="1"/>
    <col min="9207" max="9207" width="11.5546875" customWidth="1"/>
    <col min="9208" max="9208" width="11.109375" customWidth="1"/>
    <col min="9209" max="9209" width="12.44140625" customWidth="1"/>
    <col min="9210" max="9210" width="8.88671875" customWidth="1"/>
    <col min="9211" max="9211" width="13.33203125" customWidth="1"/>
    <col min="9212" max="9212" width="11.33203125" customWidth="1"/>
    <col min="9213" max="9213" width="10.6640625" customWidth="1"/>
    <col min="9214" max="9214" width="11.33203125" customWidth="1"/>
    <col min="9215" max="9215" width="8.6640625" customWidth="1"/>
    <col min="9216" max="9216" width="13.88671875" customWidth="1"/>
    <col min="9217" max="9217" width="10.88671875" customWidth="1"/>
    <col min="9218" max="9218" width="9.88671875" customWidth="1"/>
    <col min="9219" max="9230" width="10.44140625" customWidth="1"/>
    <col min="9231" max="9231" width="12" customWidth="1"/>
    <col min="9455" max="9455" width="7.5546875" customWidth="1"/>
    <col min="9456" max="9457" width="9.5546875" customWidth="1"/>
    <col min="9458" max="9458" width="32.6640625" customWidth="1"/>
    <col min="9459" max="9462" width="13.6640625" customWidth="1"/>
    <col min="9463" max="9463" width="11.5546875" customWidth="1"/>
    <col min="9464" max="9464" width="11.109375" customWidth="1"/>
    <col min="9465" max="9465" width="12.44140625" customWidth="1"/>
    <col min="9466" max="9466" width="8.88671875" customWidth="1"/>
    <col min="9467" max="9467" width="13.33203125" customWidth="1"/>
    <col min="9468" max="9468" width="11.33203125" customWidth="1"/>
    <col min="9469" max="9469" width="10.6640625" customWidth="1"/>
    <col min="9470" max="9470" width="11.33203125" customWidth="1"/>
    <col min="9471" max="9471" width="8.6640625" customWidth="1"/>
    <col min="9472" max="9472" width="13.88671875" customWidth="1"/>
    <col min="9473" max="9473" width="10.88671875" customWidth="1"/>
    <col min="9474" max="9474" width="9.88671875" customWidth="1"/>
    <col min="9475" max="9486" width="10.44140625" customWidth="1"/>
    <col min="9487" max="9487" width="12" customWidth="1"/>
    <col min="9711" max="9711" width="7.5546875" customWidth="1"/>
    <col min="9712" max="9713" width="9.5546875" customWidth="1"/>
    <col min="9714" max="9714" width="32.6640625" customWidth="1"/>
    <col min="9715" max="9718" width="13.6640625" customWidth="1"/>
    <col min="9719" max="9719" width="11.5546875" customWidth="1"/>
    <col min="9720" max="9720" width="11.109375" customWidth="1"/>
    <col min="9721" max="9721" width="12.44140625" customWidth="1"/>
    <col min="9722" max="9722" width="8.88671875" customWidth="1"/>
    <col min="9723" max="9723" width="13.33203125" customWidth="1"/>
    <col min="9724" max="9724" width="11.33203125" customWidth="1"/>
    <col min="9725" max="9725" width="10.6640625" customWidth="1"/>
    <col min="9726" max="9726" width="11.33203125" customWidth="1"/>
    <col min="9727" max="9727" width="8.6640625" customWidth="1"/>
    <col min="9728" max="9728" width="13.88671875" customWidth="1"/>
    <col min="9729" max="9729" width="10.88671875" customWidth="1"/>
    <col min="9730" max="9730" width="9.88671875" customWidth="1"/>
    <col min="9731" max="9742" width="10.44140625" customWidth="1"/>
    <col min="9743" max="9743" width="12" customWidth="1"/>
    <col min="9967" max="9967" width="7.5546875" customWidth="1"/>
    <col min="9968" max="9969" width="9.5546875" customWidth="1"/>
    <col min="9970" max="9970" width="32.6640625" customWidth="1"/>
    <col min="9971" max="9974" width="13.6640625" customWidth="1"/>
    <col min="9975" max="9975" width="11.5546875" customWidth="1"/>
    <col min="9976" max="9976" width="11.109375" customWidth="1"/>
    <col min="9977" max="9977" width="12.44140625" customWidth="1"/>
    <col min="9978" max="9978" width="8.88671875" customWidth="1"/>
    <col min="9979" max="9979" width="13.33203125" customWidth="1"/>
    <col min="9980" max="9980" width="11.33203125" customWidth="1"/>
    <col min="9981" max="9981" width="10.6640625" customWidth="1"/>
    <col min="9982" max="9982" width="11.33203125" customWidth="1"/>
    <col min="9983" max="9983" width="8.6640625" customWidth="1"/>
    <col min="9984" max="9984" width="13.88671875" customWidth="1"/>
    <col min="9985" max="9985" width="10.88671875" customWidth="1"/>
    <col min="9986" max="9986" width="9.88671875" customWidth="1"/>
    <col min="9987" max="9998" width="10.44140625" customWidth="1"/>
    <col min="9999" max="9999" width="12" customWidth="1"/>
    <col min="10223" max="10223" width="7.5546875" customWidth="1"/>
    <col min="10224" max="10225" width="9.5546875" customWidth="1"/>
    <col min="10226" max="10226" width="32.6640625" customWidth="1"/>
    <col min="10227" max="10230" width="13.6640625" customWidth="1"/>
    <col min="10231" max="10231" width="11.5546875" customWidth="1"/>
    <col min="10232" max="10232" width="11.109375" customWidth="1"/>
    <col min="10233" max="10233" width="12.44140625" customWidth="1"/>
    <col min="10234" max="10234" width="8.88671875" customWidth="1"/>
    <col min="10235" max="10235" width="13.33203125" customWidth="1"/>
    <col min="10236" max="10236" width="11.33203125" customWidth="1"/>
    <col min="10237" max="10237" width="10.6640625" customWidth="1"/>
    <col min="10238" max="10238" width="11.33203125" customWidth="1"/>
    <col min="10239" max="10239" width="8.6640625" customWidth="1"/>
    <col min="10240" max="10240" width="13.88671875" customWidth="1"/>
    <col min="10241" max="10241" width="10.88671875" customWidth="1"/>
    <col min="10242" max="10242" width="9.88671875" customWidth="1"/>
    <col min="10243" max="10254" width="10.44140625" customWidth="1"/>
    <col min="10255" max="10255" width="12" customWidth="1"/>
    <col min="10479" max="10479" width="7.5546875" customWidth="1"/>
    <col min="10480" max="10481" width="9.5546875" customWidth="1"/>
    <col min="10482" max="10482" width="32.6640625" customWidth="1"/>
    <col min="10483" max="10486" width="13.6640625" customWidth="1"/>
    <col min="10487" max="10487" width="11.5546875" customWidth="1"/>
    <col min="10488" max="10488" width="11.109375" customWidth="1"/>
    <col min="10489" max="10489" width="12.44140625" customWidth="1"/>
    <col min="10490" max="10490" width="8.88671875" customWidth="1"/>
    <col min="10491" max="10491" width="13.33203125" customWidth="1"/>
    <col min="10492" max="10492" width="11.33203125" customWidth="1"/>
    <col min="10493" max="10493" width="10.6640625" customWidth="1"/>
    <col min="10494" max="10494" width="11.33203125" customWidth="1"/>
    <col min="10495" max="10495" width="8.6640625" customWidth="1"/>
    <col min="10496" max="10496" width="13.88671875" customWidth="1"/>
    <col min="10497" max="10497" width="10.88671875" customWidth="1"/>
    <col min="10498" max="10498" width="9.88671875" customWidth="1"/>
    <col min="10499" max="10510" width="10.44140625" customWidth="1"/>
    <col min="10511" max="10511" width="12" customWidth="1"/>
    <col min="10735" max="10735" width="7.5546875" customWidth="1"/>
    <col min="10736" max="10737" width="9.5546875" customWidth="1"/>
    <col min="10738" max="10738" width="32.6640625" customWidth="1"/>
    <col min="10739" max="10742" width="13.6640625" customWidth="1"/>
    <col min="10743" max="10743" width="11.5546875" customWidth="1"/>
    <col min="10744" max="10744" width="11.109375" customWidth="1"/>
    <col min="10745" max="10745" width="12.44140625" customWidth="1"/>
    <col min="10746" max="10746" width="8.88671875" customWidth="1"/>
    <col min="10747" max="10747" width="13.33203125" customWidth="1"/>
    <col min="10748" max="10748" width="11.33203125" customWidth="1"/>
    <col min="10749" max="10749" width="10.6640625" customWidth="1"/>
    <col min="10750" max="10750" width="11.33203125" customWidth="1"/>
    <col min="10751" max="10751" width="8.6640625" customWidth="1"/>
    <col min="10752" max="10752" width="13.88671875" customWidth="1"/>
    <col min="10753" max="10753" width="10.88671875" customWidth="1"/>
    <col min="10754" max="10754" width="9.88671875" customWidth="1"/>
    <col min="10755" max="10766" width="10.44140625" customWidth="1"/>
    <col min="10767" max="10767" width="12" customWidth="1"/>
    <col min="10991" max="10991" width="7.5546875" customWidth="1"/>
    <col min="10992" max="10993" width="9.5546875" customWidth="1"/>
    <col min="10994" max="10994" width="32.6640625" customWidth="1"/>
    <col min="10995" max="10998" width="13.6640625" customWidth="1"/>
    <col min="10999" max="10999" width="11.5546875" customWidth="1"/>
    <col min="11000" max="11000" width="11.109375" customWidth="1"/>
    <col min="11001" max="11001" width="12.44140625" customWidth="1"/>
    <col min="11002" max="11002" width="8.88671875" customWidth="1"/>
    <col min="11003" max="11003" width="13.33203125" customWidth="1"/>
    <col min="11004" max="11004" width="11.33203125" customWidth="1"/>
    <col min="11005" max="11005" width="10.6640625" customWidth="1"/>
    <col min="11006" max="11006" width="11.33203125" customWidth="1"/>
    <col min="11007" max="11007" width="8.6640625" customWidth="1"/>
    <col min="11008" max="11008" width="13.88671875" customWidth="1"/>
    <col min="11009" max="11009" width="10.88671875" customWidth="1"/>
    <col min="11010" max="11010" width="9.88671875" customWidth="1"/>
    <col min="11011" max="11022" width="10.44140625" customWidth="1"/>
    <col min="11023" max="11023" width="12" customWidth="1"/>
    <col min="11247" max="11247" width="7.5546875" customWidth="1"/>
    <col min="11248" max="11249" width="9.5546875" customWidth="1"/>
    <col min="11250" max="11250" width="32.6640625" customWidth="1"/>
    <col min="11251" max="11254" width="13.6640625" customWidth="1"/>
    <col min="11255" max="11255" width="11.5546875" customWidth="1"/>
    <col min="11256" max="11256" width="11.109375" customWidth="1"/>
    <col min="11257" max="11257" width="12.44140625" customWidth="1"/>
    <col min="11258" max="11258" width="8.88671875" customWidth="1"/>
    <col min="11259" max="11259" width="13.33203125" customWidth="1"/>
    <col min="11260" max="11260" width="11.33203125" customWidth="1"/>
    <col min="11261" max="11261" width="10.6640625" customWidth="1"/>
    <col min="11262" max="11262" width="11.33203125" customWidth="1"/>
    <col min="11263" max="11263" width="8.6640625" customWidth="1"/>
    <col min="11264" max="11264" width="13.88671875" customWidth="1"/>
    <col min="11265" max="11265" width="10.88671875" customWidth="1"/>
    <col min="11266" max="11266" width="9.88671875" customWidth="1"/>
    <col min="11267" max="11278" width="10.44140625" customWidth="1"/>
    <col min="11279" max="11279" width="12" customWidth="1"/>
    <col min="11503" max="11503" width="7.5546875" customWidth="1"/>
    <col min="11504" max="11505" width="9.5546875" customWidth="1"/>
    <col min="11506" max="11506" width="32.6640625" customWidth="1"/>
    <col min="11507" max="11510" width="13.6640625" customWidth="1"/>
    <col min="11511" max="11511" width="11.5546875" customWidth="1"/>
    <col min="11512" max="11512" width="11.109375" customWidth="1"/>
    <col min="11513" max="11513" width="12.44140625" customWidth="1"/>
    <col min="11514" max="11514" width="8.88671875" customWidth="1"/>
    <col min="11515" max="11515" width="13.33203125" customWidth="1"/>
    <col min="11516" max="11516" width="11.33203125" customWidth="1"/>
    <col min="11517" max="11517" width="10.6640625" customWidth="1"/>
    <col min="11518" max="11518" width="11.33203125" customWidth="1"/>
    <col min="11519" max="11519" width="8.6640625" customWidth="1"/>
    <col min="11520" max="11520" width="13.88671875" customWidth="1"/>
    <col min="11521" max="11521" width="10.88671875" customWidth="1"/>
    <col min="11522" max="11522" width="9.88671875" customWidth="1"/>
    <col min="11523" max="11534" width="10.44140625" customWidth="1"/>
    <col min="11535" max="11535" width="12" customWidth="1"/>
    <col min="11759" max="11759" width="7.5546875" customWidth="1"/>
    <col min="11760" max="11761" width="9.5546875" customWidth="1"/>
    <col min="11762" max="11762" width="32.6640625" customWidth="1"/>
    <col min="11763" max="11766" width="13.6640625" customWidth="1"/>
    <col min="11767" max="11767" width="11.5546875" customWidth="1"/>
    <col min="11768" max="11768" width="11.109375" customWidth="1"/>
    <col min="11769" max="11769" width="12.44140625" customWidth="1"/>
    <col min="11770" max="11770" width="8.88671875" customWidth="1"/>
    <col min="11771" max="11771" width="13.33203125" customWidth="1"/>
    <col min="11772" max="11772" width="11.33203125" customWidth="1"/>
    <col min="11773" max="11773" width="10.6640625" customWidth="1"/>
    <col min="11774" max="11774" width="11.33203125" customWidth="1"/>
    <col min="11775" max="11775" width="8.6640625" customWidth="1"/>
    <col min="11776" max="11776" width="13.88671875" customWidth="1"/>
    <col min="11777" max="11777" width="10.88671875" customWidth="1"/>
    <col min="11778" max="11778" width="9.88671875" customWidth="1"/>
    <col min="11779" max="11790" width="10.44140625" customWidth="1"/>
    <col min="11791" max="11791" width="12" customWidth="1"/>
    <col min="12015" max="12015" width="7.5546875" customWidth="1"/>
    <col min="12016" max="12017" width="9.5546875" customWidth="1"/>
    <col min="12018" max="12018" width="32.6640625" customWidth="1"/>
    <col min="12019" max="12022" width="13.6640625" customWidth="1"/>
    <col min="12023" max="12023" width="11.5546875" customWidth="1"/>
    <col min="12024" max="12024" width="11.109375" customWidth="1"/>
    <col min="12025" max="12025" width="12.44140625" customWidth="1"/>
    <col min="12026" max="12026" width="8.88671875" customWidth="1"/>
    <col min="12027" max="12027" width="13.33203125" customWidth="1"/>
    <col min="12028" max="12028" width="11.33203125" customWidth="1"/>
    <col min="12029" max="12029" width="10.6640625" customWidth="1"/>
    <col min="12030" max="12030" width="11.33203125" customWidth="1"/>
    <col min="12031" max="12031" width="8.6640625" customWidth="1"/>
    <col min="12032" max="12032" width="13.88671875" customWidth="1"/>
    <col min="12033" max="12033" width="10.88671875" customWidth="1"/>
    <col min="12034" max="12034" width="9.88671875" customWidth="1"/>
    <col min="12035" max="12046" width="10.44140625" customWidth="1"/>
    <col min="12047" max="12047" width="12" customWidth="1"/>
    <col min="12271" max="12271" width="7.5546875" customWidth="1"/>
    <col min="12272" max="12273" width="9.5546875" customWidth="1"/>
    <col min="12274" max="12274" width="32.6640625" customWidth="1"/>
    <col min="12275" max="12278" width="13.6640625" customWidth="1"/>
    <col min="12279" max="12279" width="11.5546875" customWidth="1"/>
    <col min="12280" max="12280" width="11.109375" customWidth="1"/>
    <col min="12281" max="12281" width="12.44140625" customWidth="1"/>
    <col min="12282" max="12282" width="8.88671875" customWidth="1"/>
    <col min="12283" max="12283" width="13.33203125" customWidth="1"/>
    <col min="12284" max="12284" width="11.33203125" customWidth="1"/>
    <col min="12285" max="12285" width="10.6640625" customWidth="1"/>
    <col min="12286" max="12286" width="11.33203125" customWidth="1"/>
    <col min="12287" max="12287" width="8.6640625" customWidth="1"/>
    <col min="12288" max="12288" width="13.88671875" customWidth="1"/>
    <col min="12289" max="12289" width="10.88671875" customWidth="1"/>
    <col min="12290" max="12290" width="9.88671875" customWidth="1"/>
    <col min="12291" max="12302" width="10.44140625" customWidth="1"/>
    <col min="12303" max="12303" width="12" customWidth="1"/>
    <col min="12527" max="12527" width="7.5546875" customWidth="1"/>
    <col min="12528" max="12529" width="9.5546875" customWidth="1"/>
    <col min="12530" max="12530" width="32.6640625" customWidth="1"/>
    <col min="12531" max="12534" width="13.6640625" customWidth="1"/>
    <col min="12535" max="12535" width="11.5546875" customWidth="1"/>
    <col min="12536" max="12536" width="11.109375" customWidth="1"/>
    <col min="12537" max="12537" width="12.44140625" customWidth="1"/>
    <col min="12538" max="12538" width="8.88671875" customWidth="1"/>
    <col min="12539" max="12539" width="13.33203125" customWidth="1"/>
    <col min="12540" max="12540" width="11.33203125" customWidth="1"/>
    <col min="12541" max="12541" width="10.6640625" customWidth="1"/>
    <col min="12542" max="12542" width="11.33203125" customWidth="1"/>
    <col min="12543" max="12543" width="8.6640625" customWidth="1"/>
    <col min="12544" max="12544" width="13.88671875" customWidth="1"/>
    <col min="12545" max="12545" width="10.88671875" customWidth="1"/>
    <col min="12546" max="12546" width="9.88671875" customWidth="1"/>
    <col min="12547" max="12558" width="10.44140625" customWidth="1"/>
    <col min="12559" max="12559" width="12" customWidth="1"/>
    <col min="12783" max="12783" width="7.5546875" customWidth="1"/>
    <col min="12784" max="12785" width="9.5546875" customWidth="1"/>
    <col min="12786" max="12786" width="32.6640625" customWidth="1"/>
    <col min="12787" max="12790" width="13.6640625" customWidth="1"/>
    <col min="12791" max="12791" width="11.5546875" customWidth="1"/>
    <col min="12792" max="12792" width="11.109375" customWidth="1"/>
    <col min="12793" max="12793" width="12.44140625" customWidth="1"/>
    <col min="12794" max="12794" width="8.88671875" customWidth="1"/>
    <col min="12795" max="12795" width="13.33203125" customWidth="1"/>
    <col min="12796" max="12796" width="11.33203125" customWidth="1"/>
    <col min="12797" max="12797" width="10.6640625" customWidth="1"/>
    <col min="12798" max="12798" width="11.33203125" customWidth="1"/>
    <col min="12799" max="12799" width="8.6640625" customWidth="1"/>
    <col min="12800" max="12800" width="13.88671875" customWidth="1"/>
    <col min="12801" max="12801" width="10.88671875" customWidth="1"/>
    <col min="12802" max="12802" width="9.88671875" customWidth="1"/>
    <col min="12803" max="12814" width="10.44140625" customWidth="1"/>
    <col min="12815" max="12815" width="12" customWidth="1"/>
    <col min="13039" max="13039" width="7.5546875" customWidth="1"/>
    <col min="13040" max="13041" width="9.5546875" customWidth="1"/>
    <col min="13042" max="13042" width="32.6640625" customWidth="1"/>
    <col min="13043" max="13046" width="13.6640625" customWidth="1"/>
    <col min="13047" max="13047" width="11.5546875" customWidth="1"/>
    <col min="13048" max="13048" width="11.109375" customWidth="1"/>
    <col min="13049" max="13049" width="12.44140625" customWidth="1"/>
    <col min="13050" max="13050" width="8.88671875" customWidth="1"/>
    <col min="13051" max="13051" width="13.33203125" customWidth="1"/>
    <col min="13052" max="13052" width="11.33203125" customWidth="1"/>
    <col min="13053" max="13053" width="10.6640625" customWidth="1"/>
    <col min="13054" max="13054" width="11.33203125" customWidth="1"/>
    <col min="13055" max="13055" width="8.6640625" customWidth="1"/>
    <col min="13056" max="13056" width="13.88671875" customWidth="1"/>
    <col min="13057" max="13057" width="10.88671875" customWidth="1"/>
    <col min="13058" max="13058" width="9.88671875" customWidth="1"/>
    <col min="13059" max="13070" width="10.44140625" customWidth="1"/>
    <col min="13071" max="13071" width="12" customWidth="1"/>
    <col min="13295" max="13295" width="7.5546875" customWidth="1"/>
    <col min="13296" max="13297" width="9.5546875" customWidth="1"/>
    <col min="13298" max="13298" width="32.6640625" customWidth="1"/>
    <col min="13299" max="13302" width="13.6640625" customWidth="1"/>
    <col min="13303" max="13303" width="11.5546875" customWidth="1"/>
    <col min="13304" max="13304" width="11.109375" customWidth="1"/>
    <col min="13305" max="13305" width="12.44140625" customWidth="1"/>
    <col min="13306" max="13306" width="8.88671875" customWidth="1"/>
    <col min="13307" max="13307" width="13.33203125" customWidth="1"/>
    <col min="13308" max="13308" width="11.33203125" customWidth="1"/>
    <col min="13309" max="13309" width="10.6640625" customWidth="1"/>
    <col min="13310" max="13310" width="11.33203125" customWidth="1"/>
    <col min="13311" max="13311" width="8.6640625" customWidth="1"/>
    <col min="13312" max="13312" width="13.88671875" customWidth="1"/>
    <col min="13313" max="13313" width="10.88671875" customWidth="1"/>
    <col min="13314" max="13314" width="9.88671875" customWidth="1"/>
    <col min="13315" max="13326" width="10.44140625" customWidth="1"/>
    <col min="13327" max="13327" width="12" customWidth="1"/>
    <col min="13551" max="13551" width="7.5546875" customWidth="1"/>
    <col min="13552" max="13553" width="9.5546875" customWidth="1"/>
    <col min="13554" max="13554" width="32.6640625" customWidth="1"/>
    <col min="13555" max="13558" width="13.6640625" customWidth="1"/>
    <col min="13559" max="13559" width="11.5546875" customWidth="1"/>
    <col min="13560" max="13560" width="11.109375" customWidth="1"/>
    <col min="13561" max="13561" width="12.44140625" customWidth="1"/>
    <col min="13562" max="13562" width="8.88671875" customWidth="1"/>
    <col min="13563" max="13563" width="13.33203125" customWidth="1"/>
    <col min="13564" max="13564" width="11.33203125" customWidth="1"/>
    <col min="13565" max="13565" width="10.6640625" customWidth="1"/>
    <col min="13566" max="13566" width="11.33203125" customWidth="1"/>
    <col min="13567" max="13567" width="8.6640625" customWidth="1"/>
    <col min="13568" max="13568" width="13.88671875" customWidth="1"/>
    <col min="13569" max="13569" width="10.88671875" customWidth="1"/>
    <col min="13570" max="13570" width="9.88671875" customWidth="1"/>
    <col min="13571" max="13582" width="10.44140625" customWidth="1"/>
    <col min="13583" max="13583" width="12" customWidth="1"/>
    <col min="13807" max="13807" width="7.5546875" customWidth="1"/>
    <col min="13808" max="13809" width="9.5546875" customWidth="1"/>
    <col min="13810" max="13810" width="32.6640625" customWidth="1"/>
    <col min="13811" max="13814" width="13.6640625" customWidth="1"/>
    <col min="13815" max="13815" width="11.5546875" customWidth="1"/>
    <col min="13816" max="13816" width="11.109375" customWidth="1"/>
    <col min="13817" max="13817" width="12.44140625" customWidth="1"/>
    <col min="13818" max="13818" width="8.88671875" customWidth="1"/>
    <col min="13819" max="13819" width="13.33203125" customWidth="1"/>
    <col min="13820" max="13820" width="11.33203125" customWidth="1"/>
    <col min="13821" max="13821" width="10.6640625" customWidth="1"/>
    <col min="13822" max="13822" width="11.33203125" customWidth="1"/>
    <col min="13823" max="13823" width="8.6640625" customWidth="1"/>
    <col min="13824" max="13824" width="13.88671875" customWidth="1"/>
    <col min="13825" max="13825" width="10.88671875" customWidth="1"/>
    <col min="13826" max="13826" width="9.88671875" customWidth="1"/>
    <col min="13827" max="13838" width="10.44140625" customWidth="1"/>
    <col min="13839" max="13839" width="12" customWidth="1"/>
    <col min="14063" max="14063" width="7.5546875" customWidth="1"/>
    <col min="14064" max="14065" width="9.5546875" customWidth="1"/>
    <col min="14066" max="14066" width="32.6640625" customWidth="1"/>
    <col min="14067" max="14070" width="13.6640625" customWidth="1"/>
    <col min="14071" max="14071" width="11.5546875" customWidth="1"/>
    <col min="14072" max="14072" width="11.109375" customWidth="1"/>
    <col min="14073" max="14073" width="12.44140625" customWidth="1"/>
    <col min="14074" max="14074" width="8.88671875" customWidth="1"/>
    <col min="14075" max="14075" width="13.33203125" customWidth="1"/>
    <col min="14076" max="14076" width="11.33203125" customWidth="1"/>
    <col min="14077" max="14077" width="10.6640625" customWidth="1"/>
    <col min="14078" max="14078" width="11.33203125" customWidth="1"/>
    <col min="14079" max="14079" width="8.6640625" customWidth="1"/>
    <col min="14080" max="14080" width="13.88671875" customWidth="1"/>
    <col min="14081" max="14081" width="10.88671875" customWidth="1"/>
    <col min="14082" max="14082" width="9.88671875" customWidth="1"/>
    <col min="14083" max="14094" width="10.44140625" customWidth="1"/>
    <col min="14095" max="14095" width="12" customWidth="1"/>
    <col min="14319" max="14319" width="7.5546875" customWidth="1"/>
    <col min="14320" max="14321" width="9.5546875" customWidth="1"/>
    <col min="14322" max="14322" width="32.6640625" customWidth="1"/>
    <col min="14323" max="14326" width="13.6640625" customWidth="1"/>
    <col min="14327" max="14327" width="11.5546875" customWidth="1"/>
    <col min="14328" max="14328" width="11.109375" customWidth="1"/>
    <col min="14329" max="14329" width="12.44140625" customWidth="1"/>
    <col min="14330" max="14330" width="8.88671875" customWidth="1"/>
    <col min="14331" max="14331" width="13.33203125" customWidth="1"/>
    <col min="14332" max="14332" width="11.33203125" customWidth="1"/>
    <col min="14333" max="14333" width="10.6640625" customWidth="1"/>
    <col min="14334" max="14334" width="11.33203125" customWidth="1"/>
    <col min="14335" max="14335" width="8.6640625" customWidth="1"/>
    <col min="14336" max="14336" width="13.88671875" customWidth="1"/>
    <col min="14337" max="14337" width="10.88671875" customWidth="1"/>
    <col min="14338" max="14338" width="9.88671875" customWidth="1"/>
    <col min="14339" max="14350" width="10.44140625" customWidth="1"/>
    <col min="14351" max="14351" width="12" customWidth="1"/>
    <col min="14575" max="14575" width="7.5546875" customWidth="1"/>
    <col min="14576" max="14577" width="9.5546875" customWidth="1"/>
    <col min="14578" max="14578" width="32.6640625" customWidth="1"/>
    <col min="14579" max="14582" width="13.6640625" customWidth="1"/>
    <col min="14583" max="14583" width="11.5546875" customWidth="1"/>
    <col min="14584" max="14584" width="11.109375" customWidth="1"/>
    <col min="14585" max="14585" width="12.44140625" customWidth="1"/>
    <col min="14586" max="14586" width="8.88671875" customWidth="1"/>
    <col min="14587" max="14587" width="13.33203125" customWidth="1"/>
    <col min="14588" max="14588" width="11.33203125" customWidth="1"/>
    <col min="14589" max="14589" width="10.6640625" customWidth="1"/>
    <col min="14590" max="14590" width="11.33203125" customWidth="1"/>
    <col min="14591" max="14591" width="8.6640625" customWidth="1"/>
    <col min="14592" max="14592" width="13.88671875" customWidth="1"/>
    <col min="14593" max="14593" width="10.88671875" customWidth="1"/>
    <col min="14594" max="14594" width="9.88671875" customWidth="1"/>
    <col min="14595" max="14606" width="10.44140625" customWidth="1"/>
    <col min="14607" max="14607" width="12" customWidth="1"/>
    <col min="14831" max="14831" width="7.5546875" customWidth="1"/>
    <col min="14832" max="14833" width="9.5546875" customWidth="1"/>
    <col min="14834" max="14834" width="32.6640625" customWidth="1"/>
    <col min="14835" max="14838" width="13.6640625" customWidth="1"/>
    <col min="14839" max="14839" width="11.5546875" customWidth="1"/>
    <col min="14840" max="14840" width="11.109375" customWidth="1"/>
    <col min="14841" max="14841" width="12.44140625" customWidth="1"/>
    <col min="14842" max="14842" width="8.88671875" customWidth="1"/>
    <col min="14843" max="14843" width="13.33203125" customWidth="1"/>
    <col min="14844" max="14844" width="11.33203125" customWidth="1"/>
    <col min="14845" max="14845" width="10.6640625" customWidth="1"/>
    <col min="14846" max="14846" width="11.33203125" customWidth="1"/>
    <col min="14847" max="14847" width="8.6640625" customWidth="1"/>
    <col min="14848" max="14848" width="13.88671875" customWidth="1"/>
    <col min="14849" max="14849" width="10.88671875" customWidth="1"/>
    <col min="14850" max="14850" width="9.88671875" customWidth="1"/>
    <col min="14851" max="14862" width="10.44140625" customWidth="1"/>
    <col min="14863" max="14863" width="12" customWidth="1"/>
    <col min="15087" max="15087" width="7.5546875" customWidth="1"/>
    <col min="15088" max="15089" width="9.5546875" customWidth="1"/>
    <col min="15090" max="15090" width="32.6640625" customWidth="1"/>
    <col min="15091" max="15094" width="13.6640625" customWidth="1"/>
    <col min="15095" max="15095" width="11.5546875" customWidth="1"/>
    <col min="15096" max="15096" width="11.109375" customWidth="1"/>
    <col min="15097" max="15097" width="12.44140625" customWidth="1"/>
    <col min="15098" max="15098" width="8.88671875" customWidth="1"/>
    <col min="15099" max="15099" width="13.33203125" customWidth="1"/>
    <col min="15100" max="15100" width="11.33203125" customWidth="1"/>
    <col min="15101" max="15101" width="10.6640625" customWidth="1"/>
    <col min="15102" max="15102" width="11.33203125" customWidth="1"/>
    <col min="15103" max="15103" width="8.6640625" customWidth="1"/>
    <col min="15104" max="15104" width="13.88671875" customWidth="1"/>
    <col min="15105" max="15105" width="10.88671875" customWidth="1"/>
    <col min="15106" max="15106" width="9.88671875" customWidth="1"/>
    <col min="15107" max="15118" width="10.44140625" customWidth="1"/>
    <col min="15119" max="15119" width="12" customWidth="1"/>
    <col min="15343" max="15343" width="7.5546875" customWidth="1"/>
    <col min="15344" max="15345" width="9.5546875" customWidth="1"/>
    <col min="15346" max="15346" width="32.6640625" customWidth="1"/>
    <col min="15347" max="15350" width="13.6640625" customWidth="1"/>
    <col min="15351" max="15351" width="11.5546875" customWidth="1"/>
    <col min="15352" max="15352" width="11.109375" customWidth="1"/>
    <col min="15353" max="15353" width="12.44140625" customWidth="1"/>
    <col min="15354" max="15354" width="8.88671875" customWidth="1"/>
    <col min="15355" max="15355" width="13.33203125" customWidth="1"/>
    <col min="15356" max="15356" width="11.33203125" customWidth="1"/>
    <col min="15357" max="15357" width="10.6640625" customWidth="1"/>
    <col min="15358" max="15358" width="11.33203125" customWidth="1"/>
    <col min="15359" max="15359" width="8.6640625" customWidth="1"/>
    <col min="15360" max="15360" width="13.88671875" customWidth="1"/>
    <col min="15361" max="15361" width="10.88671875" customWidth="1"/>
    <col min="15362" max="15362" width="9.88671875" customWidth="1"/>
    <col min="15363" max="15374" width="10.44140625" customWidth="1"/>
    <col min="15375" max="15375" width="12" customWidth="1"/>
    <col min="15599" max="15599" width="7.5546875" customWidth="1"/>
    <col min="15600" max="15601" width="9.5546875" customWidth="1"/>
    <col min="15602" max="15602" width="32.6640625" customWidth="1"/>
    <col min="15603" max="15606" width="13.6640625" customWidth="1"/>
    <col min="15607" max="15607" width="11.5546875" customWidth="1"/>
    <col min="15608" max="15608" width="11.109375" customWidth="1"/>
    <col min="15609" max="15609" width="12.44140625" customWidth="1"/>
    <col min="15610" max="15610" width="8.88671875" customWidth="1"/>
    <col min="15611" max="15611" width="13.33203125" customWidth="1"/>
    <col min="15612" max="15612" width="11.33203125" customWidth="1"/>
    <col min="15613" max="15613" width="10.6640625" customWidth="1"/>
    <col min="15614" max="15614" width="11.33203125" customWidth="1"/>
    <col min="15615" max="15615" width="8.6640625" customWidth="1"/>
    <col min="15616" max="15616" width="13.88671875" customWidth="1"/>
    <col min="15617" max="15617" width="10.88671875" customWidth="1"/>
    <col min="15618" max="15618" width="9.88671875" customWidth="1"/>
    <col min="15619" max="15630" width="10.44140625" customWidth="1"/>
    <col min="15631" max="15631" width="12" customWidth="1"/>
    <col min="15855" max="15855" width="7.5546875" customWidth="1"/>
    <col min="15856" max="15857" width="9.5546875" customWidth="1"/>
    <col min="15858" max="15858" width="32.6640625" customWidth="1"/>
    <col min="15859" max="15862" width="13.6640625" customWidth="1"/>
    <col min="15863" max="15863" width="11.5546875" customWidth="1"/>
    <col min="15864" max="15864" width="11.109375" customWidth="1"/>
    <col min="15865" max="15865" width="12.44140625" customWidth="1"/>
    <col min="15866" max="15866" width="8.88671875" customWidth="1"/>
    <col min="15867" max="15867" width="13.33203125" customWidth="1"/>
    <col min="15868" max="15868" width="11.33203125" customWidth="1"/>
    <col min="15869" max="15869" width="10.6640625" customWidth="1"/>
    <col min="15870" max="15870" width="11.33203125" customWidth="1"/>
    <col min="15871" max="15871" width="8.6640625" customWidth="1"/>
    <col min="15872" max="15872" width="13.88671875" customWidth="1"/>
    <col min="15873" max="15873" width="10.88671875" customWidth="1"/>
    <col min="15874" max="15874" width="9.88671875" customWidth="1"/>
    <col min="15875" max="15886" width="10.44140625" customWidth="1"/>
    <col min="15887" max="15887" width="12" customWidth="1"/>
    <col min="16111" max="16111" width="7.5546875" customWidth="1"/>
    <col min="16112" max="16113" width="9.5546875" customWidth="1"/>
    <col min="16114" max="16114" width="32.6640625" customWidth="1"/>
    <col min="16115" max="16118" width="13.6640625" customWidth="1"/>
    <col min="16119" max="16119" width="11.5546875" customWidth="1"/>
    <col min="16120" max="16120" width="11.109375" customWidth="1"/>
    <col min="16121" max="16121" width="12.44140625" customWidth="1"/>
    <col min="16122" max="16122" width="8.88671875" customWidth="1"/>
    <col min="16123" max="16123" width="13.33203125" customWidth="1"/>
    <col min="16124" max="16124" width="11.33203125" customWidth="1"/>
    <col min="16125" max="16125" width="10.6640625" customWidth="1"/>
    <col min="16126" max="16126" width="11.33203125" customWidth="1"/>
    <col min="16127" max="16127" width="8.6640625" customWidth="1"/>
    <col min="16128" max="16128" width="13.88671875" customWidth="1"/>
    <col min="16129" max="16129" width="10.88671875" customWidth="1"/>
    <col min="16130" max="16130" width="9.88671875" customWidth="1"/>
    <col min="16131" max="16142" width="10.44140625" customWidth="1"/>
    <col min="16143" max="16143" width="12" customWidth="1"/>
  </cols>
  <sheetData>
    <row r="1" spans="1:39" x14ac:dyDescent="0.3">
      <c r="A1" s="94" t="s">
        <v>113</v>
      </c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 t="s">
        <v>141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6" t="s">
        <v>141</v>
      </c>
    </row>
    <row r="2" spans="1:39" x14ac:dyDescent="0.3">
      <c r="A2" s="98" t="s">
        <v>433</v>
      </c>
      <c r="B2" s="98"/>
      <c r="C2" s="9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7" t="s">
        <v>583</v>
      </c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37" t="s">
        <v>434</v>
      </c>
    </row>
    <row r="3" spans="1:39" x14ac:dyDescent="0.3">
      <c r="A3" s="99"/>
      <c r="B3" s="99"/>
      <c r="C3" s="99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</row>
    <row r="4" spans="1:39" ht="15" thickBot="1" x14ac:dyDescent="0.35">
      <c r="A4" s="99"/>
      <c r="B4" s="99"/>
      <c r="C4" s="99"/>
      <c r="D4" s="95"/>
      <c r="E4" s="95" t="s">
        <v>584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39" ht="13.5" customHeight="1" thickBot="1" x14ac:dyDescent="0.35">
      <c r="A5" s="95"/>
      <c r="B5" s="95"/>
      <c r="C5" s="95"/>
      <c r="D5" s="95"/>
      <c r="E5" s="257" t="s">
        <v>585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</row>
    <row r="6" spans="1:39" x14ac:dyDescent="0.3">
      <c r="A6" s="101" t="s">
        <v>436</v>
      </c>
      <c r="B6" s="101" t="s">
        <v>437</v>
      </c>
      <c r="C6" s="101" t="s">
        <v>438</v>
      </c>
      <c r="D6" s="102"/>
      <c r="E6" s="154"/>
      <c r="F6" s="95"/>
      <c r="G6" s="95"/>
      <c r="H6" s="95"/>
      <c r="I6" s="95"/>
      <c r="J6" s="95"/>
      <c r="K6" s="95"/>
      <c r="L6" s="154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140" t="s">
        <v>560</v>
      </c>
      <c r="AL6" s="140" t="s">
        <v>586</v>
      </c>
      <c r="AM6" s="95"/>
    </row>
    <row r="7" spans="1:39" x14ac:dyDescent="0.3">
      <c r="A7" s="103" t="s">
        <v>441</v>
      </c>
      <c r="B7" s="103" t="s">
        <v>442</v>
      </c>
      <c r="C7" s="103" t="s">
        <v>442</v>
      </c>
      <c r="D7" s="104" t="s">
        <v>443</v>
      </c>
      <c r="E7" s="146" t="s">
        <v>587</v>
      </c>
      <c r="F7" s="146" t="s">
        <v>588</v>
      </c>
      <c r="G7" s="146" t="s">
        <v>589</v>
      </c>
      <c r="H7" s="146" t="s">
        <v>590</v>
      </c>
      <c r="I7" s="146" t="s">
        <v>591</v>
      </c>
      <c r="J7" s="146" t="s">
        <v>592</v>
      </c>
      <c r="K7" s="146" t="s">
        <v>593</v>
      </c>
      <c r="L7" s="146" t="s">
        <v>594</v>
      </c>
      <c r="M7" s="146" t="s">
        <v>595</v>
      </c>
      <c r="N7" s="146" t="s">
        <v>596</v>
      </c>
      <c r="O7" s="146" t="s">
        <v>597</v>
      </c>
      <c r="P7" s="146" t="s">
        <v>598</v>
      </c>
      <c r="Q7" s="146" t="s">
        <v>410</v>
      </c>
      <c r="R7" s="95"/>
      <c r="S7" s="95"/>
      <c r="T7" s="95"/>
      <c r="U7" s="95"/>
      <c r="V7" s="166">
        <v>44561</v>
      </c>
      <c r="W7" s="146" t="s">
        <v>587</v>
      </c>
      <c r="X7" s="146" t="s">
        <v>588</v>
      </c>
      <c r="Y7" s="146" t="s">
        <v>589</v>
      </c>
      <c r="Z7" s="146" t="s">
        <v>590</v>
      </c>
      <c r="AA7" s="146" t="s">
        <v>591</v>
      </c>
      <c r="AB7" s="146" t="s">
        <v>592</v>
      </c>
      <c r="AC7" s="146" t="s">
        <v>593</v>
      </c>
      <c r="AD7" s="146" t="s">
        <v>594</v>
      </c>
      <c r="AE7" s="146" t="s">
        <v>595</v>
      </c>
      <c r="AF7" s="146" t="s">
        <v>596</v>
      </c>
      <c r="AG7" s="146" t="s">
        <v>597</v>
      </c>
      <c r="AH7" s="166">
        <v>44926</v>
      </c>
      <c r="AI7" s="95"/>
      <c r="AJ7" s="102" t="s">
        <v>599</v>
      </c>
      <c r="AK7" s="145" t="s">
        <v>564</v>
      </c>
      <c r="AL7" s="102" t="s">
        <v>599</v>
      </c>
      <c r="AM7" s="95"/>
    </row>
    <row r="8" spans="1:39" x14ac:dyDescent="0.3">
      <c r="A8" s="103"/>
      <c r="B8" s="103"/>
      <c r="C8" s="103"/>
      <c r="D8" s="98" t="s">
        <v>448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39" x14ac:dyDescent="0.3">
      <c r="A9" s="105" t="s">
        <v>450</v>
      </c>
      <c r="B9" s="105">
        <v>1311020</v>
      </c>
      <c r="C9" s="105" t="s">
        <v>451</v>
      </c>
      <c r="D9" s="106" t="s">
        <v>452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>
        <v>0</v>
      </c>
      <c r="R9" s="95"/>
      <c r="S9" s="95"/>
      <c r="T9" s="95"/>
      <c r="U9" s="95"/>
      <c r="V9" s="107">
        <v>52845.330544613775</v>
      </c>
      <c r="W9" s="167">
        <v>52821.552011350141</v>
      </c>
      <c r="X9" s="167">
        <v>52797.773478086507</v>
      </c>
      <c r="Y9" s="167">
        <v>52773.994944822873</v>
      </c>
      <c r="Z9" s="167">
        <v>52750.216411559239</v>
      </c>
      <c r="AA9" s="167">
        <v>52726.437878295605</v>
      </c>
      <c r="AB9" s="167">
        <v>52702.659345031971</v>
      </c>
      <c r="AC9" s="167">
        <v>52678.880811768337</v>
      </c>
      <c r="AD9" s="167">
        <v>52655.102278504703</v>
      </c>
      <c r="AE9" s="167">
        <v>52631.323745241069</v>
      </c>
      <c r="AF9" s="167">
        <v>52607.545211977435</v>
      </c>
      <c r="AG9" s="167">
        <v>52583.766678713801</v>
      </c>
      <c r="AH9" s="167">
        <v>52559.988145450166</v>
      </c>
      <c r="AI9" s="95"/>
      <c r="AJ9" s="167">
        <v>52702.659345031978</v>
      </c>
      <c r="AK9" s="142">
        <v>0</v>
      </c>
      <c r="AL9" s="107">
        <v>0</v>
      </c>
      <c r="AM9" s="95"/>
    </row>
    <row r="10" spans="1:39" x14ac:dyDescent="0.3">
      <c r="A10" s="105">
        <v>303</v>
      </c>
      <c r="B10" s="105">
        <v>1311020</v>
      </c>
      <c r="C10" s="105">
        <v>5505010</v>
      </c>
      <c r="D10" s="106" t="s">
        <v>453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0</v>
      </c>
      <c r="R10" s="95"/>
      <c r="S10" s="95"/>
      <c r="T10" s="95"/>
      <c r="U10" s="95"/>
      <c r="V10" s="107">
        <v>1369804.7367042887</v>
      </c>
      <c r="W10" s="167">
        <v>1369188.3729279488</v>
      </c>
      <c r="X10" s="167">
        <v>1368572.0091516089</v>
      </c>
      <c r="Y10" s="167">
        <v>1367955.645375269</v>
      </c>
      <c r="Z10" s="167">
        <v>1367339.2815989291</v>
      </c>
      <c r="AA10" s="167">
        <v>1366722.9178225892</v>
      </c>
      <c r="AB10" s="167">
        <v>1366106.5540462492</v>
      </c>
      <c r="AC10" s="167">
        <v>1365490.1902699093</v>
      </c>
      <c r="AD10" s="167">
        <v>1364873.8264935694</v>
      </c>
      <c r="AE10" s="167">
        <v>1364257.4627172295</v>
      </c>
      <c r="AF10" s="167">
        <v>1363641.0989408896</v>
      </c>
      <c r="AG10" s="167">
        <v>1363024.7351645497</v>
      </c>
      <c r="AH10" s="167">
        <v>1362408.3713882098</v>
      </c>
      <c r="AI10" s="95"/>
      <c r="AJ10" s="167">
        <v>1366106.5540462492</v>
      </c>
      <c r="AK10" s="142">
        <v>0.1</v>
      </c>
      <c r="AL10" s="107">
        <v>0</v>
      </c>
      <c r="AM10" s="147" t="s">
        <v>567</v>
      </c>
    </row>
    <row r="11" spans="1:39" x14ac:dyDescent="0.3">
      <c r="A11" s="105">
        <v>303</v>
      </c>
      <c r="B11" s="105">
        <v>1311020</v>
      </c>
      <c r="C11" s="105">
        <v>5505010</v>
      </c>
      <c r="D11" s="106" t="s">
        <v>454</v>
      </c>
      <c r="E11" s="95">
        <v>40000</v>
      </c>
      <c r="F11" s="95">
        <v>40000</v>
      </c>
      <c r="G11" s="95">
        <v>130000</v>
      </c>
      <c r="H11" s="95">
        <v>230000</v>
      </c>
      <c r="I11" s="95">
        <v>230000</v>
      </c>
      <c r="J11" s="95">
        <v>130000</v>
      </c>
      <c r="K11" s="95">
        <v>40000</v>
      </c>
      <c r="L11" s="95">
        <v>70000</v>
      </c>
      <c r="M11" s="95">
        <v>40000</v>
      </c>
      <c r="N11" s="95">
        <v>130000</v>
      </c>
      <c r="O11" s="95">
        <v>130000</v>
      </c>
      <c r="P11" s="95">
        <v>133704</v>
      </c>
      <c r="Q11" s="168">
        <v>1343704</v>
      </c>
      <c r="R11" s="95"/>
      <c r="S11" s="120">
        <v>1343704</v>
      </c>
      <c r="T11" s="95"/>
      <c r="U11" s="95"/>
      <c r="V11" s="108">
        <v>5614172.339839262</v>
      </c>
      <c r="W11" s="169">
        <v>5651646.1604710026</v>
      </c>
      <c r="X11" s="169">
        <v>5689119.9811027432</v>
      </c>
      <c r="Y11" s="169">
        <v>5816593.8017344838</v>
      </c>
      <c r="Z11" s="169">
        <v>6044067.6223662244</v>
      </c>
      <c r="AA11" s="169">
        <v>6271541.442997965</v>
      </c>
      <c r="AB11" s="169">
        <v>6399015.2636297056</v>
      </c>
      <c r="AC11" s="169">
        <v>6436489.0842614463</v>
      </c>
      <c r="AD11" s="169">
        <v>6503962.9048931869</v>
      </c>
      <c r="AE11" s="169">
        <v>6541436.7255249275</v>
      </c>
      <c r="AF11" s="169">
        <v>6668910.5461566681</v>
      </c>
      <c r="AG11" s="169">
        <v>6796384.3667884087</v>
      </c>
      <c r="AH11" s="169">
        <v>6927562.1874201493</v>
      </c>
      <c r="AI11" s="95"/>
      <c r="AJ11" s="167">
        <v>6258530.9559373967</v>
      </c>
      <c r="AK11" s="142">
        <v>0.1</v>
      </c>
      <c r="AL11" s="108">
        <v>625853</v>
      </c>
      <c r="AM11" s="95"/>
    </row>
    <row r="12" spans="1:39" x14ac:dyDescent="0.3">
      <c r="A12" s="109"/>
      <c r="B12" s="109"/>
      <c r="C12" s="109"/>
      <c r="D12" s="95"/>
      <c r="E12" s="95"/>
      <c r="F12" s="154"/>
      <c r="G12" s="95"/>
      <c r="H12" s="95"/>
      <c r="I12" s="95"/>
      <c r="J12" s="95"/>
      <c r="K12" s="95"/>
      <c r="L12" s="154"/>
      <c r="M12" s="95"/>
      <c r="N12" s="95"/>
      <c r="O12" s="95"/>
      <c r="P12" s="95"/>
      <c r="Q12" s="95"/>
      <c r="R12" s="95"/>
      <c r="S12" s="95"/>
      <c r="T12" s="95"/>
      <c r="U12" s="95"/>
      <c r="V12" s="107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112"/>
      <c r="AM12" s="95"/>
    </row>
    <row r="13" spans="1:39" x14ac:dyDescent="0.3">
      <c r="A13" s="109"/>
      <c r="B13" s="109"/>
      <c r="C13" s="109"/>
      <c r="D13" s="106" t="s">
        <v>455</v>
      </c>
      <c r="E13" s="95"/>
      <c r="F13" s="154"/>
      <c r="G13" s="95"/>
      <c r="H13" s="95"/>
      <c r="I13" s="95"/>
      <c r="J13" s="95"/>
      <c r="K13" s="95"/>
      <c r="L13" s="154"/>
      <c r="M13" s="95"/>
      <c r="N13" s="95"/>
      <c r="O13" s="95"/>
      <c r="P13" s="95"/>
      <c r="Q13" s="168">
        <v>1343704</v>
      </c>
      <c r="R13" s="95"/>
      <c r="S13" s="168">
        <v>1343704</v>
      </c>
      <c r="T13" s="95"/>
      <c r="U13" s="95"/>
      <c r="V13" s="108">
        <v>7036822.4070881642</v>
      </c>
      <c r="W13" s="108">
        <v>7073656.0854103016</v>
      </c>
      <c r="X13" s="108">
        <v>7110489.7637324389</v>
      </c>
      <c r="Y13" s="108">
        <v>7237323.4420545753</v>
      </c>
      <c r="Z13" s="108">
        <v>7464157.1203767126</v>
      </c>
      <c r="AA13" s="108">
        <v>7690990.79869885</v>
      </c>
      <c r="AB13" s="108">
        <v>7817824.4770209864</v>
      </c>
      <c r="AC13" s="108">
        <v>7854658.1553431237</v>
      </c>
      <c r="AD13" s="108">
        <v>7921491.833665261</v>
      </c>
      <c r="AE13" s="108">
        <v>7958325.5119873984</v>
      </c>
      <c r="AF13" s="108">
        <v>8085159.1903095348</v>
      </c>
      <c r="AG13" s="108">
        <v>8211992.8686316721</v>
      </c>
      <c r="AH13" s="108">
        <v>8342530.5469538094</v>
      </c>
      <c r="AI13" s="95"/>
      <c r="AJ13" s="108">
        <v>7677340.1693286784</v>
      </c>
      <c r="AK13" s="95"/>
      <c r="AL13" s="108">
        <v>625853</v>
      </c>
      <c r="AM13" s="95"/>
    </row>
    <row r="14" spans="1:39" x14ac:dyDescent="0.3">
      <c r="A14" s="109"/>
      <c r="B14" s="109"/>
      <c r="C14" s="109"/>
      <c r="D14" s="95"/>
      <c r="E14" s="95"/>
      <c r="F14" s="154"/>
      <c r="G14" s="95"/>
      <c r="H14" s="95"/>
      <c r="I14" s="95"/>
      <c r="J14" s="95"/>
      <c r="K14" s="95"/>
      <c r="L14" s="154"/>
      <c r="M14" s="95"/>
      <c r="N14" s="95"/>
      <c r="O14" s="95"/>
      <c r="P14" s="95"/>
      <c r="Q14" s="95"/>
      <c r="R14" s="95"/>
      <c r="S14" s="95"/>
      <c r="T14" s="106" t="s">
        <v>449</v>
      </c>
      <c r="U14" s="95"/>
      <c r="V14" s="107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112"/>
      <c r="AM14" s="95"/>
    </row>
    <row r="15" spans="1:39" x14ac:dyDescent="0.3">
      <c r="A15" s="109"/>
      <c r="B15" s="109"/>
      <c r="C15" s="109"/>
      <c r="D15" s="98" t="s">
        <v>456</v>
      </c>
      <c r="E15" s="95"/>
      <c r="F15" s="154"/>
      <c r="G15" s="95"/>
      <c r="H15" s="95"/>
      <c r="I15" s="95"/>
      <c r="J15" s="95"/>
      <c r="K15" s="95"/>
      <c r="L15" s="154"/>
      <c r="M15" s="95"/>
      <c r="N15" s="95"/>
      <c r="O15" s="95"/>
      <c r="P15" s="95"/>
      <c r="Q15" s="95"/>
      <c r="R15" s="95"/>
      <c r="S15" s="95"/>
      <c r="T15" s="95"/>
      <c r="U15" s="95"/>
      <c r="V15" s="107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118" t="s">
        <v>449</v>
      </c>
      <c r="AM15" s="95"/>
    </row>
    <row r="16" spans="1:39" x14ac:dyDescent="0.3">
      <c r="A16" s="105">
        <v>3254</v>
      </c>
      <c r="B16" s="105">
        <v>1311030</v>
      </c>
      <c r="C16" s="105">
        <v>5501010</v>
      </c>
      <c r="D16" s="106" t="s">
        <v>457</v>
      </c>
      <c r="E16" s="95"/>
      <c r="F16" s="154"/>
      <c r="G16" s="95"/>
      <c r="H16" s="95"/>
      <c r="I16" s="95"/>
      <c r="J16" s="95"/>
      <c r="K16" s="95"/>
      <c r="L16" s="154"/>
      <c r="M16" s="95"/>
      <c r="N16" s="95"/>
      <c r="O16" s="95"/>
      <c r="P16" s="95"/>
      <c r="Q16" s="95">
        <v>0</v>
      </c>
      <c r="R16" s="95"/>
      <c r="S16" s="95"/>
      <c r="T16" s="95"/>
      <c r="U16" s="95"/>
      <c r="V16" s="107">
        <v>96496.840247737389</v>
      </c>
      <c r="W16" s="167">
        <v>96453.420076039736</v>
      </c>
      <c r="X16" s="167">
        <v>96409.999904342083</v>
      </c>
      <c r="Y16" s="167">
        <v>96366.57973264443</v>
      </c>
      <c r="Z16" s="167">
        <v>96323.159560946777</v>
      </c>
      <c r="AA16" s="167">
        <v>96279.739389249124</v>
      </c>
      <c r="AB16" s="167">
        <v>96236.319217551471</v>
      </c>
      <c r="AC16" s="167">
        <v>96192.899045853817</v>
      </c>
      <c r="AD16" s="167">
        <v>96149.478874156164</v>
      </c>
      <c r="AE16" s="167">
        <v>96106.058702458511</v>
      </c>
      <c r="AF16" s="167">
        <v>96062.638530760858</v>
      </c>
      <c r="AG16" s="167">
        <v>96019.218359063205</v>
      </c>
      <c r="AH16" s="167">
        <v>95975.798187365552</v>
      </c>
      <c r="AI16" s="95"/>
      <c r="AJ16" s="167">
        <v>96236.319217551471</v>
      </c>
      <c r="AK16" s="142">
        <v>0.03</v>
      </c>
      <c r="AL16" s="107">
        <v>2887</v>
      </c>
      <c r="AM16" s="147"/>
    </row>
    <row r="17" spans="1:39" x14ac:dyDescent="0.3">
      <c r="A17" s="106" t="s">
        <v>458</v>
      </c>
      <c r="B17" s="105">
        <v>1311050</v>
      </c>
      <c r="C17" s="105">
        <v>5501030</v>
      </c>
      <c r="D17" s="110" t="s">
        <v>459</v>
      </c>
      <c r="E17" s="95"/>
      <c r="F17" s="154"/>
      <c r="G17" s="95"/>
      <c r="H17" s="95"/>
      <c r="I17" s="95"/>
      <c r="J17" s="95"/>
      <c r="K17" s="95"/>
      <c r="L17" s="154"/>
      <c r="M17" s="95"/>
      <c r="N17" s="95"/>
      <c r="O17" s="95"/>
      <c r="P17" s="95"/>
      <c r="Q17" s="95">
        <v>0</v>
      </c>
      <c r="R17" s="95"/>
      <c r="S17" s="95"/>
      <c r="T17" s="95"/>
      <c r="U17" s="95"/>
      <c r="V17" s="107">
        <v>47670.264309082653</v>
      </c>
      <c r="W17" s="167">
        <v>47648.814372941124</v>
      </c>
      <c r="X17" s="167">
        <v>47627.364436799595</v>
      </c>
      <c r="Y17" s="167">
        <v>47605.914500658066</v>
      </c>
      <c r="Z17" s="167">
        <v>47584.464564516536</v>
      </c>
      <c r="AA17" s="167">
        <v>47563.014628375007</v>
      </c>
      <c r="AB17" s="167">
        <v>47541.564692233478</v>
      </c>
      <c r="AC17" s="167">
        <v>47520.114756091949</v>
      </c>
      <c r="AD17" s="167">
        <v>47498.66481995042</v>
      </c>
      <c r="AE17" s="167">
        <v>47477.214883808891</v>
      </c>
      <c r="AF17" s="167">
        <v>47455.764947667361</v>
      </c>
      <c r="AG17" s="167">
        <v>47434.315011525832</v>
      </c>
      <c r="AH17" s="167">
        <v>47412.865075384303</v>
      </c>
      <c r="AI17" s="95"/>
      <c r="AJ17" s="167">
        <v>47541.564692233485</v>
      </c>
      <c r="AK17" s="142">
        <v>0.03</v>
      </c>
      <c r="AL17" s="107">
        <v>1426</v>
      </c>
      <c r="AM17" s="147"/>
    </row>
    <row r="18" spans="1:39" x14ac:dyDescent="0.3">
      <c r="A18" s="106">
        <v>331</v>
      </c>
      <c r="B18" s="105">
        <v>1311050</v>
      </c>
      <c r="C18" s="105">
        <v>5501030</v>
      </c>
      <c r="D18" s="110" t="s">
        <v>460</v>
      </c>
      <c r="E18" s="95"/>
      <c r="F18" s="154"/>
      <c r="G18" s="95"/>
      <c r="H18" s="95"/>
      <c r="I18" s="95"/>
      <c r="J18" s="95"/>
      <c r="K18" s="95"/>
      <c r="L18" s="154"/>
      <c r="M18" s="95"/>
      <c r="N18" s="95"/>
      <c r="O18" s="95"/>
      <c r="P18" s="95"/>
      <c r="Q18" s="95"/>
      <c r="R18" s="95"/>
      <c r="S18" s="95"/>
      <c r="T18" s="95"/>
      <c r="U18" s="95"/>
      <c r="V18" s="107">
        <v>24000</v>
      </c>
      <c r="W18" s="167">
        <v>23989.200847218744</v>
      </c>
      <c r="X18" s="167">
        <v>23978.401694437489</v>
      </c>
      <c r="Y18" s="167">
        <v>23967.602541656233</v>
      </c>
      <c r="Z18" s="167">
        <v>23956.803388874978</v>
      </c>
      <c r="AA18" s="167">
        <v>23946.004236093722</v>
      </c>
      <c r="AB18" s="167">
        <v>23935.205083312467</v>
      </c>
      <c r="AC18" s="167">
        <v>23924.405930531211</v>
      </c>
      <c r="AD18" s="167">
        <v>23913.606777749956</v>
      </c>
      <c r="AE18" s="167">
        <v>23902.8076249687</v>
      </c>
      <c r="AF18" s="167">
        <v>23892.008472187445</v>
      </c>
      <c r="AG18" s="167">
        <v>23881.209319406189</v>
      </c>
      <c r="AH18" s="167">
        <v>23870.410166624933</v>
      </c>
      <c r="AI18" s="95"/>
      <c r="AJ18" s="167">
        <v>23935.205083312467</v>
      </c>
      <c r="AK18" s="142">
        <v>0</v>
      </c>
      <c r="AL18" s="107">
        <v>0</v>
      </c>
      <c r="AM18" s="147"/>
    </row>
    <row r="19" spans="1:39" x14ac:dyDescent="0.3">
      <c r="A19" s="105" t="s">
        <v>461</v>
      </c>
      <c r="B19" s="105">
        <v>1311050</v>
      </c>
      <c r="C19" s="105">
        <v>5501030</v>
      </c>
      <c r="D19" s="106" t="s">
        <v>462</v>
      </c>
      <c r="E19" s="95">
        <v>0</v>
      </c>
      <c r="F19" s="95">
        <v>0</v>
      </c>
      <c r="G19" s="95">
        <v>12000</v>
      </c>
      <c r="H19" s="95">
        <v>0</v>
      </c>
      <c r="I19" s="95">
        <v>0</v>
      </c>
      <c r="J19" s="95">
        <v>12000</v>
      </c>
      <c r="K19" s="95">
        <v>0</v>
      </c>
      <c r="L19" s="95">
        <v>0</v>
      </c>
      <c r="M19" s="95">
        <v>12000</v>
      </c>
      <c r="N19" s="95">
        <v>0</v>
      </c>
      <c r="O19" s="95">
        <v>0</v>
      </c>
      <c r="P19" s="95">
        <v>12000</v>
      </c>
      <c r="Q19" s="95">
        <v>48000</v>
      </c>
      <c r="R19" s="95"/>
      <c r="S19" s="120">
        <v>48000</v>
      </c>
      <c r="T19" s="95"/>
      <c r="U19" s="95"/>
      <c r="V19" s="107">
        <v>2319127.5742883179</v>
      </c>
      <c r="W19" s="167">
        <v>2318084.048746903</v>
      </c>
      <c r="X19" s="167">
        <v>2317040.523205488</v>
      </c>
      <c r="Y19" s="167">
        <v>2327996.997664073</v>
      </c>
      <c r="Z19" s="167">
        <v>2326953.472122658</v>
      </c>
      <c r="AA19" s="167">
        <v>2325909.9465812431</v>
      </c>
      <c r="AB19" s="167">
        <v>2336866.4210398281</v>
      </c>
      <c r="AC19" s="167">
        <v>2335822.8954984131</v>
      </c>
      <c r="AD19" s="167">
        <v>2334779.3699569982</v>
      </c>
      <c r="AE19" s="167">
        <v>2345735.8444155832</v>
      </c>
      <c r="AF19" s="167">
        <v>2344692.3188741682</v>
      </c>
      <c r="AG19" s="167">
        <v>2343648.7933327532</v>
      </c>
      <c r="AH19" s="167">
        <v>2354605.2677913383</v>
      </c>
      <c r="AI19" s="95"/>
      <c r="AJ19" s="167">
        <v>2333174.1133475201</v>
      </c>
      <c r="AK19" s="142">
        <v>2.2499999999999999E-2</v>
      </c>
      <c r="AL19" s="107">
        <v>52496</v>
      </c>
      <c r="AM19" s="147"/>
    </row>
    <row r="20" spans="1:39" x14ac:dyDescent="0.3">
      <c r="A20" s="106" t="s">
        <v>463</v>
      </c>
      <c r="B20" s="105">
        <v>1311050</v>
      </c>
      <c r="C20" s="105">
        <v>5501030</v>
      </c>
      <c r="D20" s="106" t="s">
        <v>464</v>
      </c>
      <c r="E20" s="95">
        <v>0</v>
      </c>
      <c r="F20" s="95">
        <v>0</v>
      </c>
      <c r="G20" s="95">
        <v>0</v>
      </c>
      <c r="H20" s="95">
        <v>0</v>
      </c>
      <c r="I20" s="95">
        <v>57700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57700</v>
      </c>
      <c r="R20" s="95"/>
      <c r="S20" s="120">
        <v>57700</v>
      </c>
      <c r="T20" s="95"/>
      <c r="U20" s="95"/>
      <c r="V20" s="107">
        <v>885749.16146618675</v>
      </c>
      <c r="W20" s="167">
        <v>885350.60561116412</v>
      </c>
      <c r="X20" s="167">
        <v>884952.0497561415</v>
      </c>
      <c r="Y20" s="167">
        <v>884553.49390111887</v>
      </c>
      <c r="Z20" s="167">
        <v>884154.93804609624</v>
      </c>
      <c r="AA20" s="167">
        <v>941456.38219107362</v>
      </c>
      <c r="AB20" s="167">
        <v>941057.82633605099</v>
      </c>
      <c r="AC20" s="167">
        <v>940659.27048102836</v>
      </c>
      <c r="AD20" s="167">
        <v>940260.71462600573</v>
      </c>
      <c r="AE20" s="167">
        <v>939862.15877098311</v>
      </c>
      <c r="AF20" s="167">
        <v>939463.60291596048</v>
      </c>
      <c r="AG20" s="167">
        <v>939065.04706093785</v>
      </c>
      <c r="AH20" s="167">
        <v>938666.49120591523</v>
      </c>
      <c r="AI20" s="95"/>
      <c r="AJ20" s="167">
        <v>918865.51864374347</v>
      </c>
      <c r="AK20" s="142">
        <v>0.04</v>
      </c>
      <c r="AL20" s="107">
        <v>36755</v>
      </c>
      <c r="AM20" s="147"/>
    </row>
    <row r="21" spans="1:39" x14ac:dyDescent="0.3">
      <c r="A21" s="106" t="s">
        <v>465</v>
      </c>
      <c r="B21" s="105">
        <v>1311050</v>
      </c>
      <c r="C21" s="105">
        <v>5501030</v>
      </c>
      <c r="D21" s="110" t="s">
        <v>466</v>
      </c>
      <c r="E21" s="95">
        <v>0</v>
      </c>
      <c r="F21" s="95">
        <v>0</v>
      </c>
      <c r="G21" s="95">
        <v>6700</v>
      </c>
      <c r="H21" s="95">
        <v>0</v>
      </c>
      <c r="I21" s="95">
        <v>0</v>
      </c>
      <c r="J21" s="95">
        <v>0</v>
      </c>
      <c r="K21" s="95">
        <v>6700</v>
      </c>
      <c r="L21" s="95">
        <v>0</v>
      </c>
      <c r="M21" s="95">
        <v>0</v>
      </c>
      <c r="N21" s="95">
        <v>0</v>
      </c>
      <c r="O21" s="95">
        <v>6600</v>
      </c>
      <c r="P21" s="95">
        <v>0</v>
      </c>
      <c r="Q21" s="168">
        <v>20000</v>
      </c>
      <c r="R21" s="95"/>
      <c r="S21" s="120">
        <v>20000</v>
      </c>
      <c r="T21" s="95"/>
      <c r="U21" s="95"/>
      <c r="V21" s="108">
        <v>371489.33698046533</v>
      </c>
      <c r="W21" s="169">
        <v>371322.17989268783</v>
      </c>
      <c r="X21" s="169">
        <v>371155.02280491032</v>
      </c>
      <c r="Y21" s="169">
        <v>377687.86571713281</v>
      </c>
      <c r="Z21" s="169">
        <v>377520.7086293553</v>
      </c>
      <c r="AA21" s="169">
        <v>377353.55154157779</v>
      </c>
      <c r="AB21" s="169">
        <v>377186.39445380028</v>
      </c>
      <c r="AC21" s="169">
        <v>383719.23736602277</v>
      </c>
      <c r="AD21" s="169">
        <v>383552.08027824527</v>
      </c>
      <c r="AE21" s="169">
        <v>383384.92319046776</v>
      </c>
      <c r="AF21" s="169">
        <v>383217.76610269025</v>
      </c>
      <c r="AG21" s="169">
        <v>389650.60901491274</v>
      </c>
      <c r="AH21" s="169">
        <v>389483.45192713523</v>
      </c>
      <c r="AI21" s="95"/>
      <c r="AJ21" s="167">
        <v>379747.93291533866</v>
      </c>
      <c r="AK21" s="142">
        <v>2.7199999999999998E-2</v>
      </c>
      <c r="AL21" s="108">
        <v>10329</v>
      </c>
      <c r="AM21" s="147"/>
    </row>
    <row r="22" spans="1:39" x14ac:dyDescent="0.3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107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107"/>
      <c r="AM22" s="147"/>
    </row>
    <row r="23" spans="1:39" x14ac:dyDescent="0.3">
      <c r="A23" s="109"/>
      <c r="B23" s="109"/>
      <c r="C23" s="109"/>
      <c r="D23" s="106" t="s">
        <v>455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68">
        <v>125700</v>
      </c>
      <c r="R23" s="95"/>
      <c r="S23" s="168">
        <v>125700</v>
      </c>
      <c r="T23" s="95"/>
      <c r="U23" s="95"/>
      <c r="V23" s="108">
        <v>3744533.17729179</v>
      </c>
      <c r="W23" s="108">
        <v>3742848.2695469549</v>
      </c>
      <c r="X23" s="108">
        <v>3741163.3618021188</v>
      </c>
      <c r="Y23" s="108">
        <v>3758178.4540572828</v>
      </c>
      <c r="Z23" s="108">
        <v>3756493.5463124481</v>
      </c>
      <c r="AA23" s="108">
        <v>3812508.6385676125</v>
      </c>
      <c r="AB23" s="108">
        <v>3822823.7308227769</v>
      </c>
      <c r="AC23" s="108">
        <v>3827838.8230779413</v>
      </c>
      <c r="AD23" s="108">
        <v>3826153.9153331057</v>
      </c>
      <c r="AE23" s="108">
        <v>3836469.0075882701</v>
      </c>
      <c r="AF23" s="108">
        <v>3834784.0998434345</v>
      </c>
      <c r="AG23" s="108">
        <v>3839699.1920985989</v>
      </c>
      <c r="AH23" s="108">
        <v>3850014.2843537638</v>
      </c>
      <c r="AI23" s="95"/>
      <c r="AJ23" s="108">
        <v>3799500.6538996999</v>
      </c>
      <c r="AK23" s="95"/>
      <c r="AL23" s="108">
        <v>103893</v>
      </c>
      <c r="AM23" s="147"/>
    </row>
    <row r="24" spans="1:39" x14ac:dyDescent="0.3">
      <c r="A24" s="109"/>
      <c r="B24" s="109"/>
      <c r="C24" s="109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107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112"/>
      <c r="AM24" s="147"/>
    </row>
    <row r="25" spans="1:39" x14ac:dyDescent="0.3">
      <c r="A25" s="109"/>
      <c r="B25" s="109"/>
      <c r="C25" s="109"/>
      <c r="D25" s="94" t="s">
        <v>467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107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112"/>
      <c r="AM25" s="147"/>
    </row>
    <row r="26" spans="1:39" x14ac:dyDescent="0.3">
      <c r="A26" s="111" t="s">
        <v>468</v>
      </c>
      <c r="B26" s="111">
        <v>1311030</v>
      </c>
      <c r="C26" s="111" t="s">
        <v>451</v>
      </c>
      <c r="D26" s="95" t="s">
        <v>469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>
        <v>0</v>
      </c>
      <c r="R26" s="95"/>
      <c r="S26" s="95"/>
      <c r="T26" s="95"/>
      <c r="U26" s="95"/>
      <c r="V26" s="107">
        <v>73867.732174598423</v>
      </c>
      <c r="W26" s="167">
        <v>73834.494302708496</v>
      </c>
      <c r="X26" s="167">
        <v>73801.256430818568</v>
      </c>
      <c r="Y26" s="167">
        <v>73768.018558928641</v>
      </c>
      <c r="Z26" s="167">
        <v>73734.780687038714</v>
      </c>
      <c r="AA26" s="167">
        <v>73701.542815148787</v>
      </c>
      <c r="AB26" s="167">
        <v>73668.30494325886</v>
      </c>
      <c r="AC26" s="167">
        <v>73635.067071368932</v>
      </c>
      <c r="AD26" s="167">
        <v>73601.829199479005</v>
      </c>
      <c r="AE26" s="167">
        <v>73568.591327589078</v>
      </c>
      <c r="AF26" s="167">
        <v>73535.353455699151</v>
      </c>
      <c r="AG26" s="167">
        <v>73502.115583809224</v>
      </c>
      <c r="AH26" s="167">
        <v>73468.877711919296</v>
      </c>
      <c r="AI26" s="95"/>
      <c r="AJ26" s="167">
        <v>73668.30494325886</v>
      </c>
      <c r="AK26" s="142">
        <v>0</v>
      </c>
      <c r="AL26" s="107">
        <v>0</v>
      </c>
      <c r="AM26" s="147"/>
    </row>
    <row r="27" spans="1:39" x14ac:dyDescent="0.3">
      <c r="A27" s="111">
        <v>35002</v>
      </c>
      <c r="B27" s="111">
        <v>1311030</v>
      </c>
      <c r="C27" s="111" t="s">
        <v>451</v>
      </c>
      <c r="D27" s="95" t="s">
        <v>470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>
        <v>0</v>
      </c>
      <c r="R27" s="95"/>
      <c r="S27" s="95"/>
      <c r="T27" s="95"/>
      <c r="U27" s="95"/>
      <c r="V27" s="107">
        <v>185746.59926765799</v>
      </c>
      <c r="W27" s="167">
        <v>185663.01985498756</v>
      </c>
      <c r="X27" s="167">
        <v>185579.44044231714</v>
      </c>
      <c r="Y27" s="167">
        <v>185495.86102964671</v>
      </c>
      <c r="Z27" s="167">
        <v>185412.28161697628</v>
      </c>
      <c r="AA27" s="167">
        <v>185328.70220430585</v>
      </c>
      <c r="AB27" s="167">
        <v>185245.12279163543</v>
      </c>
      <c r="AC27" s="167">
        <v>185161.543378965</v>
      </c>
      <c r="AD27" s="167">
        <v>185077.96396629457</v>
      </c>
      <c r="AE27" s="167">
        <v>184994.38455362414</v>
      </c>
      <c r="AF27" s="167">
        <v>184910.80514095371</v>
      </c>
      <c r="AG27" s="167">
        <v>184827.22572828329</v>
      </c>
      <c r="AH27" s="167">
        <v>184743.64631561286</v>
      </c>
      <c r="AI27" s="95"/>
      <c r="AJ27" s="167">
        <v>185245.1227916354</v>
      </c>
      <c r="AK27" s="142">
        <v>0</v>
      </c>
      <c r="AL27" s="107">
        <v>0</v>
      </c>
      <c r="AM27" s="147"/>
    </row>
    <row r="28" spans="1:39" x14ac:dyDescent="0.3">
      <c r="A28" s="110">
        <v>351</v>
      </c>
      <c r="B28" s="111">
        <v>1311052</v>
      </c>
      <c r="C28" s="111">
        <v>5501033</v>
      </c>
      <c r="D28" s="106" t="s">
        <v>471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>
        <v>0</v>
      </c>
      <c r="R28" s="95"/>
      <c r="S28" s="95"/>
      <c r="T28" s="95"/>
      <c r="U28" s="95"/>
      <c r="V28" s="107">
        <v>719406.78691849823</v>
      </c>
      <c r="W28" s="167">
        <v>719083.07926000631</v>
      </c>
      <c r="X28" s="167">
        <v>718759.3716015144</v>
      </c>
      <c r="Y28" s="167">
        <v>718435.66394302249</v>
      </c>
      <c r="Z28" s="167">
        <v>718111.95628453058</v>
      </c>
      <c r="AA28" s="167">
        <v>717788.24862603866</v>
      </c>
      <c r="AB28" s="167">
        <v>717464.54096754675</v>
      </c>
      <c r="AC28" s="167">
        <v>717140.83330905484</v>
      </c>
      <c r="AD28" s="167">
        <v>716817.12565056293</v>
      </c>
      <c r="AE28" s="167">
        <v>716493.41799207102</v>
      </c>
      <c r="AF28" s="167">
        <v>716169.7103335791</v>
      </c>
      <c r="AG28" s="167">
        <v>715846.00267508719</v>
      </c>
      <c r="AH28" s="167">
        <v>715522.29501659528</v>
      </c>
      <c r="AI28" s="95"/>
      <c r="AJ28" s="167">
        <v>717464.54096754687</v>
      </c>
      <c r="AK28" s="142">
        <v>2.58E-2</v>
      </c>
      <c r="AL28" s="107">
        <v>18511</v>
      </c>
      <c r="AM28" s="147"/>
    </row>
    <row r="29" spans="1:39" x14ac:dyDescent="0.3">
      <c r="A29" s="110">
        <v>352</v>
      </c>
      <c r="B29" s="111">
        <v>1311052</v>
      </c>
      <c r="C29" s="111">
        <v>5501033</v>
      </c>
      <c r="D29" s="106" t="s">
        <v>266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240000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240000</v>
      </c>
      <c r="R29" s="95"/>
      <c r="S29" s="120">
        <v>240000</v>
      </c>
      <c r="T29" s="95"/>
      <c r="U29" s="95"/>
      <c r="V29" s="107">
        <v>8212436.8601337885</v>
      </c>
      <c r="W29" s="167">
        <v>8208741.553452163</v>
      </c>
      <c r="X29" s="167">
        <v>8205046.2467705375</v>
      </c>
      <c r="Y29" s="167">
        <v>8201350.9400889119</v>
      </c>
      <c r="Z29" s="167">
        <v>8197655.6334072864</v>
      </c>
      <c r="AA29" s="167">
        <v>8193960.3267256608</v>
      </c>
      <c r="AB29" s="167">
        <v>8190265.0200440353</v>
      </c>
      <c r="AC29" s="167">
        <v>8426569.7133624107</v>
      </c>
      <c r="AD29" s="167">
        <v>8422874.4066807851</v>
      </c>
      <c r="AE29" s="167">
        <v>8419179.0999991596</v>
      </c>
      <c r="AF29" s="167">
        <v>8415483.793317534</v>
      </c>
      <c r="AG29" s="167">
        <v>8411788.4866359085</v>
      </c>
      <c r="AH29" s="167">
        <v>8408093.1799542829</v>
      </c>
      <c r="AI29" s="95"/>
      <c r="AJ29" s="167">
        <v>8301034.2508132663</v>
      </c>
      <c r="AK29" s="142">
        <v>3.1899999999999998E-2</v>
      </c>
      <c r="AL29" s="107">
        <v>264803</v>
      </c>
      <c r="AM29" s="147"/>
    </row>
    <row r="30" spans="1:39" x14ac:dyDescent="0.3">
      <c r="A30" s="111" t="s">
        <v>472</v>
      </c>
      <c r="B30" s="111" t="s">
        <v>473</v>
      </c>
      <c r="C30" s="111">
        <v>5505300</v>
      </c>
      <c r="D30" s="95" t="s">
        <v>474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>
        <v>0</v>
      </c>
      <c r="R30" s="95"/>
      <c r="S30" s="95"/>
      <c r="T30" s="95"/>
      <c r="U30" s="95"/>
      <c r="V30" s="107">
        <v>855447.89409914229</v>
      </c>
      <c r="W30" s="167">
        <v>855062.9727447764</v>
      </c>
      <c r="X30" s="167">
        <v>854678.05139041052</v>
      </c>
      <c r="Y30" s="167">
        <v>854293.13003604463</v>
      </c>
      <c r="Z30" s="167">
        <v>853908.20868167875</v>
      </c>
      <c r="AA30" s="167">
        <v>853523.28732731286</v>
      </c>
      <c r="AB30" s="167">
        <v>853138.36597294698</v>
      </c>
      <c r="AC30" s="167">
        <v>852753.4446185811</v>
      </c>
      <c r="AD30" s="167">
        <v>852368.52326421521</v>
      </c>
      <c r="AE30" s="167">
        <v>851983.60190984933</v>
      </c>
      <c r="AF30" s="167">
        <v>851598.68055548344</v>
      </c>
      <c r="AG30" s="167">
        <v>851213.75920111756</v>
      </c>
      <c r="AH30" s="167">
        <v>850828.83784675167</v>
      </c>
      <c r="AI30" s="95"/>
      <c r="AJ30" s="167">
        <v>853138.36597294686</v>
      </c>
      <c r="AK30" s="142">
        <v>1.8499999999999999E-2</v>
      </c>
      <c r="AL30" s="107">
        <v>15783</v>
      </c>
      <c r="AM30" s="147"/>
    </row>
    <row r="31" spans="1:39" x14ac:dyDescent="0.3">
      <c r="A31" s="111" t="s">
        <v>475</v>
      </c>
      <c r="B31" s="111">
        <v>1311052</v>
      </c>
      <c r="C31" s="111">
        <v>5501033</v>
      </c>
      <c r="D31" s="95" t="s">
        <v>476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v>0</v>
      </c>
      <c r="R31" s="95"/>
      <c r="S31" s="95"/>
      <c r="T31" s="95"/>
      <c r="U31" s="95"/>
      <c r="V31" s="107">
        <v>1749266.8412679969</v>
      </c>
      <c r="W31" s="167">
        <v>1748479.732939912</v>
      </c>
      <c r="X31" s="167">
        <v>1747692.6246118271</v>
      </c>
      <c r="Y31" s="167">
        <v>1746905.5162837422</v>
      </c>
      <c r="Z31" s="167">
        <v>1746118.4079556572</v>
      </c>
      <c r="AA31" s="167">
        <v>1745331.2996275723</v>
      </c>
      <c r="AB31" s="167">
        <v>1744544.1912994874</v>
      </c>
      <c r="AC31" s="167">
        <v>1743757.0829714024</v>
      </c>
      <c r="AD31" s="167">
        <v>1742969.9746433175</v>
      </c>
      <c r="AE31" s="167">
        <v>1742182.8663152326</v>
      </c>
      <c r="AF31" s="167">
        <v>1741395.7579871477</v>
      </c>
      <c r="AG31" s="167">
        <v>1740608.6496590627</v>
      </c>
      <c r="AH31" s="167">
        <v>1739821.5413309778</v>
      </c>
      <c r="AI31" s="95"/>
      <c r="AJ31" s="167">
        <v>1744544.1912994874</v>
      </c>
      <c r="AK31" s="142">
        <v>1.83E-2</v>
      </c>
      <c r="AL31" s="107">
        <v>31925</v>
      </c>
      <c r="AM31" s="147"/>
    </row>
    <row r="32" spans="1:39" x14ac:dyDescent="0.3">
      <c r="A32" s="111" t="s">
        <v>477</v>
      </c>
      <c r="B32" s="111">
        <v>1311052</v>
      </c>
      <c r="C32" s="111">
        <v>5501033</v>
      </c>
      <c r="D32" s="95" t="s">
        <v>478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>
        <v>0</v>
      </c>
      <c r="R32" s="95"/>
      <c r="S32" s="95"/>
      <c r="T32" s="95"/>
      <c r="U32" s="95"/>
      <c r="V32" s="107">
        <v>292614.45121622633</v>
      </c>
      <c r="W32" s="167">
        <v>292482.78504269768</v>
      </c>
      <c r="X32" s="167">
        <v>292351.11886916903</v>
      </c>
      <c r="Y32" s="167">
        <v>292219.45269564039</v>
      </c>
      <c r="Z32" s="167">
        <v>292087.78652211174</v>
      </c>
      <c r="AA32" s="167">
        <v>291956.12034858309</v>
      </c>
      <c r="AB32" s="167">
        <v>291824.45417505444</v>
      </c>
      <c r="AC32" s="167">
        <v>291692.7880015258</v>
      </c>
      <c r="AD32" s="167">
        <v>291561.12182799715</v>
      </c>
      <c r="AE32" s="167">
        <v>291429.4556544685</v>
      </c>
      <c r="AF32" s="167">
        <v>291297.78948093986</v>
      </c>
      <c r="AG32" s="167">
        <v>291166.12330741121</v>
      </c>
      <c r="AH32" s="167">
        <v>291034.45713388256</v>
      </c>
      <c r="AI32" s="95"/>
      <c r="AJ32" s="167">
        <v>291824.45417505444</v>
      </c>
      <c r="AK32" s="142">
        <v>1.7500000000000002E-2</v>
      </c>
      <c r="AL32" s="107">
        <v>5107</v>
      </c>
      <c r="AM32" s="147"/>
    </row>
    <row r="33" spans="1:39" x14ac:dyDescent="0.3">
      <c r="A33" s="111" t="s">
        <v>479</v>
      </c>
      <c r="B33" s="111">
        <v>1311052</v>
      </c>
      <c r="C33" s="111">
        <v>5501033</v>
      </c>
      <c r="D33" s="95" t="s">
        <v>270</v>
      </c>
      <c r="E33" s="95">
        <v>0</v>
      </c>
      <c r="F33" s="95">
        <v>0</v>
      </c>
      <c r="G33" s="95">
        <v>0</v>
      </c>
      <c r="H33" s="95">
        <v>0</v>
      </c>
      <c r="I33" s="95">
        <v>6500</v>
      </c>
      <c r="J33" s="95">
        <v>6500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13000</v>
      </c>
      <c r="R33" s="95"/>
      <c r="S33" s="120">
        <v>13000</v>
      </c>
      <c r="T33" s="95"/>
      <c r="U33" s="95"/>
      <c r="V33" s="107">
        <v>6061839.6699510021</v>
      </c>
      <c r="W33" s="167">
        <v>6059112.0560871987</v>
      </c>
      <c r="X33" s="167">
        <v>6056384.4422233952</v>
      </c>
      <c r="Y33" s="167">
        <v>6053656.8283595918</v>
      </c>
      <c r="Z33" s="167">
        <v>6050929.2144957883</v>
      </c>
      <c r="AA33" s="167">
        <v>6054701.6006319849</v>
      </c>
      <c r="AB33" s="167">
        <v>6058473.9867681814</v>
      </c>
      <c r="AC33" s="167">
        <v>6055746.372904378</v>
      </c>
      <c r="AD33" s="167">
        <v>6053018.7590405745</v>
      </c>
      <c r="AE33" s="167">
        <v>6050291.1451767711</v>
      </c>
      <c r="AF33" s="167">
        <v>6047563.5313129677</v>
      </c>
      <c r="AG33" s="167">
        <v>6044835.9174491642</v>
      </c>
      <c r="AH33" s="167">
        <v>6042108.3035853608</v>
      </c>
      <c r="AI33" s="95"/>
      <c r="AJ33" s="167">
        <v>6052973.9867681805</v>
      </c>
      <c r="AK33" s="142">
        <v>2.0500000000000001E-2</v>
      </c>
      <c r="AL33" s="107">
        <v>124086</v>
      </c>
      <c r="AM33" s="147"/>
    </row>
    <row r="34" spans="1:39" x14ac:dyDescent="0.3">
      <c r="A34" s="111" t="s">
        <v>480</v>
      </c>
      <c r="B34" s="111">
        <v>1311052</v>
      </c>
      <c r="C34" s="111">
        <v>5501033</v>
      </c>
      <c r="D34" s="95" t="s">
        <v>481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20500</v>
      </c>
      <c r="K34" s="95">
        <v>0</v>
      </c>
      <c r="L34" s="95">
        <v>20500</v>
      </c>
      <c r="M34" s="95">
        <v>0</v>
      </c>
      <c r="N34" s="95">
        <v>0</v>
      </c>
      <c r="O34" s="95">
        <v>0</v>
      </c>
      <c r="P34" s="95">
        <v>0</v>
      </c>
      <c r="Q34" s="95">
        <v>41000</v>
      </c>
      <c r="R34" s="95"/>
      <c r="S34" s="120">
        <v>41000</v>
      </c>
      <c r="T34" s="95"/>
      <c r="U34" s="95"/>
      <c r="V34" s="107">
        <v>4583047.8041172856</v>
      </c>
      <c r="W34" s="167">
        <v>4580985.5943906</v>
      </c>
      <c r="X34" s="167">
        <v>4578923.3846639143</v>
      </c>
      <c r="Y34" s="167">
        <v>4576861.1749372287</v>
      </c>
      <c r="Z34" s="167">
        <v>4574798.965210543</v>
      </c>
      <c r="AA34" s="167">
        <v>4572736.7554838574</v>
      </c>
      <c r="AB34" s="167">
        <v>4591174.5457571717</v>
      </c>
      <c r="AC34" s="167">
        <v>4589112.336030486</v>
      </c>
      <c r="AD34" s="167">
        <v>4607550.1263038004</v>
      </c>
      <c r="AE34" s="167">
        <v>4605487.9165771147</v>
      </c>
      <c r="AF34" s="167">
        <v>4603425.7068504291</v>
      </c>
      <c r="AG34" s="167">
        <v>4601363.4971237434</v>
      </c>
      <c r="AH34" s="167">
        <v>4599301.2873970577</v>
      </c>
      <c r="AI34" s="95"/>
      <c r="AJ34" s="167">
        <v>4589597.6226802487</v>
      </c>
      <c r="AK34" s="142">
        <v>1.9599999999999999E-2</v>
      </c>
      <c r="AL34" s="107">
        <v>89956</v>
      </c>
      <c r="AM34" s="147"/>
    </row>
    <row r="35" spans="1:39" x14ac:dyDescent="0.3">
      <c r="A35" s="111" t="s">
        <v>482</v>
      </c>
      <c r="B35" s="111">
        <v>1311052</v>
      </c>
      <c r="C35" s="111">
        <v>5501033</v>
      </c>
      <c r="D35" s="95" t="s">
        <v>483</v>
      </c>
      <c r="E35" s="95">
        <v>0</v>
      </c>
      <c r="F35" s="95">
        <v>0</v>
      </c>
      <c r="G35" s="95">
        <v>0</v>
      </c>
      <c r="H35" s="95">
        <v>11800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11800</v>
      </c>
      <c r="R35" s="95"/>
      <c r="S35" s="120">
        <v>11800</v>
      </c>
      <c r="T35" s="95"/>
      <c r="U35" s="95"/>
      <c r="V35" s="107">
        <v>1168554.5093639761</v>
      </c>
      <c r="W35" s="167">
        <v>1168028.7010856492</v>
      </c>
      <c r="X35" s="167">
        <v>1167502.8928073223</v>
      </c>
      <c r="Y35" s="167">
        <v>1166977.0845289954</v>
      </c>
      <c r="Z35" s="167">
        <v>1178251.2762506686</v>
      </c>
      <c r="AA35" s="167">
        <v>1177725.4679723417</v>
      </c>
      <c r="AB35" s="167">
        <v>1177199.6596940148</v>
      </c>
      <c r="AC35" s="167">
        <v>1176673.8514156879</v>
      </c>
      <c r="AD35" s="167">
        <v>1176148.0431373611</v>
      </c>
      <c r="AE35" s="167">
        <v>1175622.2348590342</v>
      </c>
      <c r="AF35" s="167">
        <v>1175096.4265807073</v>
      </c>
      <c r="AG35" s="167">
        <v>1174570.6183023804</v>
      </c>
      <c r="AH35" s="167">
        <v>1174044.8100240536</v>
      </c>
      <c r="AI35" s="95"/>
      <c r="AJ35" s="167">
        <v>1173568.8904632456</v>
      </c>
      <c r="AK35" s="142">
        <v>2.5899999999999999E-2</v>
      </c>
      <c r="AL35" s="107">
        <v>30395</v>
      </c>
      <c r="AM35" s="147"/>
    </row>
    <row r="36" spans="1:39" x14ac:dyDescent="0.3">
      <c r="A36" s="111">
        <v>356</v>
      </c>
      <c r="B36" s="111">
        <v>1311052</v>
      </c>
      <c r="C36" s="111">
        <v>5501033</v>
      </c>
      <c r="D36" s="95" t="s">
        <v>281</v>
      </c>
      <c r="E36" s="95">
        <v>0</v>
      </c>
      <c r="F36" s="95">
        <v>0</v>
      </c>
      <c r="G36" s="95">
        <v>0</v>
      </c>
      <c r="H36" s="95">
        <v>0</v>
      </c>
      <c r="I36" s="95">
        <v>12000</v>
      </c>
      <c r="J36" s="95">
        <v>0</v>
      </c>
      <c r="K36" s="95">
        <v>0</v>
      </c>
      <c r="L36" s="95">
        <v>12000</v>
      </c>
      <c r="M36" s="95">
        <v>0</v>
      </c>
      <c r="N36" s="95">
        <v>0</v>
      </c>
      <c r="O36" s="95">
        <v>0</v>
      </c>
      <c r="P36" s="95">
        <v>0</v>
      </c>
      <c r="Q36" s="95">
        <v>24000</v>
      </c>
      <c r="R36" s="95"/>
      <c r="S36" s="120">
        <v>24000</v>
      </c>
      <c r="T36" s="95"/>
      <c r="U36" s="95"/>
      <c r="V36" s="107">
        <v>6496840.5954392282</v>
      </c>
      <c r="W36" s="167">
        <v>6493917.2465148279</v>
      </c>
      <c r="X36" s="167">
        <v>6490993.8975904277</v>
      </c>
      <c r="Y36" s="167">
        <v>6488070.5486660274</v>
      </c>
      <c r="Z36" s="167">
        <v>6485147.1997416271</v>
      </c>
      <c r="AA36" s="167">
        <v>6494223.8508172268</v>
      </c>
      <c r="AB36" s="167">
        <v>6491300.5018928265</v>
      </c>
      <c r="AC36" s="167">
        <v>6488377.1529684262</v>
      </c>
      <c r="AD36" s="167">
        <v>6497453.804044026</v>
      </c>
      <c r="AE36" s="167">
        <v>6494530.4551196257</v>
      </c>
      <c r="AF36" s="167">
        <v>6491607.1061952254</v>
      </c>
      <c r="AG36" s="167">
        <v>6488683.7572708251</v>
      </c>
      <c r="AH36" s="167">
        <v>6485760.4083464248</v>
      </c>
      <c r="AI36" s="95"/>
      <c r="AJ36" s="167">
        <v>6491300.5018928265</v>
      </c>
      <c r="AK36" s="142">
        <v>3.1899999999999998E-2</v>
      </c>
      <c r="AL36" s="107">
        <v>207072</v>
      </c>
      <c r="AM36" s="147"/>
    </row>
    <row r="37" spans="1:39" x14ac:dyDescent="0.3">
      <c r="A37" s="111" t="s">
        <v>484</v>
      </c>
      <c r="B37" s="111">
        <v>1311052</v>
      </c>
      <c r="C37" s="111">
        <v>5501033</v>
      </c>
      <c r="D37" s="95" t="s">
        <v>485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168">
        <v>0</v>
      </c>
      <c r="R37" s="95"/>
      <c r="S37" s="95"/>
      <c r="T37" s="95"/>
      <c r="U37" s="95"/>
      <c r="V37" s="108">
        <v>109163.57297409023</v>
      </c>
      <c r="W37" s="169">
        <v>109114.45321981127</v>
      </c>
      <c r="X37" s="169">
        <v>109065.33346553231</v>
      </c>
      <c r="Y37" s="169">
        <v>109016.21371125335</v>
      </c>
      <c r="Z37" s="169">
        <v>108967.09395697439</v>
      </c>
      <c r="AA37" s="169">
        <v>108917.97420269543</v>
      </c>
      <c r="AB37" s="169">
        <v>108868.85444841647</v>
      </c>
      <c r="AC37" s="169">
        <v>108819.73469413751</v>
      </c>
      <c r="AD37" s="169">
        <v>108770.61493985855</v>
      </c>
      <c r="AE37" s="169">
        <v>108721.4951855796</v>
      </c>
      <c r="AF37" s="169">
        <v>108672.37543130064</v>
      </c>
      <c r="AG37" s="169">
        <v>108623.25567702168</v>
      </c>
      <c r="AH37" s="169">
        <v>108574.13592274272</v>
      </c>
      <c r="AI37" s="95"/>
      <c r="AJ37" s="167">
        <v>108868.85444841647</v>
      </c>
      <c r="AK37" s="142">
        <v>5.1000000000000004E-3</v>
      </c>
      <c r="AL37" s="108">
        <v>555</v>
      </c>
      <c r="AM37" s="147"/>
    </row>
    <row r="38" spans="1:39" x14ac:dyDescent="0.3">
      <c r="A38" s="109"/>
      <c r="B38" s="109"/>
      <c r="C38" s="109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112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112"/>
      <c r="AM38" s="147"/>
    </row>
    <row r="39" spans="1:39" x14ac:dyDescent="0.3">
      <c r="A39" s="109"/>
      <c r="B39" s="109"/>
      <c r="C39" s="109"/>
      <c r="D39" s="95" t="s">
        <v>455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168">
        <v>329800</v>
      </c>
      <c r="R39" s="95"/>
      <c r="S39" s="168">
        <v>329800</v>
      </c>
      <c r="T39" s="95"/>
      <c r="U39" s="95"/>
      <c r="V39" s="108">
        <v>30508233.316923492</v>
      </c>
      <c r="W39" s="108">
        <v>30494505.688895341</v>
      </c>
      <c r="X39" s="108">
        <v>30480778.060867187</v>
      </c>
      <c r="Y39" s="108">
        <v>30467050.432839032</v>
      </c>
      <c r="Z39" s="108">
        <v>30465122.804810878</v>
      </c>
      <c r="AA39" s="108">
        <v>30469895.176782731</v>
      </c>
      <c r="AB39" s="108">
        <v>30483167.548754577</v>
      </c>
      <c r="AC39" s="108">
        <v>30709439.920726426</v>
      </c>
      <c r="AD39" s="108">
        <v>30728212.292698268</v>
      </c>
      <c r="AE39" s="108">
        <v>30714484.664670121</v>
      </c>
      <c r="AF39" s="108">
        <v>30700757.036641967</v>
      </c>
      <c r="AG39" s="108">
        <v>30687029.408613812</v>
      </c>
      <c r="AH39" s="108">
        <v>30673301.780585662</v>
      </c>
      <c r="AI39" s="95"/>
      <c r="AJ39" s="108">
        <v>30583229.087216113</v>
      </c>
      <c r="AK39" s="95"/>
      <c r="AL39" s="108">
        <v>788193</v>
      </c>
      <c r="AM39" s="147"/>
    </row>
    <row r="40" spans="1:39" x14ac:dyDescent="0.3">
      <c r="A40" s="109"/>
      <c r="B40" s="109"/>
      <c r="C40" s="109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107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112"/>
      <c r="AM40" s="147"/>
    </row>
    <row r="41" spans="1:39" x14ac:dyDescent="0.3">
      <c r="A41" s="109"/>
      <c r="B41" s="109"/>
      <c r="C41" s="109"/>
      <c r="D41" s="98" t="s">
        <v>486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107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118" t="s">
        <v>449</v>
      </c>
      <c r="AM41" s="147"/>
    </row>
    <row r="42" spans="1:39" x14ac:dyDescent="0.3">
      <c r="A42" s="105" t="s">
        <v>487</v>
      </c>
      <c r="B42" s="105">
        <v>1311030</v>
      </c>
      <c r="C42" s="105" t="s">
        <v>451</v>
      </c>
      <c r="D42" s="106" t="s">
        <v>488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>
        <v>0</v>
      </c>
      <c r="R42" s="95"/>
      <c r="S42" s="95"/>
      <c r="T42" s="95"/>
      <c r="U42" s="95"/>
      <c r="V42" s="107">
        <v>422610.5242543096</v>
      </c>
      <c r="W42" s="167">
        <v>422420.36443687673</v>
      </c>
      <c r="X42" s="167">
        <v>422230.20461944386</v>
      </c>
      <c r="Y42" s="167">
        <v>422040.04480201099</v>
      </c>
      <c r="Z42" s="167">
        <v>421849.88498457812</v>
      </c>
      <c r="AA42" s="167">
        <v>421659.72516714525</v>
      </c>
      <c r="AB42" s="167">
        <v>421469.56534971239</v>
      </c>
      <c r="AC42" s="167">
        <v>421279.40553227952</v>
      </c>
      <c r="AD42" s="167">
        <v>421089.24571484665</v>
      </c>
      <c r="AE42" s="167">
        <v>420899.08589741378</v>
      </c>
      <c r="AF42" s="167">
        <v>420708.92607998091</v>
      </c>
      <c r="AG42" s="167">
        <v>420518.76626254804</v>
      </c>
      <c r="AH42" s="167">
        <v>420328.60644511518</v>
      </c>
      <c r="AI42" s="95"/>
      <c r="AJ42" s="167">
        <v>421469.56534971239</v>
      </c>
      <c r="AK42" s="142">
        <v>0</v>
      </c>
      <c r="AL42" s="107">
        <v>0</v>
      </c>
      <c r="AM42" s="147"/>
    </row>
    <row r="43" spans="1:39" x14ac:dyDescent="0.3">
      <c r="A43" s="105" t="s">
        <v>489</v>
      </c>
      <c r="B43" s="105">
        <v>1311030</v>
      </c>
      <c r="C43" s="105" t="s">
        <v>451</v>
      </c>
      <c r="D43" s="106" t="s">
        <v>490</v>
      </c>
      <c r="E43" s="95">
        <v>145800</v>
      </c>
      <c r="F43" s="95">
        <v>145800</v>
      </c>
      <c r="G43" s="95">
        <v>145800</v>
      </c>
      <c r="H43" s="95">
        <v>145800</v>
      </c>
      <c r="I43" s="95">
        <v>145800</v>
      </c>
      <c r="J43" s="95">
        <v>145800</v>
      </c>
      <c r="K43" s="95">
        <v>145800</v>
      </c>
      <c r="L43" s="95">
        <v>145800</v>
      </c>
      <c r="M43" s="95">
        <v>145800</v>
      </c>
      <c r="N43" s="95">
        <v>145800</v>
      </c>
      <c r="O43" s="95">
        <v>145800</v>
      </c>
      <c r="P43" s="95">
        <v>146500</v>
      </c>
      <c r="Q43" s="95">
        <v>1750300</v>
      </c>
      <c r="R43" s="95"/>
      <c r="S43" s="120">
        <v>1750300</v>
      </c>
      <c r="T43" s="95"/>
      <c r="U43" s="95"/>
      <c r="V43" s="107">
        <v>1699024.7474123393</v>
      </c>
      <c r="W43" s="167">
        <v>1844060.2462529042</v>
      </c>
      <c r="X43" s="167">
        <v>1989095.745093469</v>
      </c>
      <c r="Y43" s="167">
        <v>2134131.2439340339</v>
      </c>
      <c r="Z43" s="167">
        <v>2279166.7427745988</v>
      </c>
      <c r="AA43" s="167">
        <v>2424202.2416151636</v>
      </c>
      <c r="AB43" s="167">
        <v>2569237.7404557285</v>
      </c>
      <c r="AC43" s="167">
        <v>2714273.2392962934</v>
      </c>
      <c r="AD43" s="167">
        <v>2859308.7381368582</v>
      </c>
      <c r="AE43" s="167">
        <v>3004344.2369774231</v>
      </c>
      <c r="AF43" s="167">
        <v>3149379.7358179879</v>
      </c>
      <c r="AG43" s="167">
        <v>3294415.2346585528</v>
      </c>
      <c r="AH43" s="167">
        <v>3440150.7334991177</v>
      </c>
      <c r="AI43" s="95"/>
      <c r="AJ43" s="167">
        <v>2569291.586609575</v>
      </c>
      <c r="AK43" s="142">
        <v>0</v>
      </c>
      <c r="AL43" s="107">
        <v>0</v>
      </c>
      <c r="AM43" s="147"/>
    </row>
    <row r="44" spans="1:39" x14ac:dyDescent="0.3">
      <c r="A44" s="105" t="s">
        <v>491</v>
      </c>
      <c r="B44" s="105">
        <v>1311060</v>
      </c>
      <c r="C44" s="105">
        <v>5501040</v>
      </c>
      <c r="D44" s="106" t="s">
        <v>492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>
        <v>0</v>
      </c>
      <c r="R44" s="95"/>
      <c r="S44" s="95"/>
      <c r="T44" s="95"/>
      <c r="U44" s="95"/>
      <c r="V44" s="107">
        <v>353360.08460570668</v>
      </c>
      <c r="W44" s="167">
        <v>353201.08504152106</v>
      </c>
      <c r="X44" s="167">
        <v>353042.08547733544</v>
      </c>
      <c r="Y44" s="167">
        <v>352883.08591314981</v>
      </c>
      <c r="Z44" s="167">
        <v>352724.08634896419</v>
      </c>
      <c r="AA44" s="167">
        <v>352565.08678477857</v>
      </c>
      <c r="AB44" s="167">
        <v>352406.08722059295</v>
      </c>
      <c r="AC44" s="167">
        <v>352247.08765640733</v>
      </c>
      <c r="AD44" s="167">
        <v>352088.0880922217</v>
      </c>
      <c r="AE44" s="167">
        <v>351929.08852803608</v>
      </c>
      <c r="AF44" s="167">
        <v>351770.08896385046</v>
      </c>
      <c r="AG44" s="167">
        <v>351611.08939966484</v>
      </c>
      <c r="AH44" s="167">
        <v>351452.08983547922</v>
      </c>
      <c r="AI44" s="95"/>
      <c r="AJ44" s="167">
        <v>352406.08722059295</v>
      </c>
      <c r="AK44" s="142">
        <v>2.3E-2</v>
      </c>
      <c r="AL44" s="107">
        <v>8105</v>
      </c>
      <c r="AM44" s="147"/>
    </row>
    <row r="45" spans="1:39" x14ac:dyDescent="0.3">
      <c r="A45" s="105" t="s">
        <v>493</v>
      </c>
      <c r="B45" s="105">
        <v>1311060</v>
      </c>
      <c r="C45" s="105">
        <v>5501040</v>
      </c>
      <c r="D45" s="106" t="s">
        <v>293</v>
      </c>
      <c r="E45" s="95">
        <v>0</v>
      </c>
      <c r="F45" s="95">
        <v>0</v>
      </c>
      <c r="G45" s="95">
        <v>0</v>
      </c>
      <c r="H45" s="95">
        <v>0</v>
      </c>
      <c r="I45" s="95">
        <v>551400</v>
      </c>
      <c r="J45" s="95">
        <v>551400</v>
      </c>
      <c r="K45" s="95">
        <v>551500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1654300</v>
      </c>
      <c r="R45" s="95"/>
      <c r="S45" s="120">
        <v>1654300</v>
      </c>
      <c r="T45" s="95"/>
      <c r="U45" s="95"/>
      <c r="V45" s="107">
        <v>50541776.757751346</v>
      </c>
      <c r="W45" s="167">
        <v>50519034.742374547</v>
      </c>
      <c r="X45" s="167">
        <v>50496292.726997748</v>
      </c>
      <c r="Y45" s="167">
        <v>50473550.711620949</v>
      </c>
      <c r="Z45" s="167">
        <v>50450808.69624415</v>
      </c>
      <c r="AA45" s="167">
        <v>50979466.680867352</v>
      </c>
      <c r="AB45" s="167">
        <v>51508124.665490553</v>
      </c>
      <c r="AC45" s="167">
        <v>52036882.650113754</v>
      </c>
      <c r="AD45" s="167">
        <v>52014140.634736955</v>
      </c>
      <c r="AE45" s="167">
        <v>51991398.619360156</v>
      </c>
      <c r="AF45" s="167">
        <v>51968656.603983358</v>
      </c>
      <c r="AG45" s="167">
        <v>51945914.588606559</v>
      </c>
      <c r="AH45" s="167">
        <v>51923172.57322976</v>
      </c>
      <c r="AI45" s="95"/>
      <c r="AJ45" s="167">
        <v>51296093.896259792</v>
      </c>
      <c r="AK45" s="142">
        <v>2.8799999999999999E-2</v>
      </c>
      <c r="AL45" s="107">
        <v>1477328</v>
      </c>
      <c r="AM45" s="147"/>
    </row>
    <row r="46" spans="1:39" x14ac:dyDescent="0.3">
      <c r="A46" s="105" t="s">
        <v>494</v>
      </c>
      <c r="B46" s="105">
        <v>1311060</v>
      </c>
      <c r="C46" s="105">
        <v>5501040</v>
      </c>
      <c r="D46" s="106" t="s">
        <v>495</v>
      </c>
      <c r="E46" s="95">
        <v>0</v>
      </c>
      <c r="F46" s="95">
        <v>0</v>
      </c>
      <c r="G46" s="95">
        <v>0</v>
      </c>
      <c r="H46" s="95">
        <v>0</v>
      </c>
      <c r="I46" s="95">
        <v>17500</v>
      </c>
      <c r="J46" s="95">
        <v>0</v>
      </c>
      <c r="K46" s="95">
        <v>0</v>
      </c>
      <c r="L46" s="95">
        <v>0</v>
      </c>
      <c r="M46" s="95">
        <v>17500</v>
      </c>
      <c r="N46" s="95">
        <v>0</v>
      </c>
      <c r="O46" s="95">
        <v>0</v>
      </c>
      <c r="P46" s="95">
        <v>0</v>
      </c>
      <c r="Q46" s="95">
        <v>35000</v>
      </c>
      <c r="R46" s="95"/>
      <c r="S46" s="120">
        <v>35000</v>
      </c>
      <c r="T46" s="95"/>
      <c r="U46" s="95"/>
      <c r="V46" s="107">
        <v>9142514.4187157117</v>
      </c>
      <c r="W46" s="167">
        <v>9138400.6099651884</v>
      </c>
      <c r="X46" s="167">
        <v>9134286.8012146652</v>
      </c>
      <c r="Y46" s="167">
        <v>9130172.9924641419</v>
      </c>
      <c r="Z46" s="167">
        <v>9126059.1837136187</v>
      </c>
      <c r="AA46" s="167">
        <v>9139445.3749630954</v>
      </c>
      <c r="AB46" s="167">
        <v>9135331.5662125722</v>
      </c>
      <c r="AC46" s="167">
        <v>9131217.7574620489</v>
      </c>
      <c r="AD46" s="167">
        <v>9127103.9487115256</v>
      </c>
      <c r="AE46" s="167">
        <v>9140490.1399610024</v>
      </c>
      <c r="AF46" s="167">
        <v>9136376.3312104791</v>
      </c>
      <c r="AG46" s="167">
        <v>9132262.5224599559</v>
      </c>
      <c r="AH46" s="167">
        <v>9128148.7137094326</v>
      </c>
      <c r="AI46" s="95"/>
      <c r="AJ46" s="167">
        <v>9133985.4123664182</v>
      </c>
      <c r="AK46" s="142">
        <v>3.2000000000000001E-2</v>
      </c>
      <c r="AL46" s="107">
        <v>292288</v>
      </c>
      <c r="AM46" s="147"/>
    </row>
    <row r="47" spans="1:39" x14ac:dyDescent="0.3">
      <c r="A47" s="105" t="s">
        <v>496</v>
      </c>
      <c r="B47" s="105">
        <v>1311060</v>
      </c>
      <c r="C47" s="105">
        <v>5501040</v>
      </c>
      <c r="D47" s="106" t="s">
        <v>497</v>
      </c>
      <c r="E47" s="95">
        <v>4200</v>
      </c>
      <c r="F47" s="95">
        <v>4200</v>
      </c>
      <c r="G47" s="95">
        <v>4200</v>
      </c>
      <c r="H47" s="95">
        <v>4200</v>
      </c>
      <c r="I47" s="95">
        <v>4200</v>
      </c>
      <c r="J47" s="95">
        <v>4200</v>
      </c>
      <c r="K47" s="95">
        <v>4200</v>
      </c>
      <c r="L47" s="95">
        <v>4200</v>
      </c>
      <c r="M47" s="95">
        <v>4200</v>
      </c>
      <c r="N47" s="95">
        <v>4200</v>
      </c>
      <c r="O47" s="95">
        <v>4200</v>
      </c>
      <c r="P47" s="95">
        <v>3800</v>
      </c>
      <c r="Q47" s="95">
        <v>50000</v>
      </c>
      <c r="R47" s="95"/>
      <c r="S47" s="120">
        <v>50000</v>
      </c>
      <c r="T47" s="95"/>
      <c r="U47" s="95"/>
      <c r="V47" s="107">
        <v>5188774.1870760908</v>
      </c>
      <c r="W47" s="167">
        <v>5190639.4218596881</v>
      </c>
      <c r="X47" s="167">
        <v>5192504.6566432854</v>
      </c>
      <c r="Y47" s="167">
        <v>5194369.8914268827</v>
      </c>
      <c r="Z47" s="167">
        <v>5196235.12621048</v>
      </c>
      <c r="AA47" s="167">
        <v>5198100.3609940773</v>
      </c>
      <c r="AB47" s="167">
        <v>5199965.5957776746</v>
      </c>
      <c r="AC47" s="167">
        <v>5201830.8305612719</v>
      </c>
      <c r="AD47" s="167">
        <v>5203696.0653448692</v>
      </c>
      <c r="AE47" s="167">
        <v>5205561.3001284664</v>
      </c>
      <c r="AF47" s="167">
        <v>5207426.5349120637</v>
      </c>
      <c r="AG47" s="167">
        <v>5209291.769695661</v>
      </c>
      <c r="AH47" s="167">
        <v>5210757.0044792583</v>
      </c>
      <c r="AI47" s="95"/>
      <c r="AJ47" s="167">
        <v>5199934.8265469056</v>
      </c>
      <c r="AK47" s="142">
        <v>3.5000000000000003E-2</v>
      </c>
      <c r="AL47" s="107">
        <v>181998</v>
      </c>
      <c r="AM47" s="147"/>
    </row>
    <row r="48" spans="1:39" x14ac:dyDescent="0.3">
      <c r="A48" s="105" t="s">
        <v>498</v>
      </c>
      <c r="B48" s="105">
        <v>1311060</v>
      </c>
      <c r="C48" s="105">
        <v>5501040</v>
      </c>
      <c r="D48" s="106" t="s">
        <v>499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4600</v>
      </c>
      <c r="M48" s="95">
        <v>0</v>
      </c>
      <c r="N48" s="95">
        <v>4600</v>
      </c>
      <c r="O48" s="95">
        <v>0</v>
      </c>
      <c r="P48" s="95">
        <v>0</v>
      </c>
      <c r="Q48" s="95">
        <v>9200</v>
      </c>
      <c r="R48" s="95"/>
      <c r="S48" s="120">
        <v>9200</v>
      </c>
      <c r="T48" s="95"/>
      <c r="U48" s="95"/>
      <c r="V48" s="108">
        <v>398084.60268361773</v>
      </c>
      <c r="W48" s="169">
        <v>397905.47866510751</v>
      </c>
      <c r="X48" s="169">
        <v>397726.35464659729</v>
      </c>
      <c r="Y48" s="169">
        <v>397547.23062808707</v>
      </c>
      <c r="Z48" s="169">
        <v>397368.10660957685</v>
      </c>
      <c r="AA48" s="169">
        <v>397188.98259106663</v>
      </c>
      <c r="AB48" s="169">
        <v>397009.8585725564</v>
      </c>
      <c r="AC48" s="169">
        <v>396830.73455404618</v>
      </c>
      <c r="AD48" s="169">
        <v>401251.61053553596</v>
      </c>
      <c r="AE48" s="169">
        <v>401072.48651702574</v>
      </c>
      <c r="AF48" s="169">
        <v>405493.36249851552</v>
      </c>
      <c r="AG48" s="169">
        <v>405314.2384800053</v>
      </c>
      <c r="AH48" s="169">
        <v>405135.11446149508</v>
      </c>
      <c r="AI48" s="95"/>
      <c r="AJ48" s="167">
        <v>399840.62780332565</v>
      </c>
      <c r="AK48" s="142">
        <v>2.1899999999999999E-2</v>
      </c>
      <c r="AL48" s="108">
        <v>8757</v>
      </c>
      <c r="AM48" s="147"/>
    </row>
    <row r="49" spans="1:39" x14ac:dyDescent="0.3">
      <c r="A49" s="109"/>
      <c r="B49" s="109"/>
      <c r="C49" s="109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112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112"/>
      <c r="AM49" s="147"/>
    </row>
    <row r="50" spans="1:39" x14ac:dyDescent="0.3">
      <c r="A50" s="109"/>
      <c r="B50" s="109"/>
      <c r="C50" s="109"/>
      <c r="D50" s="106" t="s">
        <v>455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168">
        <v>3498800</v>
      </c>
      <c r="R50" s="95"/>
      <c r="S50" s="168">
        <v>3498800</v>
      </c>
      <c r="T50" s="95"/>
      <c r="U50" s="95"/>
      <c r="V50" s="108">
        <v>67746145.322499126</v>
      </c>
      <c r="W50" s="108">
        <v>67865661.948595837</v>
      </c>
      <c r="X50" s="108">
        <v>67985178.574692532</v>
      </c>
      <c r="Y50" s="108">
        <v>68104695.200789258</v>
      </c>
      <c r="Z50" s="108">
        <v>68224211.826885968</v>
      </c>
      <c r="AA50" s="108">
        <v>68912628.452982679</v>
      </c>
      <c r="AB50" s="108">
        <v>69583545.07907939</v>
      </c>
      <c r="AC50" s="108">
        <v>70254561.7051761</v>
      </c>
      <c r="AD50" s="108">
        <v>70378678.331272811</v>
      </c>
      <c r="AE50" s="108">
        <v>70515694.957369521</v>
      </c>
      <c r="AF50" s="108">
        <v>70639811.583466232</v>
      </c>
      <c r="AG50" s="108">
        <v>70759328.209562942</v>
      </c>
      <c r="AH50" s="108">
        <v>70879144.835659653</v>
      </c>
      <c r="AI50" s="95"/>
      <c r="AJ50" s="108">
        <v>69373022.002156317</v>
      </c>
      <c r="AK50" s="95"/>
      <c r="AL50" s="108">
        <v>1968476</v>
      </c>
      <c r="AM50" s="147"/>
    </row>
    <row r="51" spans="1:39" x14ac:dyDescent="0.3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107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118"/>
      <c r="AM51" s="147"/>
    </row>
    <row r="52" spans="1:39" x14ac:dyDescent="0.3">
      <c r="A52" s="109"/>
      <c r="B52" s="109"/>
      <c r="C52" s="109"/>
      <c r="D52" s="98" t="s">
        <v>500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107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118" t="s">
        <v>449</v>
      </c>
      <c r="AM52" s="147"/>
    </row>
    <row r="53" spans="1:39" x14ac:dyDescent="0.3">
      <c r="A53" s="105" t="s">
        <v>501</v>
      </c>
      <c r="B53" s="105">
        <v>1311030</v>
      </c>
      <c r="C53" s="105" t="s">
        <v>451</v>
      </c>
      <c r="D53" s="106" t="s">
        <v>502</v>
      </c>
      <c r="E53" s="95">
        <v>500</v>
      </c>
      <c r="F53" s="95">
        <v>500</v>
      </c>
      <c r="G53" s="95">
        <v>500</v>
      </c>
      <c r="H53" s="95">
        <v>500</v>
      </c>
      <c r="I53" s="95">
        <v>500</v>
      </c>
      <c r="J53" s="95">
        <v>500</v>
      </c>
      <c r="K53" s="95">
        <v>500</v>
      </c>
      <c r="L53" s="95">
        <v>500</v>
      </c>
      <c r="M53" s="95">
        <v>500</v>
      </c>
      <c r="N53" s="95">
        <v>500</v>
      </c>
      <c r="O53" s="95">
        <v>500</v>
      </c>
      <c r="P53" s="95">
        <v>500</v>
      </c>
      <c r="Q53" s="95">
        <v>6000</v>
      </c>
      <c r="R53" s="95"/>
      <c r="S53" s="120">
        <v>6000</v>
      </c>
      <c r="T53" s="95"/>
      <c r="U53" s="95"/>
      <c r="V53" s="107">
        <v>291714.36290218483</v>
      </c>
      <c r="W53" s="167">
        <v>292083.10173662368</v>
      </c>
      <c r="X53" s="167">
        <v>292451.84057106252</v>
      </c>
      <c r="Y53" s="167">
        <v>292820.57940550137</v>
      </c>
      <c r="Z53" s="167">
        <v>293189.31823994021</v>
      </c>
      <c r="AA53" s="167">
        <v>293558.05707437906</v>
      </c>
      <c r="AB53" s="167">
        <v>293926.79590881791</v>
      </c>
      <c r="AC53" s="167">
        <v>294295.53474325675</v>
      </c>
      <c r="AD53" s="167">
        <v>294664.2735776956</v>
      </c>
      <c r="AE53" s="167">
        <v>295033.01241213444</v>
      </c>
      <c r="AF53" s="167">
        <v>295401.75124657329</v>
      </c>
      <c r="AG53" s="167">
        <v>295770.49008101213</v>
      </c>
      <c r="AH53" s="167">
        <v>296139.22891545098</v>
      </c>
      <c r="AI53" s="95"/>
      <c r="AJ53" s="167">
        <v>293926.79590881796</v>
      </c>
      <c r="AK53" s="142">
        <v>0</v>
      </c>
      <c r="AL53" s="107">
        <v>0</v>
      </c>
      <c r="AM53" s="147"/>
    </row>
    <row r="54" spans="1:39" x14ac:dyDescent="0.3">
      <c r="A54" s="105">
        <v>37401</v>
      </c>
      <c r="B54" s="105">
        <v>1311030</v>
      </c>
      <c r="C54" s="105" t="s">
        <v>451</v>
      </c>
      <c r="D54" s="106" t="s">
        <v>503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>
        <v>0</v>
      </c>
      <c r="R54" s="95"/>
      <c r="S54" s="95"/>
      <c r="T54" s="95"/>
      <c r="U54" s="95"/>
      <c r="V54" s="107">
        <v>71175.305783470991</v>
      </c>
      <c r="W54" s="167">
        <v>71143.279408412316</v>
      </c>
      <c r="X54" s="167">
        <v>71111.253033353642</v>
      </c>
      <c r="Y54" s="167">
        <v>71079.226658294967</v>
      </c>
      <c r="Z54" s="167">
        <v>71047.200283236292</v>
      </c>
      <c r="AA54" s="167">
        <v>71015.173908177618</v>
      </c>
      <c r="AB54" s="167">
        <v>70983.147533118943</v>
      </c>
      <c r="AC54" s="167">
        <v>70951.121158060268</v>
      </c>
      <c r="AD54" s="167">
        <v>70919.094783001594</v>
      </c>
      <c r="AE54" s="167">
        <v>70887.068407942919</v>
      </c>
      <c r="AF54" s="167">
        <v>70855.042032884245</v>
      </c>
      <c r="AG54" s="167">
        <v>70823.01565782557</v>
      </c>
      <c r="AH54" s="167">
        <v>70790.989282766895</v>
      </c>
      <c r="AI54" s="95"/>
      <c r="AJ54" s="167">
        <v>70983.147533118943</v>
      </c>
      <c r="AK54" s="142">
        <v>0</v>
      </c>
      <c r="AL54" s="107">
        <v>0</v>
      </c>
      <c r="AM54" s="147"/>
    </row>
    <row r="55" spans="1:39" x14ac:dyDescent="0.3">
      <c r="A55" s="105" t="s">
        <v>504</v>
      </c>
      <c r="B55" s="105">
        <v>1311070</v>
      </c>
      <c r="C55" s="105">
        <v>5501050</v>
      </c>
      <c r="D55" s="106" t="s">
        <v>492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>
        <v>0</v>
      </c>
      <c r="R55" s="95"/>
      <c r="S55" s="95"/>
      <c r="T55" s="95"/>
      <c r="U55" s="95"/>
      <c r="V55" s="107">
        <v>117724.97302321078</v>
      </c>
      <c r="W55" s="167">
        <v>117672.00094113383</v>
      </c>
      <c r="X55" s="167">
        <v>117619.02885905687</v>
      </c>
      <c r="Y55" s="167">
        <v>117566.05677697991</v>
      </c>
      <c r="Z55" s="167">
        <v>117513.08469490295</v>
      </c>
      <c r="AA55" s="167">
        <v>117460.11261282599</v>
      </c>
      <c r="AB55" s="167">
        <v>117407.14053074903</v>
      </c>
      <c r="AC55" s="167">
        <v>117354.16844867208</v>
      </c>
      <c r="AD55" s="167">
        <v>117301.19636659512</v>
      </c>
      <c r="AE55" s="167">
        <v>117248.22428451816</v>
      </c>
      <c r="AF55" s="167">
        <v>117195.2522024412</v>
      </c>
      <c r="AG55" s="167">
        <v>117142.28012036424</v>
      </c>
      <c r="AH55" s="167">
        <v>117089.30803828729</v>
      </c>
      <c r="AI55" s="95"/>
      <c r="AJ55" s="167">
        <v>117407.14053074905</v>
      </c>
      <c r="AK55" s="142">
        <v>2.3400000000000001E-2</v>
      </c>
      <c r="AL55" s="107">
        <v>2747</v>
      </c>
      <c r="AM55" s="147"/>
    </row>
    <row r="56" spans="1:39" x14ac:dyDescent="0.3">
      <c r="A56" s="105" t="s">
        <v>505</v>
      </c>
      <c r="B56" s="105">
        <v>1311070</v>
      </c>
      <c r="C56" s="105">
        <v>5501050</v>
      </c>
      <c r="D56" s="106" t="s">
        <v>321</v>
      </c>
      <c r="E56" s="95">
        <v>50000</v>
      </c>
      <c r="F56" s="95">
        <v>50000</v>
      </c>
      <c r="G56" s="95">
        <v>160000</v>
      </c>
      <c r="H56" s="95">
        <v>660000</v>
      </c>
      <c r="I56" s="95">
        <v>760000</v>
      </c>
      <c r="J56" s="95">
        <v>760000</v>
      </c>
      <c r="K56" s="95">
        <v>760000</v>
      </c>
      <c r="L56" s="95">
        <v>760000</v>
      </c>
      <c r="M56" s="95">
        <v>760000</v>
      </c>
      <c r="N56" s="95">
        <v>760000</v>
      </c>
      <c r="O56" s="95">
        <v>560000</v>
      </c>
      <c r="P56" s="95">
        <v>360000</v>
      </c>
      <c r="Q56" s="95">
        <v>6400000</v>
      </c>
      <c r="R56" s="95"/>
      <c r="S56" s="120">
        <v>6400000</v>
      </c>
      <c r="T56" s="95"/>
      <c r="U56" s="95"/>
      <c r="V56" s="107">
        <v>102769290.55668426</v>
      </c>
      <c r="W56" s="167">
        <v>102773048.00376996</v>
      </c>
      <c r="X56" s="167">
        <v>102776805.45085567</v>
      </c>
      <c r="Y56" s="167">
        <v>102890562.89794138</v>
      </c>
      <c r="Z56" s="167">
        <v>103504320.34502709</v>
      </c>
      <c r="AA56" s="167">
        <v>104218077.7921128</v>
      </c>
      <c r="AB56" s="167">
        <v>104931835.23919851</v>
      </c>
      <c r="AC56" s="167">
        <v>105645592.68628421</v>
      </c>
      <c r="AD56" s="167">
        <v>106359350.13336992</v>
      </c>
      <c r="AE56" s="167">
        <v>107073107.58045563</v>
      </c>
      <c r="AF56" s="167">
        <v>107786865.02754134</v>
      </c>
      <c r="AG56" s="167">
        <v>108300622.47462705</v>
      </c>
      <c r="AH56" s="167">
        <v>108614379.92171276</v>
      </c>
      <c r="AI56" s="95"/>
      <c r="AJ56" s="167">
        <v>105203373.70073697</v>
      </c>
      <c r="AK56" s="142">
        <v>3.0499999999999999E-2</v>
      </c>
      <c r="AL56" s="107">
        <v>3208703</v>
      </c>
      <c r="AM56" s="147"/>
    </row>
    <row r="57" spans="1:39" x14ac:dyDescent="0.3">
      <c r="A57" s="105" t="s">
        <v>506</v>
      </c>
      <c r="B57" s="105">
        <v>1311070</v>
      </c>
      <c r="C57" s="105">
        <v>5501050</v>
      </c>
      <c r="D57" s="106" t="s">
        <v>507</v>
      </c>
      <c r="E57" s="95">
        <v>5800</v>
      </c>
      <c r="F57" s="95">
        <v>5800</v>
      </c>
      <c r="G57" s="95">
        <v>5800</v>
      </c>
      <c r="H57" s="95">
        <v>5800</v>
      </c>
      <c r="I57" s="95">
        <v>5800</v>
      </c>
      <c r="J57" s="95">
        <v>5800</v>
      </c>
      <c r="K57" s="95">
        <v>5800</v>
      </c>
      <c r="L57" s="95">
        <v>5800</v>
      </c>
      <c r="M57" s="95">
        <v>5800</v>
      </c>
      <c r="N57" s="95">
        <v>5800</v>
      </c>
      <c r="O57" s="95">
        <v>5800</v>
      </c>
      <c r="P57" s="95">
        <v>6200</v>
      </c>
      <c r="Q57" s="95">
        <v>70000</v>
      </c>
      <c r="R57" s="95"/>
      <c r="S57" s="120">
        <v>70000</v>
      </c>
      <c r="T57" s="95"/>
      <c r="U57" s="95"/>
      <c r="V57" s="107">
        <v>2253714.4654904804</v>
      </c>
      <c r="W57" s="167">
        <v>2258500.3735388904</v>
      </c>
      <c r="X57" s="167">
        <v>2263286.2815873004</v>
      </c>
      <c r="Y57" s="167">
        <v>2268072.1896357103</v>
      </c>
      <c r="Z57" s="167">
        <v>2272858.0976841203</v>
      </c>
      <c r="AA57" s="167">
        <v>2277644.0057325303</v>
      </c>
      <c r="AB57" s="167">
        <v>2282429.9137809402</v>
      </c>
      <c r="AC57" s="167">
        <v>2287215.8218293502</v>
      </c>
      <c r="AD57" s="167">
        <v>2292001.7298777602</v>
      </c>
      <c r="AE57" s="167">
        <v>2296787.6379261701</v>
      </c>
      <c r="AF57" s="167">
        <v>2301573.5459745801</v>
      </c>
      <c r="AG57" s="167">
        <v>2306359.4540229901</v>
      </c>
      <c r="AH57" s="167">
        <v>2311545.3620714</v>
      </c>
      <c r="AI57" s="95"/>
      <c r="AJ57" s="167">
        <v>2282460.6830117088</v>
      </c>
      <c r="AK57" s="142">
        <v>3.1800000000000002E-2</v>
      </c>
      <c r="AL57" s="107">
        <v>72582</v>
      </c>
      <c r="AM57" s="147"/>
    </row>
    <row r="58" spans="1:39" x14ac:dyDescent="0.3">
      <c r="A58" s="105" t="s">
        <v>508</v>
      </c>
      <c r="B58" s="105">
        <v>1311070</v>
      </c>
      <c r="C58" s="105">
        <v>5501050</v>
      </c>
      <c r="D58" s="106" t="s">
        <v>509</v>
      </c>
      <c r="E58" s="95">
        <v>2500</v>
      </c>
      <c r="F58" s="95">
        <v>2500</v>
      </c>
      <c r="G58" s="95">
        <v>2500</v>
      </c>
      <c r="H58" s="95">
        <v>2500</v>
      </c>
      <c r="I58" s="95">
        <v>2500</v>
      </c>
      <c r="J58" s="95">
        <v>2500</v>
      </c>
      <c r="K58" s="95">
        <v>2500</v>
      </c>
      <c r="L58" s="95">
        <v>2500</v>
      </c>
      <c r="M58" s="95">
        <v>2500</v>
      </c>
      <c r="N58" s="95">
        <v>2500</v>
      </c>
      <c r="O58" s="95">
        <v>2500</v>
      </c>
      <c r="P58" s="95">
        <v>2500</v>
      </c>
      <c r="Q58" s="95">
        <v>30000</v>
      </c>
      <c r="R58" s="95"/>
      <c r="S58" s="120">
        <v>30000</v>
      </c>
      <c r="T58" s="95"/>
      <c r="U58" s="95"/>
      <c r="V58" s="107">
        <v>953185.16511912039</v>
      </c>
      <c r="W58" s="167">
        <v>955256.26544299757</v>
      </c>
      <c r="X58" s="167">
        <v>957327.36576687475</v>
      </c>
      <c r="Y58" s="167">
        <v>959398.46609075193</v>
      </c>
      <c r="Z58" s="167">
        <v>961469.56641462911</v>
      </c>
      <c r="AA58" s="167">
        <v>963540.66673850629</v>
      </c>
      <c r="AB58" s="167">
        <v>965611.76706238347</v>
      </c>
      <c r="AC58" s="167">
        <v>967682.86738626065</v>
      </c>
      <c r="AD58" s="167">
        <v>969753.96771013783</v>
      </c>
      <c r="AE58" s="167">
        <v>971825.06803401501</v>
      </c>
      <c r="AF58" s="167">
        <v>973896.16835789219</v>
      </c>
      <c r="AG58" s="167">
        <v>975967.26868176938</v>
      </c>
      <c r="AH58" s="167">
        <v>978038.36900564656</v>
      </c>
      <c r="AI58" s="95"/>
      <c r="AJ58" s="167">
        <v>965611.76706238359</v>
      </c>
      <c r="AK58" s="142">
        <v>2.1700000000000001E-2</v>
      </c>
      <c r="AL58" s="107">
        <v>20954</v>
      </c>
      <c r="AM58" s="147"/>
    </row>
    <row r="59" spans="1:39" x14ac:dyDescent="0.3">
      <c r="A59" s="106" t="s">
        <v>510</v>
      </c>
      <c r="B59" s="105">
        <v>1311070</v>
      </c>
      <c r="C59" s="105">
        <v>5501050</v>
      </c>
      <c r="D59" s="106" t="s">
        <v>511</v>
      </c>
      <c r="E59" s="95">
        <v>45000</v>
      </c>
      <c r="F59" s="95">
        <v>45000</v>
      </c>
      <c r="G59" s="95">
        <v>90000</v>
      </c>
      <c r="H59" s="95">
        <v>180000</v>
      </c>
      <c r="I59" s="95">
        <v>180000</v>
      </c>
      <c r="J59" s="95">
        <v>180000</v>
      </c>
      <c r="K59" s="95">
        <v>180000</v>
      </c>
      <c r="L59" s="95">
        <v>180000</v>
      </c>
      <c r="M59" s="95">
        <v>90000</v>
      </c>
      <c r="N59" s="95">
        <v>90000</v>
      </c>
      <c r="O59" s="95">
        <v>90000</v>
      </c>
      <c r="P59" s="95">
        <v>90000</v>
      </c>
      <c r="Q59" s="95">
        <v>1440000</v>
      </c>
      <c r="R59" s="95"/>
      <c r="S59" s="120">
        <v>1440000</v>
      </c>
      <c r="T59" s="95"/>
      <c r="U59" s="95"/>
      <c r="V59" s="107">
        <v>24190710.021888841</v>
      </c>
      <c r="W59" s="167">
        <v>24224825.056329947</v>
      </c>
      <c r="X59" s="167">
        <v>24258940.090771053</v>
      </c>
      <c r="Y59" s="167">
        <v>24338055.125212159</v>
      </c>
      <c r="Z59" s="167">
        <v>24507170.159653265</v>
      </c>
      <c r="AA59" s="167">
        <v>24676285.194094371</v>
      </c>
      <c r="AB59" s="167">
        <v>24845400.228535477</v>
      </c>
      <c r="AC59" s="167">
        <v>25014515.262976583</v>
      </c>
      <c r="AD59" s="167">
        <v>25183630.297417689</v>
      </c>
      <c r="AE59" s="167">
        <v>25262745.331858795</v>
      </c>
      <c r="AF59" s="167">
        <v>25341860.366299901</v>
      </c>
      <c r="AG59" s="167">
        <v>25420975.400741007</v>
      </c>
      <c r="AH59" s="167">
        <v>25500090.435182113</v>
      </c>
      <c r="AI59" s="95"/>
      <c r="AJ59" s="167">
        <v>24828092.536227781</v>
      </c>
      <c r="AK59" s="142">
        <v>3.1E-2</v>
      </c>
      <c r="AL59" s="107">
        <v>769671</v>
      </c>
      <c r="AM59" s="95"/>
    </row>
    <row r="60" spans="1:39" x14ac:dyDescent="0.3">
      <c r="A60" s="105" t="s">
        <v>512</v>
      </c>
      <c r="B60" s="105">
        <v>1311070</v>
      </c>
      <c r="C60" s="105">
        <v>5501050</v>
      </c>
      <c r="D60" s="106" t="s">
        <v>513</v>
      </c>
      <c r="E60" s="95">
        <v>100520</v>
      </c>
      <c r="F60" s="95">
        <v>54570</v>
      </c>
      <c r="G60" s="95">
        <v>39190</v>
      </c>
      <c r="H60" s="95">
        <v>347010</v>
      </c>
      <c r="I60" s="95">
        <v>54780</v>
      </c>
      <c r="J60" s="95">
        <v>56130</v>
      </c>
      <c r="K60" s="95">
        <v>32300</v>
      </c>
      <c r="L60" s="95">
        <v>27640</v>
      </c>
      <c r="M60" s="95">
        <v>30300</v>
      </c>
      <c r="N60" s="95">
        <v>42200</v>
      </c>
      <c r="O60" s="95">
        <v>23960</v>
      </c>
      <c r="P60" s="95">
        <v>57930</v>
      </c>
      <c r="Q60" s="95">
        <v>866530</v>
      </c>
      <c r="R60" s="95"/>
      <c r="S60" s="120">
        <v>866530</v>
      </c>
      <c r="T60" s="95"/>
      <c r="U60" s="95"/>
      <c r="V60" s="107">
        <v>10667131.526689723</v>
      </c>
      <c r="W60" s="167">
        <v>10762851.694060788</v>
      </c>
      <c r="X60" s="167">
        <v>10812621.861431852</v>
      </c>
      <c r="Y60" s="167">
        <v>10847012.028802916</v>
      </c>
      <c r="Z60" s="167">
        <v>11189222.196173981</v>
      </c>
      <c r="AA60" s="167">
        <v>11239202.363545045</v>
      </c>
      <c r="AB60" s="167">
        <v>11290532.53091611</v>
      </c>
      <c r="AC60" s="167">
        <v>11318032.698287174</v>
      </c>
      <c r="AD60" s="167">
        <v>11340872.865658239</v>
      </c>
      <c r="AE60" s="167">
        <v>11366373.033029303</v>
      </c>
      <c r="AF60" s="167">
        <v>11403773.200400367</v>
      </c>
      <c r="AG60" s="167">
        <v>11422933.367771432</v>
      </c>
      <c r="AH60" s="167">
        <v>11476063.535142496</v>
      </c>
      <c r="AI60" s="95"/>
      <c r="AJ60" s="167">
        <v>11164355.607839186</v>
      </c>
      <c r="AK60" s="142">
        <v>2.86E-2</v>
      </c>
      <c r="AL60" s="107">
        <v>319301</v>
      </c>
      <c r="AM60" s="147"/>
    </row>
    <row r="61" spans="1:39" x14ac:dyDescent="0.3">
      <c r="A61" s="105" t="s">
        <v>514</v>
      </c>
      <c r="B61" s="105">
        <v>1311070</v>
      </c>
      <c r="C61" s="105">
        <v>5501050</v>
      </c>
      <c r="D61" s="106" t="s">
        <v>515</v>
      </c>
      <c r="E61" s="95">
        <v>25000</v>
      </c>
      <c r="F61" s="95">
        <v>25000</v>
      </c>
      <c r="G61" s="95">
        <v>25000</v>
      </c>
      <c r="H61" s="95">
        <v>25000</v>
      </c>
      <c r="I61" s="95">
        <v>25000</v>
      </c>
      <c r="J61" s="95">
        <v>25000</v>
      </c>
      <c r="K61" s="95">
        <v>25000</v>
      </c>
      <c r="L61" s="95">
        <v>25000</v>
      </c>
      <c r="M61" s="95">
        <v>25000</v>
      </c>
      <c r="N61" s="95">
        <v>25000</v>
      </c>
      <c r="O61" s="95">
        <v>25000</v>
      </c>
      <c r="P61" s="95">
        <v>25000</v>
      </c>
      <c r="Q61" s="95">
        <v>300000</v>
      </c>
      <c r="R61" s="95"/>
      <c r="S61" s="120">
        <v>300000</v>
      </c>
      <c r="T61" s="95"/>
      <c r="U61" s="95"/>
      <c r="V61" s="107">
        <v>5664456.1765851807</v>
      </c>
      <c r="W61" s="167">
        <v>5686907.371265444</v>
      </c>
      <c r="X61" s="167">
        <v>5709358.5659457073</v>
      </c>
      <c r="Y61" s="167">
        <v>5731809.7606259705</v>
      </c>
      <c r="Z61" s="167">
        <v>5754260.9553062338</v>
      </c>
      <c r="AA61" s="167">
        <v>5776712.1499864971</v>
      </c>
      <c r="AB61" s="167">
        <v>5799163.3446667604</v>
      </c>
      <c r="AC61" s="167">
        <v>5821614.5393470237</v>
      </c>
      <c r="AD61" s="167">
        <v>5844065.734027287</v>
      </c>
      <c r="AE61" s="167">
        <v>5866516.9287075503</v>
      </c>
      <c r="AF61" s="167">
        <v>5888968.1233878136</v>
      </c>
      <c r="AG61" s="167">
        <v>5911419.3180680769</v>
      </c>
      <c r="AH61" s="167">
        <v>5933870.5127483401</v>
      </c>
      <c r="AI61" s="95"/>
      <c r="AJ61" s="167">
        <v>5799163.3446667604</v>
      </c>
      <c r="AK61" s="142">
        <v>0.04</v>
      </c>
      <c r="AL61" s="107">
        <v>231967</v>
      </c>
      <c r="AM61" s="147"/>
    </row>
    <row r="62" spans="1:39" x14ac:dyDescent="0.3">
      <c r="A62" s="105" t="s">
        <v>516</v>
      </c>
      <c r="B62" s="105">
        <v>1311070</v>
      </c>
      <c r="C62" s="105">
        <v>5501050</v>
      </c>
      <c r="D62" s="106" t="s">
        <v>517</v>
      </c>
      <c r="E62" s="95">
        <v>15000</v>
      </c>
      <c r="F62" s="95">
        <v>15000</v>
      </c>
      <c r="G62" s="95">
        <v>15000</v>
      </c>
      <c r="H62" s="95">
        <v>15000</v>
      </c>
      <c r="I62" s="95">
        <v>15000</v>
      </c>
      <c r="J62" s="95">
        <v>15000</v>
      </c>
      <c r="K62" s="95">
        <v>15000</v>
      </c>
      <c r="L62" s="95">
        <v>15000</v>
      </c>
      <c r="M62" s="95">
        <v>15000</v>
      </c>
      <c r="N62" s="95">
        <v>15000</v>
      </c>
      <c r="O62" s="95">
        <v>15000</v>
      </c>
      <c r="P62" s="95">
        <v>14300</v>
      </c>
      <c r="Q62" s="95">
        <v>179300</v>
      </c>
      <c r="R62" s="95"/>
      <c r="S62" s="120">
        <v>179300</v>
      </c>
      <c r="T62" s="95"/>
      <c r="U62" s="95"/>
      <c r="V62" s="107">
        <v>4581477.9473188771</v>
      </c>
      <c r="W62" s="167">
        <v>4594416.4439723333</v>
      </c>
      <c r="X62" s="167">
        <v>4607354.9406257896</v>
      </c>
      <c r="Y62" s="167">
        <v>4620293.4372792458</v>
      </c>
      <c r="Z62" s="167">
        <v>4633231.9339327021</v>
      </c>
      <c r="AA62" s="167">
        <v>4646170.4305861583</v>
      </c>
      <c r="AB62" s="167">
        <v>4659108.9272396145</v>
      </c>
      <c r="AC62" s="167">
        <v>4672047.4238930708</v>
      </c>
      <c r="AD62" s="167">
        <v>4684985.920546527</v>
      </c>
      <c r="AE62" s="167">
        <v>4697924.4171999833</v>
      </c>
      <c r="AF62" s="167">
        <v>4710862.9138534395</v>
      </c>
      <c r="AG62" s="167">
        <v>4723801.4105068957</v>
      </c>
      <c r="AH62" s="167">
        <v>4736039.907160352</v>
      </c>
      <c r="AI62" s="95"/>
      <c r="AJ62" s="167">
        <v>4659055.0810857676</v>
      </c>
      <c r="AK62" s="142">
        <v>3.9600000000000003E-2</v>
      </c>
      <c r="AL62" s="107">
        <v>184499</v>
      </c>
      <c r="AM62" s="147"/>
    </row>
    <row r="63" spans="1:39" x14ac:dyDescent="0.3">
      <c r="A63" s="105" t="s">
        <v>518</v>
      </c>
      <c r="B63" s="105">
        <v>1311070</v>
      </c>
      <c r="C63" s="105">
        <v>5501050</v>
      </c>
      <c r="D63" s="106" t="s">
        <v>519</v>
      </c>
      <c r="E63" s="95">
        <v>4200</v>
      </c>
      <c r="F63" s="95">
        <v>4200</v>
      </c>
      <c r="G63" s="95">
        <v>4200</v>
      </c>
      <c r="H63" s="95">
        <v>4200</v>
      </c>
      <c r="I63" s="95">
        <v>4200</v>
      </c>
      <c r="J63" s="95">
        <v>4200</v>
      </c>
      <c r="K63" s="95">
        <v>4200</v>
      </c>
      <c r="L63" s="95">
        <v>4200</v>
      </c>
      <c r="M63" s="95">
        <v>4200</v>
      </c>
      <c r="N63" s="95">
        <v>4200</v>
      </c>
      <c r="O63" s="95">
        <v>4200</v>
      </c>
      <c r="P63" s="95">
        <v>3800</v>
      </c>
      <c r="Q63" s="168">
        <v>50000</v>
      </c>
      <c r="R63" s="95"/>
      <c r="S63" s="128">
        <v>50000</v>
      </c>
      <c r="T63" s="95"/>
      <c r="U63" s="95"/>
      <c r="V63" s="108">
        <v>1823386.8938343939</v>
      </c>
      <c r="W63" s="169">
        <v>1826766.4340991499</v>
      </c>
      <c r="X63" s="169">
        <v>1830145.9743639058</v>
      </c>
      <c r="Y63" s="169">
        <v>1833525.5146286618</v>
      </c>
      <c r="Z63" s="169">
        <v>1836905.0548934177</v>
      </c>
      <c r="AA63" s="169">
        <v>1840284.5951581737</v>
      </c>
      <c r="AB63" s="169">
        <v>1843664.1354229297</v>
      </c>
      <c r="AC63" s="169">
        <v>1847043.6756876856</v>
      </c>
      <c r="AD63" s="169">
        <v>1850423.2159524416</v>
      </c>
      <c r="AE63" s="169">
        <v>1853802.7562171975</v>
      </c>
      <c r="AF63" s="169">
        <v>1857182.2964819535</v>
      </c>
      <c r="AG63" s="169">
        <v>1860561.8367467094</v>
      </c>
      <c r="AH63" s="169">
        <v>1863541.3770114654</v>
      </c>
      <c r="AI63" s="95"/>
      <c r="AJ63" s="167">
        <v>1843633.3661921606</v>
      </c>
      <c r="AK63" s="142">
        <v>2.64E-2</v>
      </c>
      <c r="AL63" s="108">
        <v>48672</v>
      </c>
      <c r="AM63" s="147"/>
    </row>
    <row r="64" spans="1:39" x14ac:dyDescent="0.3">
      <c r="A64" s="109"/>
      <c r="B64" s="109"/>
      <c r="C64" s="109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12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112"/>
      <c r="AM64" s="147"/>
    </row>
    <row r="65" spans="1:39" x14ac:dyDescent="0.3">
      <c r="A65" s="109"/>
      <c r="B65" s="109"/>
      <c r="C65" s="109"/>
      <c r="D65" s="106" t="s">
        <v>455</v>
      </c>
      <c r="E65" s="154"/>
      <c r="F65" s="95"/>
      <c r="G65" s="95"/>
      <c r="H65" s="95"/>
      <c r="I65" s="95"/>
      <c r="J65" s="95"/>
      <c r="K65" s="154"/>
      <c r="L65" s="95"/>
      <c r="M65" s="95"/>
      <c r="N65" s="95"/>
      <c r="O65" s="95"/>
      <c r="P65" s="95"/>
      <c r="Q65" s="168">
        <v>9341830</v>
      </c>
      <c r="R65" s="95"/>
      <c r="S65" s="168">
        <v>9341830</v>
      </c>
      <c r="T65" s="95"/>
      <c r="U65" s="95"/>
      <c r="V65" s="108">
        <v>153383967.39531973</v>
      </c>
      <c r="W65" s="108">
        <v>153563470.02456567</v>
      </c>
      <c r="X65" s="108">
        <v>153697022.65381163</v>
      </c>
      <c r="Y65" s="108">
        <v>153970195.28305754</v>
      </c>
      <c r="Z65" s="108">
        <v>155141187.91230348</v>
      </c>
      <c r="AA65" s="108">
        <v>156119950.54154947</v>
      </c>
      <c r="AB65" s="108">
        <v>157100063.17079541</v>
      </c>
      <c r="AC65" s="108">
        <v>158056345.80004132</v>
      </c>
      <c r="AD65" s="108">
        <v>159007968.42928734</v>
      </c>
      <c r="AE65" s="108">
        <v>159872251.05853322</v>
      </c>
      <c r="AF65" s="108">
        <v>160748433.68777922</v>
      </c>
      <c r="AG65" s="108">
        <v>161406376.31702515</v>
      </c>
      <c r="AH65" s="108">
        <v>161897588.94627109</v>
      </c>
      <c r="AI65" s="95"/>
      <c r="AJ65" s="108">
        <v>157228063.17079541</v>
      </c>
      <c r="AK65" s="95"/>
      <c r="AL65" s="108">
        <v>4859096</v>
      </c>
      <c r="AM65" s="147"/>
    </row>
    <row r="66" spans="1:39" x14ac:dyDescent="0.3">
      <c r="A66" s="95"/>
      <c r="B66" s="95"/>
      <c r="C66" s="95"/>
      <c r="D66" s="95"/>
      <c r="E66" s="154"/>
      <c r="F66" s="95"/>
      <c r="G66" s="95"/>
      <c r="H66" s="95"/>
      <c r="I66" s="95"/>
      <c r="J66" s="95"/>
      <c r="K66" s="15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07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107"/>
      <c r="AM66" s="95"/>
    </row>
    <row r="67" spans="1:39" x14ac:dyDescent="0.3">
      <c r="A67" s="95"/>
      <c r="B67" s="95"/>
      <c r="C67" s="95"/>
      <c r="D67" s="98" t="s">
        <v>520</v>
      </c>
      <c r="E67" s="154"/>
      <c r="F67" s="95"/>
      <c r="G67" s="95"/>
      <c r="H67" s="95"/>
      <c r="I67" s="95"/>
      <c r="J67" s="95"/>
      <c r="K67" s="154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107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107"/>
      <c r="AM67" s="147"/>
    </row>
    <row r="68" spans="1:39" x14ac:dyDescent="0.3">
      <c r="A68" s="105" t="s">
        <v>521</v>
      </c>
      <c r="B68" s="105">
        <v>1331030</v>
      </c>
      <c r="C68" s="105" t="s">
        <v>451</v>
      </c>
      <c r="D68" s="106" t="s">
        <v>488</v>
      </c>
      <c r="E68" s="154"/>
      <c r="F68" s="95"/>
      <c r="G68" s="95"/>
      <c r="H68" s="95"/>
      <c r="I68" s="95"/>
      <c r="J68" s="95"/>
      <c r="K68" s="154"/>
      <c r="L68" s="95"/>
      <c r="M68" s="95"/>
      <c r="N68" s="95"/>
      <c r="O68" s="95"/>
      <c r="P68" s="95"/>
      <c r="Q68" s="95">
        <v>0</v>
      </c>
      <c r="R68" s="95"/>
      <c r="S68" s="95"/>
      <c r="T68" s="95"/>
      <c r="U68" s="95"/>
      <c r="V68" s="107">
        <v>992828.25473209389</v>
      </c>
      <c r="W68" s="167">
        <v>992381.51706507721</v>
      </c>
      <c r="X68" s="167">
        <v>991934.77939806052</v>
      </c>
      <c r="Y68" s="167">
        <v>991488.04173104384</v>
      </c>
      <c r="Z68" s="167">
        <v>991041.30406402715</v>
      </c>
      <c r="AA68" s="167">
        <v>990594.56639701047</v>
      </c>
      <c r="AB68" s="167">
        <v>990147.82872999378</v>
      </c>
      <c r="AC68" s="167">
        <v>989701.0910629771</v>
      </c>
      <c r="AD68" s="167">
        <v>989254.35339596041</v>
      </c>
      <c r="AE68" s="167">
        <v>988807.61572894373</v>
      </c>
      <c r="AF68" s="167">
        <v>988360.87806192704</v>
      </c>
      <c r="AG68" s="167">
        <v>987914.14039491036</v>
      </c>
      <c r="AH68" s="167">
        <v>987467.40272789367</v>
      </c>
      <c r="AI68" s="95"/>
      <c r="AJ68" s="167">
        <v>990147.82872999401</v>
      </c>
      <c r="AK68" s="142">
        <v>0</v>
      </c>
      <c r="AL68" s="107">
        <v>0</v>
      </c>
      <c r="AM68" s="147"/>
    </row>
    <row r="69" spans="1:39" x14ac:dyDescent="0.3">
      <c r="A69" s="105" t="s">
        <v>522</v>
      </c>
      <c r="B69" s="105">
        <v>1331090</v>
      </c>
      <c r="C69" s="105">
        <v>5501020</v>
      </c>
      <c r="D69" s="106" t="s">
        <v>471</v>
      </c>
      <c r="E69" s="95">
        <v>5000</v>
      </c>
      <c r="F69" s="95">
        <v>5000</v>
      </c>
      <c r="G69" s="95">
        <v>25000</v>
      </c>
      <c r="H69" s="95">
        <v>6000</v>
      </c>
      <c r="I69" s="95">
        <v>22000</v>
      </c>
      <c r="J69" s="95">
        <v>50000</v>
      </c>
      <c r="K69" s="95">
        <v>93000</v>
      </c>
      <c r="L69" s="95">
        <v>38000</v>
      </c>
      <c r="M69" s="95">
        <v>58000</v>
      </c>
      <c r="N69" s="95">
        <v>60000</v>
      </c>
      <c r="O69" s="95">
        <v>45000</v>
      </c>
      <c r="P69" s="95">
        <v>3000</v>
      </c>
      <c r="Q69" s="95">
        <v>410000</v>
      </c>
      <c r="R69" s="95"/>
      <c r="S69" s="120">
        <v>410000</v>
      </c>
      <c r="T69" s="95"/>
      <c r="U69" s="95"/>
      <c r="V69" s="107">
        <v>6516006.7879717434</v>
      </c>
      <c r="W69" s="167">
        <v>6518074.8149372851</v>
      </c>
      <c r="X69" s="167">
        <v>6520142.8419028269</v>
      </c>
      <c r="Y69" s="167">
        <v>6542210.8688683687</v>
      </c>
      <c r="Z69" s="167">
        <v>6545278.8958339104</v>
      </c>
      <c r="AA69" s="167">
        <v>6564346.9227994522</v>
      </c>
      <c r="AB69" s="167">
        <v>6611414.949764994</v>
      </c>
      <c r="AC69" s="167">
        <v>6701482.9767305357</v>
      </c>
      <c r="AD69" s="167">
        <v>6736551.0036960775</v>
      </c>
      <c r="AE69" s="167">
        <v>6791619.0306616193</v>
      </c>
      <c r="AF69" s="167">
        <v>6848687.057627161</v>
      </c>
      <c r="AG69" s="167">
        <v>6890755.0845927028</v>
      </c>
      <c r="AH69" s="167">
        <v>6890823.1115582446</v>
      </c>
      <c r="AI69" s="95"/>
      <c r="AJ69" s="167">
        <v>6667491.872841916</v>
      </c>
      <c r="AK69" s="142">
        <v>0.02</v>
      </c>
      <c r="AL69" s="107">
        <v>133350</v>
      </c>
      <c r="AM69" s="147"/>
    </row>
    <row r="70" spans="1:39" x14ac:dyDescent="0.3">
      <c r="A70" s="106" t="s">
        <v>523</v>
      </c>
      <c r="B70" s="105">
        <v>1331090</v>
      </c>
      <c r="C70" s="105">
        <v>5501070</v>
      </c>
      <c r="D70" s="110" t="s">
        <v>524</v>
      </c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95">
        <v>0</v>
      </c>
      <c r="R70" s="95"/>
      <c r="S70" s="95"/>
      <c r="T70" s="95"/>
      <c r="U70" s="95"/>
      <c r="V70" s="107">
        <v>179410.25015737177</v>
      </c>
      <c r="W70" s="167">
        <v>179329.52187812291</v>
      </c>
      <c r="X70" s="167">
        <v>179248.79359887404</v>
      </c>
      <c r="Y70" s="167">
        <v>179168.06531962517</v>
      </c>
      <c r="Z70" s="167">
        <v>179087.3370403763</v>
      </c>
      <c r="AA70" s="167">
        <v>179006.60876112743</v>
      </c>
      <c r="AB70" s="167">
        <v>178925.88048187856</v>
      </c>
      <c r="AC70" s="167">
        <v>178845.15220262969</v>
      </c>
      <c r="AD70" s="167">
        <v>178764.42392338082</v>
      </c>
      <c r="AE70" s="167">
        <v>178683.69564413195</v>
      </c>
      <c r="AF70" s="167">
        <v>178602.96736488308</v>
      </c>
      <c r="AG70" s="167">
        <v>178522.23908563421</v>
      </c>
      <c r="AH70" s="167">
        <v>178441.51080638534</v>
      </c>
      <c r="AI70" s="95"/>
      <c r="AJ70" s="167">
        <v>178925.88048187856</v>
      </c>
      <c r="AK70" s="142">
        <v>0.01</v>
      </c>
      <c r="AL70" s="107">
        <v>1789</v>
      </c>
      <c r="AM70" s="147"/>
    </row>
    <row r="71" spans="1:39" x14ac:dyDescent="0.3">
      <c r="A71" s="113">
        <v>391</v>
      </c>
      <c r="B71" s="105">
        <v>1331090</v>
      </c>
      <c r="C71" s="105">
        <v>5501070</v>
      </c>
      <c r="D71" s="110" t="s">
        <v>525</v>
      </c>
      <c r="E71" s="95">
        <v>6266</v>
      </c>
      <c r="F71" s="95">
        <v>6266</v>
      </c>
      <c r="G71" s="95">
        <v>6266</v>
      </c>
      <c r="H71" s="95">
        <v>6266</v>
      </c>
      <c r="I71" s="95">
        <v>6266</v>
      </c>
      <c r="J71" s="95">
        <v>6266</v>
      </c>
      <c r="K71" s="95">
        <v>6266</v>
      </c>
      <c r="L71" s="95">
        <v>6266</v>
      </c>
      <c r="M71" s="95">
        <v>6266</v>
      </c>
      <c r="N71" s="95">
        <v>6266</v>
      </c>
      <c r="O71" s="95">
        <v>6266</v>
      </c>
      <c r="P71" s="95">
        <v>6274</v>
      </c>
      <c r="Q71" s="95">
        <v>75200</v>
      </c>
      <c r="R71" s="95"/>
      <c r="S71" s="120">
        <v>75200</v>
      </c>
      <c r="T71" s="95"/>
      <c r="U71" s="95"/>
      <c r="V71" s="107">
        <v>199445.40934399367</v>
      </c>
      <c r="W71" s="167">
        <v>205621.66595036758</v>
      </c>
      <c r="X71" s="167">
        <v>211797.92255674148</v>
      </c>
      <c r="Y71" s="167">
        <v>217974.17916311539</v>
      </c>
      <c r="Z71" s="167">
        <v>224150.4357694893</v>
      </c>
      <c r="AA71" s="167">
        <v>230326.6923758632</v>
      </c>
      <c r="AB71" s="167">
        <v>236502.94898223711</v>
      </c>
      <c r="AC71" s="167">
        <v>242679.20558861102</v>
      </c>
      <c r="AD71" s="167">
        <v>248855.46219498492</v>
      </c>
      <c r="AE71" s="167">
        <v>255031.71880135883</v>
      </c>
      <c r="AF71" s="167">
        <v>261207.97540773274</v>
      </c>
      <c r="AG71" s="167">
        <v>267384.23201410664</v>
      </c>
      <c r="AH71" s="167">
        <v>273568.48862048058</v>
      </c>
      <c r="AI71" s="95"/>
      <c r="AJ71" s="167">
        <v>236503.56436685252</v>
      </c>
      <c r="AK71" s="142">
        <v>0.1</v>
      </c>
      <c r="AL71" s="107">
        <v>23650</v>
      </c>
      <c r="AM71" s="147"/>
    </row>
    <row r="72" spans="1:39" x14ac:dyDescent="0.3">
      <c r="A72" s="113">
        <v>3912</v>
      </c>
      <c r="B72" s="105">
        <v>1331090</v>
      </c>
      <c r="C72" s="105">
        <v>5501070</v>
      </c>
      <c r="D72" s="110" t="s">
        <v>526</v>
      </c>
      <c r="E72" s="95">
        <v>75000</v>
      </c>
      <c r="F72" s="95">
        <v>75000</v>
      </c>
      <c r="G72" s="95">
        <v>170000</v>
      </c>
      <c r="H72" s="95">
        <v>340000</v>
      </c>
      <c r="I72" s="95">
        <v>340000</v>
      </c>
      <c r="J72" s="95">
        <v>220000</v>
      </c>
      <c r="K72" s="95">
        <v>162000</v>
      </c>
      <c r="L72" s="95">
        <v>162000</v>
      </c>
      <c r="M72" s="95">
        <v>50000</v>
      </c>
      <c r="N72" s="95">
        <v>0</v>
      </c>
      <c r="O72" s="95">
        <v>0</v>
      </c>
      <c r="P72" s="95">
        <v>0</v>
      </c>
      <c r="Q72" s="95">
        <v>1594000</v>
      </c>
      <c r="R72" s="95"/>
      <c r="S72" s="120">
        <v>1594000</v>
      </c>
      <c r="T72" s="95"/>
      <c r="U72" s="95"/>
      <c r="V72" s="107">
        <v>1317115.6897592023</v>
      </c>
      <c r="W72" s="167">
        <v>1391523.0341940231</v>
      </c>
      <c r="X72" s="167">
        <v>1465930.3786288439</v>
      </c>
      <c r="Y72" s="167">
        <v>1635337.7230636647</v>
      </c>
      <c r="Z72" s="167">
        <v>1974745.0674984856</v>
      </c>
      <c r="AA72" s="167">
        <v>2314152.4119333066</v>
      </c>
      <c r="AB72" s="167">
        <v>2533559.7563681277</v>
      </c>
      <c r="AC72" s="167">
        <v>2694967.1008029487</v>
      </c>
      <c r="AD72" s="167">
        <v>2856374.4452377697</v>
      </c>
      <c r="AE72" s="167">
        <v>2905781.7896725908</v>
      </c>
      <c r="AF72" s="167">
        <v>2905189.1341074118</v>
      </c>
      <c r="AG72" s="167">
        <v>2904596.4785422329</v>
      </c>
      <c r="AH72" s="167">
        <v>2904003.8229770539</v>
      </c>
      <c r="AI72" s="95"/>
      <c r="AJ72" s="167">
        <v>2292559.7563681277</v>
      </c>
      <c r="AK72" s="142">
        <v>0.1</v>
      </c>
      <c r="AL72" s="107">
        <v>229256</v>
      </c>
      <c r="AM72" s="147"/>
    </row>
    <row r="73" spans="1:39" x14ac:dyDescent="0.3">
      <c r="A73" s="105" t="s">
        <v>527</v>
      </c>
      <c r="B73" s="105">
        <v>1331090</v>
      </c>
      <c r="C73" s="105">
        <v>5501060</v>
      </c>
      <c r="D73" s="106" t="s">
        <v>528</v>
      </c>
      <c r="E73" s="95">
        <v>79700</v>
      </c>
      <c r="F73" s="95">
        <v>88200</v>
      </c>
      <c r="G73" s="95">
        <v>27500</v>
      </c>
      <c r="H73" s="95">
        <v>0</v>
      </c>
      <c r="I73" s="95">
        <v>79900</v>
      </c>
      <c r="J73" s="95">
        <v>117000</v>
      </c>
      <c r="K73" s="95">
        <v>6500</v>
      </c>
      <c r="L73" s="95">
        <v>13400</v>
      </c>
      <c r="M73" s="95">
        <v>0</v>
      </c>
      <c r="N73" s="95">
        <v>20900</v>
      </c>
      <c r="O73" s="95">
        <v>126800</v>
      </c>
      <c r="P73" s="95">
        <v>90100</v>
      </c>
      <c r="Q73" s="95">
        <v>650000</v>
      </c>
      <c r="R73" s="95"/>
      <c r="S73" s="120">
        <v>650000</v>
      </c>
      <c r="T73" s="95"/>
      <c r="U73" s="95"/>
      <c r="V73" s="107">
        <v>6736702.4294108609</v>
      </c>
      <c r="W73" s="167">
        <v>6813371.151128483</v>
      </c>
      <c r="X73" s="167">
        <v>6898539.8728461051</v>
      </c>
      <c r="Y73" s="167">
        <v>6923008.5945637273</v>
      </c>
      <c r="Z73" s="167">
        <v>6919977.3162813494</v>
      </c>
      <c r="AA73" s="167">
        <v>6996846.0379989715</v>
      </c>
      <c r="AB73" s="167">
        <v>7110814.7597165937</v>
      </c>
      <c r="AC73" s="167">
        <v>7114283.4814342158</v>
      </c>
      <c r="AD73" s="167">
        <v>7124652.2031518379</v>
      </c>
      <c r="AE73" s="167">
        <v>7121620.9248694601</v>
      </c>
      <c r="AF73" s="167">
        <v>7139489.6465870822</v>
      </c>
      <c r="AG73" s="167">
        <v>7263258.3683047043</v>
      </c>
      <c r="AH73" s="167">
        <v>7350327.0900223264</v>
      </c>
      <c r="AI73" s="95"/>
      <c r="AJ73" s="167">
        <v>7039453.2212550556</v>
      </c>
      <c r="AK73" s="142">
        <v>8.14E-2</v>
      </c>
      <c r="AL73" s="107">
        <v>573011</v>
      </c>
      <c r="AM73" s="147"/>
    </row>
    <row r="74" spans="1:39" x14ac:dyDescent="0.3">
      <c r="A74" s="105" t="s">
        <v>529</v>
      </c>
      <c r="B74" s="105">
        <v>1331090</v>
      </c>
      <c r="C74" s="105">
        <v>5501070</v>
      </c>
      <c r="D74" s="110" t="s">
        <v>530</v>
      </c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95">
        <v>0</v>
      </c>
      <c r="R74" s="95"/>
      <c r="S74" s="95"/>
      <c r="T74" s="95"/>
      <c r="U74" s="95"/>
      <c r="V74" s="107">
        <v>35803.902057197171</v>
      </c>
      <c r="W74" s="167">
        <v>35787.79156517714</v>
      </c>
      <c r="X74" s="167">
        <v>35771.681073157109</v>
      </c>
      <c r="Y74" s="167">
        <v>35755.570581137079</v>
      </c>
      <c r="Z74" s="167">
        <v>35739.460089117048</v>
      </c>
      <c r="AA74" s="167">
        <v>35723.349597097018</v>
      </c>
      <c r="AB74" s="167">
        <v>35707.239105076987</v>
      </c>
      <c r="AC74" s="167">
        <v>35691.128613056957</v>
      </c>
      <c r="AD74" s="167">
        <v>35675.018121036926</v>
      </c>
      <c r="AE74" s="167">
        <v>35658.907629016896</v>
      </c>
      <c r="AF74" s="167">
        <v>35642.797136996865</v>
      </c>
      <c r="AG74" s="167">
        <v>35626.686644976835</v>
      </c>
      <c r="AH74" s="167">
        <v>35610.576152956804</v>
      </c>
      <c r="AI74" s="95"/>
      <c r="AJ74" s="167">
        <v>35707.239105076987</v>
      </c>
      <c r="AK74" s="142">
        <v>0.02</v>
      </c>
      <c r="AL74" s="107">
        <v>0</v>
      </c>
      <c r="AM74" s="147" t="s">
        <v>567</v>
      </c>
    </row>
    <row r="75" spans="1:39" x14ac:dyDescent="0.3">
      <c r="A75" s="105" t="s">
        <v>531</v>
      </c>
      <c r="B75" s="105">
        <v>1331090</v>
      </c>
      <c r="C75" s="105">
        <v>5501070</v>
      </c>
      <c r="D75" s="110" t="s">
        <v>532</v>
      </c>
      <c r="E75" s="95">
        <v>2500</v>
      </c>
      <c r="F75" s="95">
        <v>2500</v>
      </c>
      <c r="G75" s="95">
        <v>2500</v>
      </c>
      <c r="H75" s="95">
        <v>2500</v>
      </c>
      <c r="I75" s="95">
        <v>2500</v>
      </c>
      <c r="J75" s="95">
        <v>2500</v>
      </c>
      <c r="K75" s="95">
        <v>2500</v>
      </c>
      <c r="L75" s="95">
        <v>2500</v>
      </c>
      <c r="M75" s="95">
        <v>2500</v>
      </c>
      <c r="N75" s="95">
        <v>2500</v>
      </c>
      <c r="O75" s="95">
        <v>2500</v>
      </c>
      <c r="P75" s="95">
        <v>2500</v>
      </c>
      <c r="Q75" s="95">
        <v>30000</v>
      </c>
      <c r="R75" s="95"/>
      <c r="S75" s="120">
        <v>30000</v>
      </c>
      <c r="T75" s="95"/>
      <c r="U75" s="95"/>
      <c r="V75" s="107">
        <v>1094649.4501818214</v>
      </c>
      <c r="W75" s="167">
        <v>1096656.8965712201</v>
      </c>
      <c r="X75" s="167">
        <v>1098664.3429606189</v>
      </c>
      <c r="Y75" s="167">
        <v>1100671.7893500177</v>
      </c>
      <c r="Z75" s="167">
        <v>1102679.2357394164</v>
      </c>
      <c r="AA75" s="167">
        <v>1104686.6821288152</v>
      </c>
      <c r="AB75" s="167">
        <v>1106694.128518214</v>
      </c>
      <c r="AC75" s="167">
        <v>1108701.5749076128</v>
      </c>
      <c r="AD75" s="167">
        <v>1110709.0212970115</v>
      </c>
      <c r="AE75" s="167">
        <v>1112716.4676864103</v>
      </c>
      <c r="AF75" s="167">
        <v>1114723.9140758091</v>
      </c>
      <c r="AG75" s="167">
        <v>1116731.3604652078</v>
      </c>
      <c r="AH75" s="167">
        <v>1118738.8068546066</v>
      </c>
      <c r="AI75" s="95"/>
      <c r="AJ75" s="167">
        <v>1106694.128518214</v>
      </c>
      <c r="AK75" s="142">
        <v>0.04</v>
      </c>
      <c r="AL75" s="107">
        <v>44268</v>
      </c>
      <c r="AM75" s="147"/>
    </row>
    <row r="76" spans="1:39" x14ac:dyDescent="0.3">
      <c r="A76" s="111" t="s">
        <v>533</v>
      </c>
      <c r="B76" s="105">
        <v>1331090</v>
      </c>
      <c r="C76" s="105">
        <v>5501070</v>
      </c>
      <c r="D76" s="110" t="s">
        <v>534</v>
      </c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95">
        <v>0</v>
      </c>
      <c r="R76" s="95"/>
      <c r="S76" s="95"/>
      <c r="T76" s="95"/>
      <c r="U76" s="95"/>
      <c r="V76" s="107">
        <v>2706.5646124279601</v>
      </c>
      <c r="W76" s="167">
        <v>2705.3467538962122</v>
      </c>
      <c r="X76" s="167">
        <v>2704.1288953644644</v>
      </c>
      <c r="Y76" s="167">
        <v>2702.9110368327165</v>
      </c>
      <c r="Z76" s="167">
        <v>2701.6931783009686</v>
      </c>
      <c r="AA76" s="167">
        <v>2700.4753197692207</v>
      </c>
      <c r="AB76" s="167">
        <v>2699.2574612374729</v>
      </c>
      <c r="AC76" s="167">
        <v>2698.039602705725</v>
      </c>
      <c r="AD76" s="167">
        <v>2696.8217441739771</v>
      </c>
      <c r="AE76" s="167">
        <v>2695.6038856422292</v>
      </c>
      <c r="AF76" s="167">
        <v>2694.3860271104813</v>
      </c>
      <c r="AG76" s="167">
        <v>2693.1681685787335</v>
      </c>
      <c r="AH76" s="167">
        <v>2691.9503100469856</v>
      </c>
      <c r="AI76" s="95"/>
      <c r="AJ76" s="167">
        <v>2699.2574612374729</v>
      </c>
      <c r="AK76" s="142">
        <v>0.04</v>
      </c>
      <c r="AL76" s="107">
        <v>0</v>
      </c>
      <c r="AM76" s="147" t="s">
        <v>567</v>
      </c>
    </row>
    <row r="77" spans="1:39" x14ac:dyDescent="0.3">
      <c r="A77" s="105" t="s">
        <v>535</v>
      </c>
      <c r="B77" s="105">
        <v>1331090</v>
      </c>
      <c r="C77" s="105">
        <v>5501070</v>
      </c>
      <c r="D77" s="106" t="s">
        <v>201</v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95">
        <v>0</v>
      </c>
      <c r="R77" s="95"/>
      <c r="S77" s="95"/>
      <c r="T77" s="95"/>
      <c r="U77" s="95"/>
      <c r="V77" s="107">
        <v>194545.70324161582</v>
      </c>
      <c r="W77" s="167">
        <v>194458.16454277234</v>
      </c>
      <c r="X77" s="167">
        <v>194370.62584392886</v>
      </c>
      <c r="Y77" s="167">
        <v>194283.08714508539</v>
      </c>
      <c r="Z77" s="167">
        <v>194195.54844624191</v>
      </c>
      <c r="AA77" s="167">
        <v>194108.00974739844</v>
      </c>
      <c r="AB77" s="167">
        <v>194020.47104855496</v>
      </c>
      <c r="AC77" s="167">
        <v>193932.93234971148</v>
      </c>
      <c r="AD77" s="167">
        <v>193845.39365086801</v>
      </c>
      <c r="AE77" s="167">
        <v>193757.85495202453</v>
      </c>
      <c r="AF77" s="167">
        <v>193670.31625318105</v>
      </c>
      <c r="AG77" s="167">
        <v>193582.77755433758</v>
      </c>
      <c r="AH77" s="167">
        <v>193495.2388554941</v>
      </c>
      <c r="AI77" s="95"/>
      <c r="AJ77" s="167">
        <v>194020.47104855493</v>
      </c>
      <c r="AK77" s="142">
        <v>0.05</v>
      </c>
      <c r="AL77" s="107">
        <v>9701</v>
      </c>
      <c r="AM77" s="147"/>
    </row>
    <row r="78" spans="1:39" x14ac:dyDescent="0.3">
      <c r="A78" s="105" t="s">
        <v>536</v>
      </c>
      <c r="B78" s="105">
        <v>1331090</v>
      </c>
      <c r="C78" s="105">
        <v>5501060</v>
      </c>
      <c r="D78" s="106" t="s">
        <v>356</v>
      </c>
      <c r="E78" s="95">
        <v>4600</v>
      </c>
      <c r="F78" s="95">
        <v>4600</v>
      </c>
      <c r="G78" s="95">
        <v>52600</v>
      </c>
      <c r="H78" s="95">
        <v>4600</v>
      </c>
      <c r="I78" s="95">
        <v>4600</v>
      </c>
      <c r="J78" s="95">
        <v>4600</v>
      </c>
      <c r="K78" s="95">
        <v>4600</v>
      </c>
      <c r="L78" s="95">
        <v>4600</v>
      </c>
      <c r="M78" s="95">
        <v>4600</v>
      </c>
      <c r="N78" s="95">
        <v>4600</v>
      </c>
      <c r="O78" s="95">
        <v>114600</v>
      </c>
      <c r="P78" s="95">
        <v>4600</v>
      </c>
      <c r="Q78" s="95">
        <v>213200</v>
      </c>
      <c r="R78" s="95"/>
      <c r="S78" s="120">
        <v>213200</v>
      </c>
      <c r="T78" s="95"/>
      <c r="U78" s="95"/>
      <c r="V78" s="107">
        <v>4928893.8259536736</v>
      </c>
      <c r="W78" s="167">
        <v>4931275.997725796</v>
      </c>
      <c r="X78" s="167">
        <v>4933658.1694979183</v>
      </c>
      <c r="Y78" s="167">
        <v>4984040.3412700407</v>
      </c>
      <c r="Z78" s="167">
        <v>4986422.5130421631</v>
      </c>
      <c r="AA78" s="167">
        <v>4988804.6848142855</v>
      </c>
      <c r="AB78" s="167">
        <v>4991186.8565864079</v>
      </c>
      <c r="AC78" s="167">
        <v>4993569.0283585303</v>
      </c>
      <c r="AD78" s="167">
        <v>4995951.2001306526</v>
      </c>
      <c r="AE78" s="167">
        <v>4998333.371902775</v>
      </c>
      <c r="AF78" s="167">
        <v>5000715.5436748974</v>
      </c>
      <c r="AG78" s="167">
        <v>5113097.7154470198</v>
      </c>
      <c r="AH78" s="167">
        <v>5115479.8872191422</v>
      </c>
      <c r="AI78" s="95"/>
      <c r="AJ78" s="167">
        <v>4997033.0104325628</v>
      </c>
      <c r="AK78" s="142">
        <v>0.02</v>
      </c>
      <c r="AL78" s="107">
        <v>99941</v>
      </c>
      <c r="AM78" s="147"/>
    </row>
    <row r="79" spans="1:39" x14ac:dyDescent="0.3">
      <c r="A79" s="105" t="s">
        <v>537</v>
      </c>
      <c r="B79" s="105">
        <v>1331090</v>
      </c>
      <c r="C79" s="105">
        <v>5501070</v>
      </c>
      <c r="D79" s="106" t="s">
        <v>228</v>
      </c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95">
        <v>0</v>
      </c>
      <c r="R79" s="95"/>
      <c r="S79" s="95"/>
      <c r="T79" s="95"/>
      <c r="U79" s="95"/>
      <c r="V79" s="107">
        <v>236259.42157239551</v>
      </c>
      <c r="W79" s="167">
        <v>236153.11317283002</v>
      </c>
      <c r="X79" s="167">
        <v>236046.80477326454</v>
      </c>
      <c r="Y79" s="167">
        <v>235940.49637369905</v>
      </c>
      <c r="Z79" s="167">
        <v>235834.18797413356</v>
      </c>
      <c r="AA79" s="167">
        <v>235727.87957456807</v>
      </c>
      <c r="AB79" s="167">
        <v>235621.57117500258</v>
      </c>
      <c r="AC79" s="167">
        <v>235515.26277543709</v>
      </c>
      <c r="AD79" s="167">
        <v>235408.9543758716</v>
      </c>
      <c r="AE79" s="167">
        <v>235302.64597630611</v>
      </c>
      <c r="AF79" s="167">
        <v>235196.33757674063</v>
      </c>
      <c r="AG79" s="167">
        <v>235090.02917717514</v>
      </c>
      <c r="AH79" s="167">
        <v>234983.72077760965</v>
      </c>
      <c r="AI79" s="95"/>
      <c r="AJ79" s="167">
        <v>235621.57117500252</v>
      </c>
      <c r="AK79" s="142">
        <v>0.05</v>
      </c>
      <c r="AL79" s="107">
        <v>11781</v>
      </c>
      <c r="AM79" s="147"/>
    </row>
    <row r="80" spans="1:39" x14ac:dyDescent="0.3">
      <c r="A80" s="105" t="s">
        <v>538</v>
      </c>
      <c r="B80" s="105">
        <v>1331090</v>
      </c>
      <c r="C80" s="105">
        <v>5501070</v>
      </c>
      <c r="D80" s="106" t="s">
        <v>232</v>
      </c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95">
        <v>0</v>
      </c>
      <c r="R80" s="95"/>
      <c r="S80" s="95"/>
      <c r="T80" s="95"/>
      <c r="U80" s="95"/>
      <c r="V80" s="107">
        <v>49843.692703102068</v>
      </c>
      <c r="W80" s="167">
        <v>49821.264800906953</v>
      </c>
      <c r="X80" s="167">
        <v>49798.836898711837</v>
      </c>
      <c r="Y80" s="167">
        <v>49776.408996516722</v>
      </c>
      <c r="Z80" s="167">
        <v>49753.981094321607</v>
      </c>
      <c r="AA80" s="167">
        <v>49731.553192126492</v>
      </c>
      <c r="AB80" s="167">
        <v>49709.125289931377</v>
      </c>
      <c r="AC80" s="167">
        <v>49686.697387736262</v>
      </c>
      <c r="AD80" s="167">
        <v>49664.269485541146</v>
      </c>
      <c r="AE80" s="167">
        <v>49641.841583346031</v>
      </c>
      <c r="AF80" s="167">
        <v>49619.413681150916</v>
      </c>
      <c r="AG80" s="167">
        <v>49596.985778955801</v>
      </c>
      <c r="AH80" s="167">
        <v>49574.557876760686</v>
      </c>
      <c r="AI80" s="95"/>
      <c r="AJ80" s="167">
        <v>49709.125289931384</v>
      </c>
      <c r="AK80" s="142">
        <v>0.02</v>
      </c>
      <c r="AL80" s="107">
        <v>994</v>
      </c>
      <c r="AM80" s="147"/>
    </row>
    <row r="81" spans="1:41" x14ac:dyDescent="0.3">
      <c r="A81" s="105">
        <v>39901</v>
      </c>
      <c r="B81" s="105">
        <v>1331090</v>
      </c>
      <c r="C81" s="105">
        <v>5501070</v>
      </c>
      <c r="D81" s="106" t="s">
        <v>539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68">
        <v>0</v>
      </c>
      <c r="R81" s="95"/>
      <c r="S81" s="95"/>
      <c r="T81" s="95"/>
      <c r="U81" s="95"/>
      <c r="V81" s="108">
        <v>264012.88918019872</v>
      </c>
      <c r="W81" s="169">
        <v>263894.09269992879</v>
      </c>
      <c r="X81" s="169">
        <v>263775.29621965886</v>
      </c>
      <c r="Y81" s="169">
        <v>263656.49973938894</v>
      </c>
      <c r="Z81" s="169">
        <v>263537.70325911901</v>
      </c>
      <c r="AA81" s="169">
        <v>263418.90677884908</v>
      </c>
      <c r="AB81" s="169">
        <v>263300.11029857915</v>
      </c>
      <c r="AC81" s="169">
        <v>263181.31381830922</v>
      </c>
      <c r="AD81" s="169">
        <v>263062.5173380393</v>
      </c>
      <c r="AE81" s="169">
        <v>262943.72085776937</v>
      </c>
      <c r="AF81" s="169">
        <v>262824.92437749944</v>
      </c>
      <c r="AG81" s="169">
        <v>262706.12789722951</v>
      </c>
      <c r="AH81" s="169">
        <v>262587.33141695958</v>
      </c>
      <c r="AI81" s="95"/>
      <c r="AJ81" s="167">
        <v>263300.11029857915</v>
      </c>
      <c r="AK81" s="142">
        <v>0.04</v>
      </c>
      <c r="AL81" s="108">
        <v>0</v>
      </c>
      <c r="AM81" s="147" t="s">
        <v>567</v>
      </c>
      <c r="AN81" s="95"/>
      <c r="AO81" s="95"/>
    </row>
    <row r="82" spans="1:41" x14ac:dyDescent="0.3">
      <c r="A82" s="109"/>
      <c r="B82" s="109"/>
      <c r="C82" s="109"/>
      <c r="D82" s="95"/>
      <c r="E82" s="154"/>
      <c r="F82" s="95"/>
      <c r="G82" s="95"/>
      <c r="H82" s="95"/>
      <c r="I82" s="95"/>
      <c r="J82" s="95"/>
      <c r="K82" s="15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12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112"/>
      <c r="AM82" s="147"/>
      <c r="AN82" s="95"/>
      <c r="AO82" s="95"/>
    </row>
    <row r="83" spans="1:41" x14ac:dyDescent="0.3">
      <c r="A83" s="109"/>
      <c r="B83" s="109"/>
      <c r="C83" s="109"/>
      <c r="D83" s="106" t="s">
        <v>455</v>
      </c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68">
        <v>2972400</v>
      </c>
      <c r="R83" s="95"/>
      <c r="S83" s="168">
        <v>2972400</v>
      </c>
      <c r="T83" s="95"/>
      <c r="U83" s="95"/>
      <c r="V83" s="108">
        <v>22748224.2708777</v>
      </c>
      <c r="W83" s="108">
        <v>22911054.372985885</v>
      </c>
      <c r="X83" s="108">
        <v>23082384.475094073</v>
      </c>
      <c r="Y83" s="108">
        <v>23356014.57720226</v>
      </c>
      <c r="Z83" s="108">
        <v>23705144.679310448</v>
      </c>
      <c r="AA83" s="108">
        <v>24150174.78141864</v>
      </c>
      <c r="AB83" s="108">
        <v>24540304.883526824</v>
      </c>
      <c r="AC83" s="108">
        <v>24804934.985635016</v>
      </c>
      <c r="AD83" s="108">
        <v>25021465.0877432</v>
      </c>
      <c r="AE83" s="108">
        <v>25132595.189851396</v>
      </c>
      <c r="AF83" s="108">
        <v>25216625.29195958</v>
      </c>
      <c r="AG83" s="108">
        <v>25501555.394067768</v>
      </c>
      <c r="AH83" s="108">
        <v>25597793.49617596</v>
      </c>
      <c r="AI83" s="95"/>
      <c r="AJ83" s="108">
        <v>24289867.037372984</v>
      </c>
      <c r="AK83" s="95"/>
      <c r="AL83" s="108">
        <v>1127741</v>
      </c>
      <c r="AM83" s="95"/>
      <c r="AN83" s="95"/>
      <c r="AO83" s="95"/>
    </row>
    <row r="84" spans="1:41" x14ac:dyDescent="0.3">
      <c r="A84" s="109"/>
      <c r="B84" s="109"/>
      <c r="C84" s="109"/>
      <c r="D84" s="106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95"/>
      <c r="R84" s="95"/>
      <c r="S84" s="95"/>
      <c r="T84" s="95"/>
      <c r="U84" s="95"/>
      <c r="V84" s="107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107"/>
      <c r="AM84" s="95"/>
      <c r="AN84" s="95"/>
      <c r="AO84" s="95"/>
    </row>
    <row r="85" spans="1:41" x14ac:dyDescent="0.3">
      <c r="A85" s="109"/>
      <c r="B85" s="109"/>
      <c r="C85" s="109"/>
      <c r="D85" s="106" t="s">
        <v>540</v>
      </c>
      <c r="E85" s="154">
        <v>611586</v>
      </c>
      <c r="F85" s="154">
        <v>574136</v>
      </c>
      <c r="G85" s="154">
        <v>924756</v>
      </c>
      <c r="H85" s="154">
        <v>1991176</v>
      </c>
      <c r="I85" s="154">
        <v>2528146</v>
      </c>
      <c r="J85" s="154">
        <v>2319896</v>
      </c>
      <c r="K85" s="154">
        <v>2288366</v>
      </c>
      <c r="L85" s="154">
        <v>1504506</v>
      </c>
      <c r="M85" s="154">
        <v>1274166</v>
      </c>
      <c r="N85" s="154">
        <v>1324066</v>
      </c>
      <c r="O85" s="154">
        <v>1308726</v>
      </c>
      <c r="P85" s="154">
        <v>962708</v>
      </c>
      <c r="Q85" s="108">
        <v>17612234</v>
      </c>
      <c r="R85" s="95"/>
      <c r="S85" s="108">
        <v>17612234</v>
      </c>
      <c r="T85" s="95"/>
      <c r="U85" s="95"/>
      <c r="V85" s="108">
        <v>285167925.88999999</v>
      </c>
      <c r="W85" s="108">
        <v>285651196.38999993</v>
      </c>
      <c r="X85" s="108">
        <v>286097016.88999999</v>
      </c>
      <c r="Y85" s="108">
        <v>286893457.38999993</v>
      </c>
      <c r="Z85" s="108">
        <v>288756317.88999993</v>
      </c>
      <c r="AA85" s="108">
        <v>291156148.38999999</v>
      </c>
      <c r="AB85" s="108">
        <v>293347728.88999999</v>
      </c>
      <c r="AC85" s="108">
        <v>295507779.38999987</v>
      </c>
      <c r="AD85" s="108">
        <v>296883969.88999999</v>
      </c>
      <c r="AE85" s="108">
        <v>298029820.38999993</v>
      </c>
      <c r="AF85" s="108">
        <v>299225570.88999999</v>
      </c>
      <c r="AG85" s="108">
        <v>300405981.38999993</v>
      </c>
      <c r="AH85" s="108">
        <v>301240373.88999999</v>
      </c>
      <c r="AI85" s="95"/>
      <c r="AJ85" s="108">
        <v>292951022.12076926</v>
      </c>
      <c r="AK85" s="171">
        <v>3.2337323595664554E-2</v>
      </c>
      <c r="AL85" s="108">
        <v>9473252</v>
      </c>
      <c r="AM85" s="95"/>
      <c r="AN85" s="95"/>
      <c r="AO85" s="95"/>
    </row>
    <row r="86" spans="1:41" x14ac:dyDescent="0.3">
      <c r="A86" s="109"/>
      <c r="B86" s="109"/>
      <c r="C86" s="109"/>
      <c r="D86" s="109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</row>
    <row r="87" spans="1:41" x14ac:dyDescent="0.3">
      <c r="A87" s="109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</row>
    <row r="88" spans="1:41" x14ac:dyDescent="0.3">
      <c r="A88" s="95"/>
      <c r="B88" s="95"/>
      <c r="C88" s="95"/>
      <c r="D88" s="95"/>
      <c r="E88" s="95"/>
      <c r="F88" s="95"/>
      <c r="G88" s="154"/>
      <c r="H88" s="154"/>
      <c r="I88" s="95"/>
      <c r="J88" s="154"/>
      <c r="K88" s="154"/>
      <c r="L88" s="95"/>
      <c r="M88" s="95"/>
      <c r="N88" s="95"/>
      <c r="O88" s="95"/>
      <c r="P88" s="15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</row>
    <row r="89" spans="1:41" hidden="1" x14ac:dyDescent="0.3">
      <c r="A89" s="109"/>
      <c r="B89" s="95"/>
      <c r="C89" s="95"/>
      <c r="D89" s="95"/>
      <c r="E89" s="95"/>
      <c r="F89" s="95"/>
      <c r="G89" s="154"/>
      <c r="H89" s="154"/>
      <c r="I89" s="95"/>
      <c r="J89" s="154"/>
      <c r="K89" s="154"/>
      <c r="L89" s="95"/>
      <c r="M89" s="95"/>
      <c r="N89" s="116"/>
      <c r="O89" s="116"/>
      <c r="P89" s="116"/>
      <c r="Q89" s="116"/>
      <c r="R89" s="95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</row>
    <row r="90" spans="1:41" hidden="1" x14ac:dyDescent="0.3">
      <c r="A90" s="109"/>
      <c r="B90" s="95"/>
      <c r="C90" s="117"/>
      <c r="D90" s="98"/>
      <c r="E90" s="95"/>
      <c r="F90" s="95"/>
      <c r="G90" s="154"/>
      <c r="H90" s="154"/>
      <c r="I90" s="95"/>
      <c r="J90" s="154"/>
      <c r="K90" s="154"/>
      <c r="L90" s="95"/>
      <c r="M90" s="95"/>
      <c r="N90" s="116"/>
      <c r="O90" s="116"/>
      <c r="P90" s="116"/>
      <c r="Q90" s="116"/>
      <c r="R90" s="95"/>
      <c r="S90" s="116"/>
      <c r="T90" s="116"/>
      <c r="U90" s="95"/>
      <c r="V90" s="120">
        <v>293472610.56</v>
      </c>
      <c r="W90" s="120">
        <v>293955881.06</v>
      </c>
      <c r="X90" s="120">
        <v>294401701.56</v>
      </c>
      <c r="Y90" s="120">
        <v>295198142.06</v>
      </c>
      <c r="Z90" s="120">
        <v>297061002.56</v>
      </c>
      <c r="AA90" s="120">
        <v>299460833.06</v>
      </c>
      <c r="AB90" s="120">
        <v>301652413.56</v>
      </c>
      <c r="AC90" s="120">
        <v>303812464.06</v>
      </c>
      <c r="AD90" s="120">
        <v>305188654.56</v>
      </c>
      <c r="AE90" s="120">
        <v>306334505.06</v>
      </c>
      <c r="AF90" s="120">
        <v>307530255.56</v>
      </c>
      <c r="AG90" s="120">
        <v>308710666.06</v>
      </c>
      <c r="AH90" s="120">
        <v>309545058.56</v>
      </c>
      <c r="AI90" s="95"/>
      <c r="AJ90" s="95"/>
      <c r="AK90" s="95"/>
      <c r="AL90" s="95"/>
      <c r="AM90" s="95"/>
      <c r="AN90" s="95"/>
      <c r="AO90" s="95"/>
    </row>
    <row r="91" spans="1:41" hidden="1" x14ac:dyDescent="0.3">
      <c r="A91" s="109"/>
      <c r="B91" s="122"/>
      <c r="C91" s="117"/>
      <c r="D91" s="95"/>
      <c r="E91" s="95"/>
      <c r="F91" s="95"/>
      <c r="G91" s="154"/>
      <c r="H91" s="154"/>
      <c r="I91" s="95"/>
      <c r="J91" s="154"/>
      <c r="K91" s="154"/>
      <c r="L91" s="95"/>
      <c r="M91" s="95"/>
      <c r="N91" s="116"/>
      <c r="O91" s="116"/>
      <c r="P91" s="116"/>
      <c r="Q91" s="116"/>
      <c r="R91" s="95"/>
      <c r="S91" s="116"/>
      <c r="T91" s="116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22" t="s">
        <v>600</v>
      </c>
      <c r="AG91" s="117"/>
      <c r="AH91" s="106"/>
      <c r="AI91" s="95"/>
      <c r="AJ91" s="95"/>
      <c r="AK91" s="95"/>
      <c r="AL91" s="167">
        <v>9473252</v>
      </c>
      <c r="AM91" s="95"/>
      <c r="AN91" s="95"/>
      <c r="AO91" s="95"/>
    </row>
    <row r="92" spans="1:41" ht="15" hidden="1" x14ac:dyDescent="0.35">
      <c r="A92" s="109"/>
      <c r="B92" s="109"/>
      <c r="C92" s="109"/>
      <c r="D92" s="95" t="s">
        <v>541</v>
      </c>
      <c r="E92" s="154"/>
      <c r="F92" s="95"/>
      <c r="G92" s="95"/>
      <c r="H92" s="95"/>
      <c r="I92" s="95"/>
      <c r="J92" s="95"/>
      <c r="K92" s="154"/>
      <c r="L92" s="95"/>
      <c r="M92" s="95"/>
      <c r="N92" s="116"/>
      <c r="O92" s="116"/>
      <c r="P92" s="116"/>
      <c r="Q92" s="116"/>
      <c r="R92" s="95"/>
      <c r="S92" s="116"/>
      <c r="T92" s="116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122" t="s">
        <v>601</v>
      </c>
      <c r="AG92" s="117"/>
      <c r="AH92" s="95"/>
      <c r="AI92" s="95"/>
      <c r="AJ92" s="138" t="s">
        <v>145</v>
      </c>
      <c r="AK92" s="95"/>
      <c r="AL92" s="172">
        <v>-7916268.71</v>
      </c>
      <c r="AM92" s="95"/>
      <c r="AN92" s="95"/>
      <c r="AO92" s="95"/>
    </row>
    <row r="93" spans="1:41" ht="15" hidden="1" thickBot="1" x14ac:dyDescent="0.35">
      <c r="A93" s="109"/>
      <c r="B93" s="109"/>
      <c r="C93" s="109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116"/>
      <c r="O93" s="116"/>
      <c r="P93" s="116"/>
      <c r="Q93" s="116"/>
      <c r="R93" s="95"/>
      <c r="S93" s="116"/>
      <c r="T93" s="116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122" t="s">
        <v>602</v>
      </c>
      <c r="AG93" s="117"/>
      <c r="AH93" s="95"/>
      <c r="AI93" s="95"/>
      <c r="AJ93" s="95"/>
      <c r="AK93" s="95"/>
      <c r="AL93" s="173">
        <v>1556983.29</v>
      </c>
      <c r="AM93" s="95"/>
      <c r="AN93" s="95"/>
      <c r="AO93" s="95"/>
    </row>
    <row r="94" spans="1:41" hidden="1" x14ac:dyDescent="0.3">
      <c r="A94" s="109"/>
      <c r="B94" s="109"/>
      <c r="C94" s="109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116"/>
      <c r="O94" s="116"/>
      <c r="P94" s="116"/>
      <c r="Q94" s="116"/>
      <c r="R94" s="95"/>
      <c r="S94" s="116"/>
      <c r="T94" s="116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</row>
    <row r="95" spans="1:41" hidden="1" x14ac:dyDescent="0.3">
      <c r="A95" s="109"/>
      <c r="B95" s="109"/>
      <c r="C95" s="10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116"/>
      <c r="O95" s="116"/>
      <c r="P95" s="116"/>
      <c r="Q95" s="116"/>
      <c r="R95" s="95"/>
      <c r="S95" s="116"/>
      <c r="T95" s="116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</row>
    <row r="96" spans="1:41" hidden="1" x14ac:dyDescent="0.3">
      <c r="A96" s="109"/>
      <c r="B96" s="109"/>
      <c r="C96" s="109"/>
      <c r="D96" s="123" t="s">
        <v>542</v>
      </c>
      <c r="E96" s="95"/>
      <c r="F96" s="95"/>
      <c r="G96" s="95"/>
      <c r="H96" s="95"/>
      <c r="I96" s="95"/>
      <c r="J96" s="95"/>
      <c r="K96" s="95"/>
      <c r="L96" s="95"/>
      <c r="M96" s="95"/>
      <c r="N96" s="116"/>
      <c r="O96" s="116"/>
      <c r="P96" s="116"/>
      <c r="Q96" s="116"/>
      <c r="R96" s="95"/>
      <c r="S96" s="116"/>
      <c r="T96" s="116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</row>
    <row r="97" spans="1:38" hidden="1" x14ac:dyDescent="0.3">
      <c r="A97" s="95"/>
      <c r="B97" s="95"/>
      <c r="C97" s="95"/>
      <c r="D97" s="106"/>
      <c r="E97" s="95"/>
      <c r="F97" s="95"/>
      <c r="G97" s="95"/>
      <c r="H97" s="95"/>
      <c r="I97" s="95"/>
      <c r="J97" s="95"/>
      <c r="K97" s="95"/>
      <c r="L97" s="95"/>
      <c r="M97" s="95"/>
      <c r="N97" s="116"/>
      <c r="O97" s="116"/>
      <c r="P97" s="116"/>
      <c r="Q97" s="116"/>
      <c r="R97" s="95"/>
      <c r="S97" s="116"/>
      <c r="T97" s="116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</row>
    <row r="98" spans="1:38" hidden="1" x14ac:dyDescent="0.3">
      <c r="A98" s="109"/>
      <c r="B98" s="109"/>
      <c r="C98" s="109"/>
      <c r="D98" s="95" t="s">
        <v>543</v>
      </c>
      <c r="E98" s="142"/>
      <c r="F98" s="154"/>
      <c r="G98" s="154"/>
      <c r="H98" s="154"/>
      <c r="I98" s="154"/>
      <c r="J98" s="154"/>
      <c r="K98" s="95"/>
      <c r="L98" s="95"/>
      <c r="M98" s="95"/>
      <c r="N98" s="116"/>
      <c r="O98" s="116"/>
      <c r="P98" s="116"/>
      <c r="Q98" s="116"/>
      <c r="R98" s="95"/>
      <c r="S98" s="116"/>
      <c r="T98" s="116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</row>
    <row r="99" spans="1:38" hidden="1" x14ac:dyDescent="0.3">
      <c r="A99" s="109"/>
      <c r="B99" s="109"/>
      <c r="C99" s="109"/>
      <c r="D99" s="125">
        <v>1130239</v>
      </c>
      <c r="E99" s="142"/>
      <c r="F99" s="154"/>
      <c r="G99" s="154"/>
      <c r="H99" s="154"/>
      <c r="I99" s="154"/>
      <c r="J99" s="154"/>
      <c r="K99" s="95"/>
      <c r="L99" s="95"/>
      <c r="M99" s="95"/>
      <c r="N99" s="116"/>
      <c r="O99" s="116"/>
      <c r="P99" s="116"/>
      <c r="Q99" s="116"/>
      <c r="R99" s="95"/>
      <c r="S99" s="116"/>
      <c r="T99" s="116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</row>
    <row r="100" spans="1:38" hidden="1" x14ac:dyDescent="0.3">
      <c r="A100" s="109"/>
      <c r="B100" s="109"/>
      <c r="C100" s="109"/>
      <c r="D100" s="95"/>
      <c r="E100" s="95"/>
      <c r="F100" s="154"/>
      <c r="G100" s="154"/>
      <c r="H100" s="154"/>
      <c r="I100" s="154"/>
      <c r="J100" s="154"/>
      <c r="K100" s="95"/>
      <c r="L100" s="95"/>
      <c r="M100" s="95"/>
      <c r="N100" s="116"/>
      <c r="O100" s="116"/>
      <c r="P100" s="116"/>
      <c r="Q100" s="116"/>
      <c r="R100" s="95"/>
      <c r="S100" s="116"/>
      <c r="T100" s="116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</row>
    <row r="101" spans="1:38" hidden="1" x14ac:dyDescent="0.3">
      <c r="A101" s="109"/>
      <c r="B101" s="109"/>
      <c r="C101" s="109"/>
      <c r="D101" s="95" t="s">
        <v>544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116"/>
      <c r="O101" s="116"/>
      <c r="P101" s="116"/>
      <c r="Q101" s="116"/>
      <c r="R101" s="95"/>
      <c r="S101" s="116"/>
      <c r="T101" s="116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</row>
    <row r="102" spans="1:38" hidden="1" x14ac:dyDescent="0.3">
      <c r="A102" s="109"/>
      <c r="B102" s="109"/>
      <c r="C102" s="109"/>
      <c r="D102" s="126">
        <v>1949332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116"/>
      <c r="O102" s="116"/>
      <c r="P102" s="116"/>
      <c r="Q102" s="116"/>
      <c r="R102" s="95"/>
      <c r="S102" s="116"/>
      <c r="T102" s="116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</row>
    <row r="103" spans="1:38" hidden="1" x14ac:dyDescent="0.3">
      <c r="A103" s="109"/>
      <c r="B103" s="109"/>
      <c r="C103" s="109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116"/>
      <c r="O103" s="116"/>
      <c r="P103" s="116"/>
      <c r="Q103" s="116"/>
      <c r="R103" s="95"/>
      <c r="S103" s="116"/>
      <c r="T103" s="116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</row>
    <row r="104" spans="1:38" hidden="1" x14ac:dyDescent="0.3">
      <c r="A104" s="95"/>
      <c r="B104" s="95"/>
      <c r="C104" s="95"/>
      <c r="D104" s="95" t="s">
        <v>545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116"/>
      <c r="O104" s="116"/>
      <c r="P104" s="116"/>
      <c r="Q104" s="116"/>
      <c r="R104" s="95"/>
      <c r="S104" s="116"/>
      <c r="T104" s="116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</row>
    <row r="105" spans="1:38" hidden="1" x14ac:dyDescent="0.3">
      <c r="A105" s="95"/>
      <c r="B105" s="95"/>
      <c r="C105" s="95"/>
      <c r="D105" s="128">
        <f>ROUND((D99+D102)/2,0)</f>
        <v>1539786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116"/>
      <c r="O105" s="116"/>
      <c r="P105" s="116"/>
      <c r="Q105" s="116"/>
      <c r="R105" s="95"/>
      <c r="S105" s="116"/>
      <c r="T105" s="116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</row>
    <row r="106" spans="1:38" hidden="1" x14ac:dyDescent="0.3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116"/>
      <c r="O106" s="116"/>
      <c r="P106" s="116"/>
      <c r="Q106" s="116"/>
      <c r="R106" s="95"/>
      <c r="S106" s="116"/>
      <c r="T106" s="116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</row>
    <row r="107" spans="1:38" hidden="1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116"/>
      <c r="O107" s="116"/>
      <c r="P107" s="116"/>
      <c r="Q107" s="116"/>
      <c r="R107" s="95"/>
      <c r="S107" s="116"/>
      <c r="T107" s="116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</row>
    <row r="108" spans="1:38" hidden="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116"/>
      <c r="O108" s="116"/>
      <c r="P108" s="116"/>
      <c r="Q108" s="116"/>
      <c r="R108" s="95"/>
      <c r="S108" s="116"/>
      <c r="T108" s="116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 t="s">
        <v>603</v>
      </c>
      <c r="AL108" s="167">
        <v>1556983.29</v>
      </c>
    </row>
    <row r="109" spans="1:38" hidden="1" x14ac:dyDescent="0.3">
      <c r="A109" s="95"/>
      <c r="B109" s="95"/>
      <c r="C109" s="95"/>
      <c r="D109" s="95" t="s">
        <v>546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116"/>
      <c r="O109" s="116"/>
      <c r="P109" s="116"/>
      <c r="Q109" s="116"/>
      <c r="R109" s="95"/>
      <c r="S109" s="116"/>
      <c r="T109" s="116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</row>
    <row r="110" spans="1:38" hidden="1" x14ac:dyDescent="0.3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116"/>
      <c r="O110" s="116"/>
      <c r="P110" s="116"/>
      <c r="Q110" s="116"/>
      <c r="R110" s="95"/>
      <c r="S110" s="116"/>
      <c r="T110" s="116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</row>
    <row r="111" spans="1:38" hidden="1" x14ac:dyDescent="0.3">
      <c r="A111" s="95"/>
      <c r="B111" s="95"/>
      <c r="C111" s="95"/>
      <c r="D111" s="95" t="s">
        <v>547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116"/>
      <c r="O111" s="116"/>
      <c r="P111" s="116"/>
      <c r="Q111" s="116"/>
      <c r="R111" s="95"/>
      <c r="S111" s="116"/>
      <c r="T111" s="116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 t="s">
        <v>604</v>
      </c>
      <c r="AL111" s="120">
        <v>9473252</v>
      </c>
    </row>
    <row r="112" spans="1:38" hidden="1" x14ac:dyDescent="0.3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16"/>
      <c r="O112" s="116"/>
      <c r="P112" s="116"/>
      <c r="Q112" s="116"/>
      <c r="R112" s="95"/>
      <c r="S112" s="116"/>
      <c r="T112" s="116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 t="s">
        <v>605</v>
      </c>
      <c r="AL112" s="174">
        <v>429778.07999999996</v>
      </c>
    </row>
    <row r="113" spans="4:39" hidden="1" x14ac:dyDescent="0.3"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116"/>
      <c r="O113" s="116"/>
      <c r="P113" s="116"/>
      <c r="Q113" s="116"/>
      <c r="R113" s="95"/>
      <c r="S113" s="116"/>
      <c r="T113" s="116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132">
        <v>9903030.0800000001</v>
      </c>
      <c r="AM113" s="95"/>
    </row>
    <row r="114" spans="4:39" hidden="1" x14ac:dyDescent="0.3"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116"/>
      <c r="O114" s="116"/>
      <c r="P114" s="116"/>
      <c r="Q114" s="116"/>
      <c r="R114" s="95"/>
      <c r="S114" s="116"/>
      <c r="T114" s="95"/>
      <c r="U114" s="95"/>
      <c r="V114" s="120">
        <v>293472610.56</v>
      </c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120">
        <v>309545058.56</v>
      </c>
      <c r="AI114" s="95"/>
      <c r="AJ114" s="95"/>
      <c r="AK114" s="95"/>
      <c r="AL114" s="120">
        <v>9903030.0800000001</v>
      </c>
      <c r="AM114" s="95" t="s">
        <v>571</v>
      </c>
    </row>
    <row r="115" spans="4:39" hidden="1" x14ac:dyDescent="0.3">
      <c r="D115" s="95" t="s">
        <v>546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116"/>
      <c r="O115" s="116"/>
      <c r="P115" s="116"/>
      <c r="Q115" s="116"/>
      <c r="R115" s="95"/>
      <c r="S115" s="116"/>
      <c r="T115" s="131" t="s">
        <v>548</v>
      </c>
      <c r="U115" s="95"/>
      <c r="V115" s="120">
        <v>-4208069.49</v>
      </c>
      <c r="W115" s="95"/>
      <c r="X115" s="95"/>
      <c r="Y115" s="95"/>
      <c r="Z115" s="95"/>
      <c r="AA115" s="95"/>
      <c r="AB115" s="95"/>
      <c r="AC115" s="95"/>
      <c r="AD115" s="95"/>
      <c r="AE115" s="95"/>
      <c r="AF115" s="131" t="s">
        <v>548</v>
      </c>
      <c r="AG115" s="95"/>
      <c r="AH115" s="120">
        <v>-4208069.49</v>
      </c>
      <c r="AI115" s="95"/>
      <c r="AJ115" s="95"/>
      <c r="AK115" s="95"/>
      <c r="AL115" s="95"/>
      <c r="AM115" s="95"/>
    </row>
    <row r="116" spans="4:39" hidden="1" x14ac:dyDescent="0.3">
      <c r="D116" s="95" t="s">
        <v>549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131" t="s">
        <v>550</v>
      </c>
      <c r="U116" s="95"/>
      <c r="V116" s="120">
        <v>-4585903.09</v>
      </c>
      <c r="W116" s="95"/>
      <c r="X116" s="95"/>
      <c r="Y116" s="95"/>
      <c r="Z116" s="95"/>
      <c r="AA116" s="95"/>
      <c r="AB116" s="95"/>
      <c r="AC116" s="95"/>
      <c r="AD116" s="95"/>
      <c r="AE116" s="95"/>
      <c r="AF116" s="131" t="s">
        <v>550</v>
      </c>
      <c r="AG116" s="95"/>
      <c r="AH116" s="120">
        <v>-4585903.09</v>
      </c>
      <c r="AI116" s="95"/>
      <c r="AJ116" s="95"/>
      <c r="AK116" s="95"/>
      <c r="AL116" s="95"/>
      <c r="AM116" s="95"/>
    </row>
    <row r="117" spans="4:39" hidden="1" x14ac:dyDescent="0.3"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131" t="s">
        <v>551</v>
      </c>
      <c r="U117" s="95"/>
      <c r="V117" s="120">
        <v>580759.07999999996</v>
      </c>
      <c r="W117" s="95"/>
      <c r="X117" s="95"/>
      <c r="Y117" s="95"/>
      <c r="Z117" s="95"/>
      <c r="AA117" s="95"/>
      <c r="AB117" s="95"/>
      <c r="AC117" s="95"/>
      <c r="AD117" s="95"/>
      <c r="AE117" s="95"/>
      <c r="AF117" s="131" t="s">
        <v>551</v>
      </c>
      <c r="AG117" s="95"/>
      <c r="AH117" s="120">
        <v>580759.07999999996</v>
      </c>
      <c r="AI117" s="95"/>
      <c r="AJ117" s="95"/>
      <c r="AK117" s="95"/>
      <c r="AL117" s="95"/>
      <c r="AM117" s="95"/>
    </row>
    <row r="118" spans="4:39" hidden="1" x14ac:dyDescent="0.3">
      <c r="D118" s="95" t="s">
        <v>552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131" t="s">
        <v>553</v>
      </c>
      <c r="U118" s="95"/>
      <c r="V118" s="120">
        <v>-91469.88</v>
      </c>
      <c r="W118" s="95"/>
      <c r="X118" s="95"/>
      <c r="Y118" s="95"/>
      <c r="Z118" s="95"/>
      <c r="AA118" s="95"/>
      <c r="AB118" s="95"/>
      <c r="AC118" s="95"/>
      <c r="AD118" s="95"/>
      <c r="AE118" s="95"/>
      <c r="AF118" s="131" t="s">
        <v>553</v>
      </c>
      <c r="AG118" s="95"/>
      <c r="AH118" s="120">
        <v>-91469.88</v>
      </c>
      <c r="AI118" s="95"/>
      <c r="AJ118" s="95"/>
      <c r="AK118" s="95"/>
      <c r="AL118" s="95"/>
      <c r="AM118" s="95"/>
    </row>
    <row r="119" spans="4:39" hidden="1" x14ac:dyDescent="0.3"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 t="s">
        <v>554</v>
      </c>
      <c r="U119" s="95"/>
      <c r="V119" s="120">
        <v>0</v>
      </c>
      <c r="W119" s="95"/>
      <c r="X119" s="95"/>
      <c r="Y119" s="95"/>
      <c r="Z119" s="95"/>
      <c r="AA119" s="95"/>
      <c r="AB119" s="95"/>
      <c r="AC119" s="95"/>
      <c r="AD119" s="95"/>
      <c r="AE119" s="95"/>
      <c r="AF119" s="95" t="s">
        <v>554</v>
      </c>
      <c r="AG119" s="95"/>
      <c r="AH119" s="120">
        <v>0</v>
      </c>
      <c r="AI119" s="95"/>
      <c r="AJ119" s="95"/>
      <c r="AK119" s="95"/>
      <c r="AL119" s="95"/>
      <c r="AM119" s="95"/>
    </row>
    <row r="120" spans="4:39" hidden="1" x14ac:dyDescent="0.3"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</row>
    <row r="121" spans="4:39" hidden="1" x14ac:dyDescent="0.3"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132">
        <v>285167927.18000001</v>
      </c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132">
        <v>301240375.18000001</v>
      </c>
      <c r="AI121" s="95"/>
      <c r="AJ121" s="95"/>
      <c r="AK121" s="95"/>
      <c r="AL121" s="95"/>
      <c r="AM121" s="95"/>
    </row>
    <row r="122" spans="4:39" hidden="1" x14ac:dyDescent="0.3"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</row>
    <row r="123" spans="4:39" hidden="1" x14ac:dyDescent="0.3"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</row>
    <row r="124" spans="4:39" hidden="1" x14ac:dyDescent="0.3"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132">
        <v>1.2900000214576721</v>
      </c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132">
        <v>1.2900000214576721</v>
      </c>
      <c r="AI124" s="95"/>
      <c r="AJ124" s="95"/>
      <c r="AK124" s="95"/>
      <c r="AL124" s="95"/>
      <c r="AM124" s="95"/>
    </row>
    <row r="125" spans="4:39" hidden="1" x14ac:dyDescent="0.3"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</row>
    <row r="126" spans="4:39" hidden="1" x14ac:dyDescent="0.3"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132">
        <v>0</v>
      </c>
      <c r="AI126" s="95"/>
      <c r="AJ126" s="95"/>
      <c r="AK126" s="95"/>
      <c r="AL126" s="95"/>
      <c r="AM126" s="95"/>
    </row>
    <row r="127" spans="4:39" hidden="1" x14ac:dyDescent="0.3"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</row>
    <row r="128" spans="4:39" hidden="1" x14ac:dyDescent="0.3"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</row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</sheetData>
  <mergeCells count="1">
    <mergeCell ref="E5:Q5"/>
  </mergeCells>
  <pageMargins left="0.7" right="0.7" top="0.75" bottom="0.75" header="0.3" footer="0.3"/>
  <pageSetup scale="48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6EC4-AB93-4CAB-9892-122C2AD5C046}">
  <sheetPr>
    <tabColor rgb="FF66FF33"/>
    <pageSetUpPr fitToPage="1"/>
  </sheetPr>
  <dimension ref="A1:X137"/>
  <sheetViews>
    <sheetView topLeftCell="C1" workbookViewId="0">
      <selection activeCell="G32" sqref="G32"/>
    </sheetView>
  </sheetViews>
  <sheetFormatPr defaultColWidth="11" defaultRowHeight="14.4" x14ac:dyDescent="0.3"/>
  <cols>
    <col min="1" max="1" width="7.5546875" customWidth="1"/>
    <col min="2" max="3" width="9.5546875" customWidth="1"/>
    <col min="4" max="4" width="37.6640625" bestFit="1" customWidth="1"/>
    <col min="5" max="5" width="13" customWidth="1"/>
    <col min="6" max="6" width="13.109375" customWidth="1"/>
    <col min="7" max="7" width="13" customWidth="1"/>
    <col min="8" max="9" width="13.44140625" customWidth="1"/>
    <col min="10" max="10" width="12.88671875" customWidth="1"/>
    <col min="11" max="12" width="13.33203125" customWidth="1"/>
    <col min="13" max="14" width="13" customWidth="1"/>
    <col min="15" max="15" width="12.6640625" customWidth="1"/>
    <col min="16" max="16" width="14.33203125" customWidth="1"/>
    <col min="17" max="17" width="14.109375" customWidth="1"/>
    <col min="19" max="19" width="12" bestFit="1" customWidth="1"/>
    <col min="21" max="21" width="13.5546875" bestFit="1" customWidth="1"/>
    <col min="222" max="222" width="7.5546875" customWidth="1"/>
    <col min="223" max="224" width="9.5546875" customWidth="1"/>
    <col min="225" max="225" width="32.6640625" customWidth="1"/>
    <col min="226" max="229" width="13.6640625" customWidth="1"/>
    <col min="230" max="230" width="11.5546875" customWidth="1"/>
    <col min="231" max="231" width="11.109375" customWidth="1"/>
    <col min="232" max="232" width="12.44140625" customWidth="1"/>
    <col min="233" max="233" width="8.88671875" customWidth="1"/>
    <col min="234" max="234" width="13.33203125" customWidth="1"/>
    <col min="235" max="235" width="11.33203125" customWidth="1"/>
    <col min="236" max="236" width="10.6640625" customWidth="1"/>
    <col min="237" max="237" width="11.33203125" customWidth="1"/>
    <col min="238" max="238" width="8.6640625" customWidth="1"/>
    <col min="239" max="239" width="13.88671875" customWidth="1"/>
    <col min="240" max="240" width="10.88671875" customWidth="1"/>
    <col min="241" max="241" width="9.88671875" customWidth="1"/>
    <col min="242" max="253" width="10.44140625" customWidth="1"/>
    <col min="254" max="254" width="12" customWidth="1"/>
    <col min="478" max="478" width="7.5546875" customWidth="1"/>
    <col min="479" max="480" width="9.5546875" customWidth="1"/>
    <col min="481" max="481" width="32.6640625" customWidth="1"/>
    <col min="482" max="485" width="13.6640625" customWidth="1"/>
    <col min="486" max="486" width="11.5546875" customWidth="1"/>
    <col min="487" max="487" width="11.109375" customWidth="1"/>
    <col min="488" max="488" width="12.44140625" customWidth="1"/>
    <col min="489" max="489" width="8.88671875" customWidth="1"/>
    <col min="490" max="490" width="13.33203125" customWidth="1"/>
    <col min="491" max="491" width="11.33203125" customWidth="1"/>
    <col min="492" max="492" width="10.6640625" customWidth="1"/>
    <col min="493" max="493" width="11.33203125" customWidth="1"/>
    <col min="494" max="494" width="8.6640625" customWidth="1"/>
    <col min="495" max="495" width="13.88671875" customWidth="1"/>
    <col min="496" max="496" width="10.88671875" customWidth="1"/>
    <col min="497" max="497" width="9.88671875" customWidth="1"/>
    <col min="498" max="509" width="10.44140625" customWidth="1"/>
    <col min="510" max="510" width="12" customWidth="1"/>
    <col min="734" max="734" width="7.5546875" customWidth="1"/>
    <col min="735" max="736" width="9.5546875" customWidth="1"/>
    <col min="737" max="737" width="32.6640625" customWidth="1"/>
    <col min="738" max="741" width="13.6640625" customWidth="1"/>
    <col min="742" max="742" width="11.5546875" customWidth="1"/>
    <col min="743" max="743" width="11.109375" customWidth="1"/>
    <col min="744" max="744" width="12.44140625" customWidth="1"/>
    <col min="745" max="745" width="8.88671875" customWidth="1"/>
    <col min="746" max="746" width="13.33203125" customWidth="1"/>
    <col min="747" max="747" width="11.33203125" customWidth="1"/>
    <col min="748" max="748" width="10.6640625" customWidth="1"/>
    <col min="749" max="749" width="11.33203125" customWidth="1"/>
    <col min="750" max="750" width="8.6640625" customWidth="1"/>
    <col min="751" max="751" width="13.88671875" customWidth="1"/>
    <col min="752" max="752" width="10.88671875" customWidth="1"/>
    <col min="753" max="753" width="9.88671875" customWidth="1"/>
    <col min="754" max="765" width="10.44140625" customWidth="1"/>
    <col min="766" max="766" width="12" customWidth="1"/>
    <col min="990" max="990" width="7.5546875" customWidth="1"/>
    <col min="991" max="992" width="9.5546875" customWidth="1"/>
    <col min="993" max="993" width="32.6640625" customWidth="1"/>
    <col min="994" max="997" width="13.6640625" customWidth="1"/>
    <col min="998" max="998" width="11.5546875" customWidth="1"/>
    <col min="999" max="999" width="11.109375" customWidth="1"/>
    <col min="1000" max="1000" width="12.44140625" customWidth="1"/>
    <col min="1001" max="1001" width="8.88671875" customWidth="1"/>
    <col min="1002" max="1002" width="13.33203125" customWidth="1"/>
    <col min="1003" max="1003" width="11.33203125" customWidth="1"/>
    <col min="1004" max="1004" width="10.6640625" customWidth="1"/>
    <col min="1005" max="1005" width="11.33203125" customWidth="1"/>
    <col min="1006" max="1006" width="8.6640625" customWidth="1"/>
    <col min="1007" max="1007" width="13.88671875" customWidth="1"/>
    <col min="1008" max="1008" width="10.88671875" customWidth="1"/>
    <col min="1009" max="1009" width="9.88671875" customWidth="1"/>
    <col min="1010" max="1021" width="10.44140625" customWidth="1"/>
    <col min="1022" max="1022" width="12" customWidth="1"/>
    <col min="1246" max="1246" width="7.5546875" customWidth="1"/>
    <col min="1247" max="1248" width="9.5546875" customWidth="1"/>
    <col min="1249" max="1249" width="32.6640625" customWidth="1"/>
    <col min="1250" max="1253" width="13.6640625" customWidth="1"/>
    <col min="1254" max="1254" width="11.5546875" customWidth="1"/>
    <col min="1255" max="1255" width="11.109375" customWidth="1"/>
    <col min="1256" max="1256" width="12.44140625" customWidth="1"/>
    <col min="1257" max="1257" width="8.88671875" customWidth="1"/>
    <col min="1258" max="1258" width="13.33203125" customWidth="1"/>
    <col min="1259" max="1259" width="11.33203125" customWidth="1"/>
    <col min="1260" max="1260" width="10.6640625" customWidth="1"/>
    <col min="1261" max="1261" width="11.33203125" customWidth="1"/>
    <col min="1262" max="1262" width="8.6640625" customWidth="1"/>
    <col min="1263" max="1263" width="13.88671875" customWidth="1"/>
    <col min="1264" max="1264" width="10.88671875" customWidth="1"/>
    <col min="1265" max="1265" width="9.88671875" customWidth="1"/>
    <col min="1266" max="1277" width="10.44140625" customWidth="1"/>
    <col min="1278" max="1278" width="12" customWidth="1"/>
    <col min="1502" max="1502" width="7.5546875" customWidth="1"/>
    <col min="1503" max="1504" width="9.5546875" customWidth="1"/>
    <col min="1505" max="1505" width="32.6640625" customWidth="1"/>
    <col min="1506" max="1509" width="13.6640625" customWidth="1"/>
    <col min="1510" max="1510" width="11.5546875" customWidth="1"/>
    <col min="1511" max="1511" width="11.109375" customWidth="1"/>
    <col min="1512" max="1512" width="12.44140625" customWidth="1"/>
    <col min="1513" max="1513" width="8.88671875" customWidth="1"/>
    <col min="1514" max="1514" width="13.33203125" customWidth="1"/>
    <col min="1515" max="1515" width="11.33203125" customWidth="1"/>
    <col min="1516" max="1516" width="10.6640625" customWidth="1"/>
    <col min="1517" max="1517" width="11.33203125" customWidth="1"/>
    <col min="1518" max="1518" width="8.6640625" customWidth="1"/>
    <col min="1519" max="1519" width="13.88671875" customWidth="1"/>
    <col min="1520" max="1520" width="10.88671875" customWidth="1"/>
    <col min="1521" max="1521" width="9.88671875" customWidth="1"/>
    <col min="1522" max="1533" width="10.44140625" customWidth="1"/>
    <col min="1534" max="1534" width="12" customWidth="1"/>
    <col min="1758" max="1758" width="7.5546875" customWidth="1"/>
    <col min="1759" max="1760" width="9.5546875" customWidth="1"/>
    <col min="1761" max="1761" width="32.6640625" customWidth="1"/>
    <col min="1762" max="1765" width="13.6640625" customWidth="1"/>
    <col min="1766" max="1766" width="11.5546875" customWidth="1"/>
    <col min="1767" max="1767" width="11.109375" customWidth="1"/>
    <col min="1768" max="1768" width="12.44140625" customWidth="1"/>
    <col min="1769" max="1769" width="8.88671875" customWidth="1"/>
    <col min="1770" max="1770" width="13.33203125" customWidth="1"/>
    <col min="1771" max="1771" width="11.33203125" customWidth="1"/>
    <col min="1772" max="1772" width="10.6640625" customWidth="1"/>
    <col min="1773" max="1773" width="11.33203125" customWidth="1"/>
    <col min="1774" max="1774" width="8.6640625" customWidth="1"/>
    <col min="1775" max="1775" width="13.88671875" customWidth="1"/>
    <col min="1776" max="1776" width="10.88671875" customWidth="1"/>
    <col min="1777" max="1777" width="9.88671875" customWidth="1"/>
    <col min="1778" max="1789" width="10.44140625" customWidth="1"/>
    <col min="1790" max="1790" width="12" customWidth="1"/>
    <col min="2014" max="2014" width="7.5546875" customWidth="1"/>
    <col min="2015" max="2016" width="9.5546875" customWidth="1"/>
    <col min="2017" max="2017" width="32.6640625" customWidth="1"/>
    <col min="2018" max="2021" width="13.6640625" customWidth="1"/>
    <col min="2022" max="2022" width="11.5546875" customWidth="1"/>
    <col min="2023" max="2023" width="11.109375" customWidth="1"/>
    <col min="2024" max="2024" width="12.44140625" customWidth="1"/>
    <col min="2025" max="2025" width="8.88671875" customWidth="1"/>
    <col min="2026" max="2026" width="13.33203125" customWidth="1"/>
    <col min="2027" max="2027" width="11.33203125" customWidth="1"/>
    <col min="2028" max="2028" width="10.6640625" customWidth="1"/>
    <col min="2029" max="2029" width="11.33203125" customWidth="1"/>
    <col min="2030" max="2030" width="8.6640625" customWidth="1"/>
    <col min="2031" max="2031" width="13.88671875" customWidth="1"/>
    <col min="2032" max="2032" width="10.88671875" customWidth="1"/>
    <col min="2033" max="2033" width="9.88671875" customWidth="1"/>
    <col min="2034" max="2045" width="10.44140625" customWidth="1"/>
    <col min="2046" max="2046" width="12" customWidth="1"/>
    <col min="2270" max="2270" width="7.5546875" customWidth="1"/>
    <col min="2271" max="2272" width="9.5546875" customWidth="1"/>
    <col min="2273" max="2273" width="32.6640625" customWidth="1"/>
    <col min="2274" max="2277" width="13.6640625" customWidth="1"/>
    <col min="2278" max="2278" width="11.5546875" customWidth="1"/>
    <col min="2279" max="2279" width="11.109375" customWidth="1"/>
    <col min="2280" max="2280" width="12.44140625" customWidth="1"/>
    <col min="2281" max="2281" width="8.88671875" customWidth="1"/>
    <col min="2282" max="2282" width="13.33203125" customWidth="1"/>
    <col min="2283" max="2283" width="11.33203125" customWidth="1"/>
    <col min="2284" max="2284" width="10.6640625" customWidth="1"/>
    <col min="2285" max="2285" width="11.33203125" customWidth="1"/>
    <col min="2286" max="2286" width="8.6640625" customWidth="1"/>
    <col min="2287" max="2287" width="13.88671875" customWidth="1"/>
    <col min="2288" max="2288" width="10.88671875" customWidth="1"/>
    <col min="2289" max="2289" width="9.88671875" customWidth="1"/>
    <col min="2290" max="2301" width="10.44140625" customWidth="1"/>
    <col min="2302" max="2302" width="12" customWidth="1"/>
    <col min="2526" max="2526" width="7.5546875" customWidth="1"/>
    <col min="2527" max="2528" width="9.5546875" customWidth="1"/>
    <col min="2529" max="2529" width="32.6640625" customWidth="1"/>
    <col min="2530" max="2533" width="13.6640625" customWidth="1"/>
    <col min="2534" max="2534" width="11.5546875" customWidth="1"/>
    <col min="2535" max="2535" width="11.109375" customWidth="1"/>
    <col min="2536" max="2536" width="12.44140625" customWidth="1"/>
    <col min="2537" max="2537" width="8.88671875" customWidth="1"/>
    <col min="2538" max="2538" width="13.33203125" customWidth="1"/>
    <col min="2539" max="2539" width="11.33203125" customWidth="1"/>
    <col min="2540" max="2540" width="10.6640625" customWidth="1"/>
    <col min="2541" max="2541" width="11.33203125" customWidth="1"/>
    <col min="2542" max="2542" width="8.6640625" customWidth="1"/>
    <col min="2543" max="2543" width="13.88671875" customWidth="1"/>
    <col min="2544" max="2544" width="10.88671875" customWidth="1"/>
    <col min="2545" max="2545" width="9.88671875" customWidth="1"/>
    <col min="2546" max="2557" width="10.44140625" customWidth="1"/>
    <col min="2558" max="2558" width="12" customWidth="1"/>
    <col min="2782" max="2782" width="7.5546875" customWidth="1"/>
    <col min="2783" max="2784" width="9.5546875" customWidth="1"/>
    <col min="2785" max="2785" width="32.6640625" customWidth="1"/>
    <col min="2786" max="2789" width="13.6640625" customWidth="1"/>
    <col min="2790" max="2790" width="11.5546875" customWidth="1"/>
    <col min="2791" max="2791" width="11.109375" customWidth="1"/>
    <col min="2792" max="2792" width="12.44140625" customWidth="1"/>
    <col min="2793" max="2793" width="8.88671875" customWidth="1"/>
    <col min="2794" max="2794" width="13.33203125" customWidth="1"/>
    <col min="2795" max="2795" width="11.33203125" customWidth="1"/>
    <col min="2796" max="2796" width="10.6640625" customWidth="1"/>
    <col min="2797" max="2797" width="11.33203125" customWidth="1"/>
    <col min="2798" max="2798" width="8.6640625" customWidth="1"/>
    <col min="2799" max="2799" width="13.88671875" customWidth="1"/>
    <col min="2800" max="2800" width="10.88671875" customWidth="1"/>
    <col min="2801" max="2801" width="9.88671875" customWidth="1"/>
    <col min="2802" max="2813" width="10.44140625" customWidth="1"/>
    <col min="2814" max="2814" width="12" customWidth="1"/>
    <col min="3038" max="3038" width="7.5546875" customWidth="1"/>
    <col min="3039" max="3040" width="9.5546875" customWidth="1"/>
    <col min="3041" max="3041" width="32.6640625" customWidth="1"/>
    <col min="3042" max="3045" width="13.6640625" customWidth="1"/>
    <col min="3046" max="3046" width="11.5546875" customWidth="1"/>
    <col min="3047" max="3047" width="11.109375" customWidth="1"/>
    <col min="3048" max="3048" width="12.44140625" customWidth="1"/>
    <col min="3049" max="3049" width="8.88671875" customWidth="1"/>
    <col min="3050" max="3050" width="13.33203125" customWidth="1"/>
    <col min="3051" max="3051" width="11.33203125" customWidth="1"/>
    <col min="3052" max="3052" width="10.6640625" customWidth="1"/>
    <col min="3053" max="3053" width="11.33203125" customWidth="1"/>
    <col min="3054" max="3054" width="8.6640625" customWidth="1"/>
    <col min="3055" max="3055" width="13.88671875" customWidth="1"/>
    <col min="3056" max="3056" width="10.88671875" customWidth="1"/>
    <col min="3057" max="3057" width="9.88671875" customWidth="1"/>
    <col min="3058" max="3069" width="10.44140625" customWidth="1"/>
    <col min="3070" max="3070" width="12" customWidth="1"/>
    <col min="3294" max="3294" width="7.5546875" customWidth="1"/>
    <col min="3295" max="3296" width="9.5546875" customWidth="1"/>
    <col min="3297" max="3297" width="32.6640625" customWidth="1"/>
    <col min="3298" max="3301" width="13.6640625" customWidth="1"/>
    <col min="3302" max="3302" width="11.5546875" customWidth="1"/>
    <col min="3303" max="3303" width="11.109375" customWidth="1"/>
    <col min="3304" max="3304" width="12.44140625" customWidth="1"/>
    <col min="3305" max="3305" width="8.88671875" customWidth="1"/>
    <col min="3306" max="3306" width="13.33203125" customWidth="1"/>
    <col min="3307" max="3307" width="11.33203125" customWidth="1"/>
    <col min="3308" max="3308" width="10.6640625" customWidth="1"/>
    <col min="3309" max="3309" width="11.33203125" customWidth="1"/>
    <col min="3310" max="3310" width="8.6640625" customWidth="1"/>
    <col min="3311" max="3311" width="13.88671875" customWidth="1"/>
    <col min="3312" max="3312" width="10.88671875" customWidth="1"/>
    <col min="3313" max="3313" width="9.88671875" customWidth="1"/>
    <col min="3314" max="3325" width="10.44140625" customWidth="1"/>
    <col min="3326" max="3326" width="12" customWidth="1"/>
    <col min="3550" max="3550" width="7.5546875" customWidth="1"/>
    <col min="3551" max="3552" width="9.5546875" customWidth="1"/>
    <col min="3553" max="3553" width="32.6640625" customWidth="1"/>
    <col min="3554" max="3557" width="13.6640625" customWidth="1"/>
    <col min="3558" max="3558" width="11.5546875" customWidth="1"/>
    <col min="3559" max="3559" width="11.109375" customWidth="1"/>
    <col min="3560" max="3560" width="12.44140625" customWidth="1"/>
    <col min="3561" max="3561" width="8.88671875" customWidth="1"/>
    <col min="3562" max="3562" width="13.33203125" customWidth="1"/>
    <col min="3563" max="3563" width="11.33203125" customWidth="1"/>
    <col min="3564" max="3564" width="10.6640625" customWidth="1"/>
    <col min="3565" max="3565" width="11.33203125" customWidth="1"/>
    <col min="3566" max="3566" width="8.6640625" customWidth="1"/>
    <col min="3567" max="3567" width="13.88671875" customWidth="1"/>
    <col min="3568" max="3568" width="10.88671875" customWidth="1"/>
    <col min="3569" max="3569" width="9.88671875" customWidth="1"/>
    <col min="3570" max="3581" width="10.44140625" customWidth="1"/>
    <col min="3582" max="3582" width="12" customWidth="1"/>
    <col min="3806" max="3806" width="7.5546875" customWidth="1"/>
    <col min="3807" max="3808" width="9.5546875" customWidth="1"/>
    <col min="3809" max="3809" width="32.6640625" customWidth="1"/>
    <col min="3810" max="3813" width="13.6640625" customWidth="1"/>
    <col min="3814" max="3814" width="11.5546875" customWidth="1"/>
    <col min="3815" max="3815" width="11.109375" customWidth="1"/>
    <col min="3816" max="3816" width="12.44140625" customWidth="1"/>
    <col min="3817" max="3817" width="8.88671875" customWidth="1"/>
    <col min="3818" max="3818" width="13.33203125" customWidth="1"/>
    <col min="3819" max="3819" width="11.33203125" customWidth="1"/>
    <col min="3820" max="3820" width="10.6640625" customWidth="1"/>
    <col min="3821" max="3821" width="11.33203125" customWidth="1"/>
    <col min="3822" max="3822" width="8.6640625" customWidth="1"/>
    <col min="3823" max="3823" width="13.88671875" customWidth="1"/>
    <col min="3824" max="3824" width="10.88671875" customWidth="1"/>
    <col min="3825" max="3825" width="9.88671875" customWidth="1"/>
    <col min="3826" max="3837" width="10.44140625" customWidth="1"/>
    <col min="3838" max="3838" width="12" customWidth="1"/>
    <col min="4062" max="4062" width="7.5546875" customWidth="1"/>
    <col min="4063" max="4064" width="9.5546875" customWidth="1"/>
    <col min="4065" max="4065" width="32.6640625" customWidth="1"/>
    <col min="4066" max="4069" width="13.6640625" customWidth="1"/>
    <col min="4070" max="4070" width="11.5546875" customWidth="1"/>
    <col min="4071" max="4071" width="11.109375" customWidth="1"/>
    <col min="4072" max="4072" width="12.44140625" customWidth="1"/>
    <col min="4073" max="4073" width="8.88671875" customWidth="1"/>
    <col min="4074" max="4074" width="13.33203125" customWidth="1"/>
    <col min="4075" max="4075" width="11.33203125" customWidth="1"/>
    <col min="4076" max="4076" width="10.6640625" customWidth="1"/>
    <col min="4077" max="4077" width="11.33203125" customWidth="1"/>
    <col min="4078" max="4078" width="8.6640625" customWidth="1"/>
    <col min="4079" max="4079" width="13.88671875" customWidth="1"/>
    <col min="4080" max="4080" width="10.88671875" customWidth="1"/>
    <col min="4081" max="4081" width="9.88671875" customWidth="1"/>
    <col min="4082" max="4093" width="10.44140625" customWidth="1"/>
    <col min="4094" max="4094" width="12" customWidth="1"/>
    <col min="4318" max="4318" width="7.5546875" customWidth="1"/>
    <col min="4319" max="4320" width="9.5546875" customWidth="1"/>
    <col min="4321" max="4321" width="32.6640625" customWidth="1"/>
    <col min="4322" max="4325" width="13.6640625" customWidth="1"/>
    <col min="4326" max="4326" width="11.5546875" customWidth="1"/>
    <col min="4327" max="4327" width="11.109375" customWidth="1"/>
    <col min="4328" max="4328" width="12.44140625" customWidth="1"/>
    <col min="4329" max="4329" width="8.88671875" customWidth="1"/>
    <col min="4330" max="4330" width="13.33203125" customWidth="1"/>
    <col min="4331" max="4331" width="11.33203125" customWidth="1"/>
    <col min="4332" max="4332" width="10.6640625" customWidth="1"/>
    <col min="4333" max="4333" width="11.33203125" customWidth="1"/>
    <col min="4334" max="4334" width="8.6640625" customWidth="1"/>
    <col min="4335" max="4335" width="13.88671875" customWidth="1"/>
    <col min="4336" max="4336" width="10.88671875" customWidth="1"/>
    <col min="4337" max="4337" width="9.88671875" customWidth="1"/>
    <col min="4338" max="4349" width="10.44140625" customWidth="1"/>
    <col min="4350" max="4350" width="12" customWidth="1"/>
    <col min="4574" max="4574" width="7.5546875" customWidth="1"/>
    <col min="4575" max="4576" width="9.5546875" customWidth="1"/>
    <col min="4577" max="4577" width="32.6640625" customWidth="1"/>
    <col min="4578" max="4581" width="13.6640625" customWidth="1"/>
    <col min="4582" max="4582" width="11.5546875" customWidth="1"/>
    <col min="4583" max="4583" width="11.109375" customWidth="1"/>
    <col min="4584" max="4584" width="12.44140625" customWidth="1"/>
    <col min="4585" max="4585" width="8.88671875" customWidth="1"/>
    <col min="4586" max="4586" width="13.33203125" customWidth="1"/>
    <col min="4587" max="4587" width="11.33203125" customWidth="1"/>
    <col min="4588" max="4588" width="10.6640625" customWidth="1"/>
    <col min="4589" max="4589" width="11.33203125" customWidth="1"/>
    <col min="4590" max="4590" width="8.6640625" customWidth="1"/>
    <col min="4591" max="4591" width="13.88671875" customWidth="1"/>
    <col min="4592" max="4592" width="10.88671875" customWidth="1"/>
    <col min="4593" max="4593" width="9.88671875" customWidth="1"/>
    <col min="4594" max="4605" width="10.44140625" customWidth="1"/>
    <col min="4606" max="4606" width="12" customWidth="1"/>
    <col min="4830" max="4830" width="7.5546875" customWidth="1"/>
    <col min="4831" max="4832" width="9.5546875" customWidth="1"/>
    <col min="4833" max="4833" width="32.6640625" customWidth="1"/>
    <col min="4834" max="4837" width="13.6640625" customWidth="1"/>
    <col min="4838" max="4838" width="11.5546875" customWidth="1"/>
    <col min="4839" max="4839" width="11.109375" customWidth="1"/>
    <col min="4840" max="4840" width="12.44140625" customWidth="1"/>
    <col min="4841" max="4841" width="8.88671875" customWidth="1"/>
    <col min="4842" max="4842" width="13.33203125" customWidth="1"/>
    <col min="4843" max="4843" width="11.33203125" customWidth="1"/>
    <col min="4844" max="4844" width="10.6640625" customWidth="1"/>
    <col min="4845" max="4845" width="11.33203125" customWidth="1"/>
    <col min="4846" max="4846" width="8.6640625" customWidth="1"/>
    <col min="4847" max="4847" width="13.88671875" customWidth="1"/>
    <col min="4848" max="4848" width="10.88671875" customWidth="1"/>
    <col min="4849" max="4849" width="9.88671875" customWidth="1"/>
    <col min="4850" max="4861" width="10.44140625" customWidth="1"/>
    <col min="4862" max="4862" width="12" customWidth="1"/>
    <col min="5086" max="5086" width="7.5546875" customWidth="1"/>
    <col min="5087" max="5088" width="9.5546875" customWidth="1"/>
    <col min="5089" max="5089" width="32.6640625" customWidth="1"/>
    <col min="5090" max="5093" width="13.6640625" customWidth="1"/>
    <col min="5094" max="5094" width="11.5546875" customWidth="1"/>
    <col min="5095" max="5095" width="11.109375" customWidth="1"/>
    <col min="5096" max="5096" width="12.44140625" customWidth="1"/>
    <col min="5097" max="5097" width="8.88671875" customWidth="1"/>
    <col min="5098" max="5098" width="13.33203125" customWidth="1"/>
    <col min="5099" max="5099" width="11.33203125" customWidth="1"/>
    <col min="5100" max="5100" width="10.6640625" customWidth="1"/>
    <col min="5101" max="5101" width="11.33203125" customWidth="1"/>
    <col min="5102" max="5102" width="8.6640625" customWidth="1"/>
    <col min="5103" max="5103" width="13.88671875" customWidth="1"/>
    <col min="5104" max="5104" width="10.88671875" customWidth="1"/>
    <col min="5105" max="5105" width="9.88671875" customWidth="1"/>
    <col min="5106" max="5117" width="10.44140625" customWidth="1"/>
    <col min="5118" max="5118" width="12" customWidth="1"/>
    <col min="5342" max="5342" width="7.5546875" customWidth="1"/>
    <col min="5343" max="5344" width="9.5546875" customWidth="1"/>
    <col min="5345" max="5345" width="32.6640625" customWidth="1"/>
    <col min="5346" max="5349" width="13.6640625" customWidth="1"/>
    <col min="5350" max="5350" width="11.5546875" customWidth="1"/>
    <col min="5351" max="5351" width="11.109375" customWidth="1"/>
    <col min="5352" max="5352" width="12.44140625" customWidth="1"/>
    <col min="5353" max="5353" width="8.88671875" customWidth="1"/>
    <col min="5354" max="5354" width="13.33203125" customWidth="1"/>
    <col min="5355" max="5355" width="11.33203125" customWidth="1"/>
    <col min="5356" max="5356" width="10.6640625" customWidth="1"/>
    <col min="5357" max="5357" width="11.33203125" customWidth="1"/>
    <col min="5358" max="5358" width="8.6640625" customWidth="1"/>
    <col min="5359" max="5359" width="13.88671875" customWidth="1"/>
    <col min="5360" max="5360" width="10.88671875" customWidth="1"/>
    <col min="5361" max="5361" width="9.88671875" customWidth="1"/>
    <col min="5362" max="5373" width="10.44140625" customWidth="1"/>
    <col min="5374" max="5374" width="12" customWidth="1"/>
    <col min="5598" max="5598" width="7.5546875" customWidth="1"/>
    <col min="5599" max="5600" width="9.5546875" customWidth="1"/>
    <col min="5601" max="5601" width="32.6640625" customWidth="1"/>
    <col min="5602" max="5605" width="13.6640625" customWidth="1"/>
    <col min="5606" max="5606" width="11.5546875" customWidth="1"/>
    <col min="5607" max="5607" width="11.109375" customWidth="1"/>
    <col min="5608" max="5608" width="12.44140625" customWidth="1"/>
    <col min="5609" max="5609" width="8.88671875" customWidth="1"/>
    <col min="5610" max="5610" width="13.33203125" customWidth="1"/>
    <col min="5611" max="5611" width="11.33203125" customWidth="1"/>
    <col min="5612" max="5612" width="10.6640625" customWidth="1"/>
    <col min="5613" max="5613" width="11.33203125" customWidth="1"/>
    <col min="5614" max="5614" width="8.6640625" customWidth="1"/>
    <col min="5615" max="5615" width="13.88671875" customWidth="1"/>
    <col min="5616" max="5616" width="10.88671875" customWidth="1"/>
    <col min="5617" max="5617" width="9.88671875" customWidth="1"/>
    <col min="5618" max="5629" width="10.44140625" customWidth="1"/>
    <col min="5630" max="5630" width="12" customWidth="1"/>
    <col min="5854" max="5854" width="7.5546875" customWidth="1"/>
    <col min="5855" max="5856" width="9.5546875" customWidth="1"/>
    <col min="5857" max="5857" width="32.6640625" customWidth="1"/>
    <col min="5858" max="5861" width="13.6640625" customWidth="1"/>
    <col min="5862" max="5862" width="11.5546875" customWidth="1"/>
    <col min="5863" max="5863" width="11.109375" customWidth="1"/>
    <col min="5864" max="5864" width="12.44140625" customWidth="1"/>
    <col min="5865" max="5865" width="8.88671875" customWidth="1"/>
    <col min="5866" max="5866" width="13.33203125" customWidth="1"/>
    <col min="5867" max="5867" width="11.33203125" customWidth="1"/>
    <col min="5868" max="5868" width="10.6640625" customWidth="1"/>
    <col min="5869" max="5869" width="11.33203125" customWidth="1"/>
    <col min="5870" max="5870" width="8.6640625" customWidth="1"/>
    <col min="5871" max="5871" width="13.88671875" customWidth="1"/>
    <col min="5872" max="5872" width="10.88671875" customWidth="1"/>
    <col min="5873" max="5873" width="9.88671875" customWidth="1"/>
    <col min="5874" max="5885" width="10.44140625" customWidth="1"/>
    <col min="5886" max="5886" width="12" customWidth="1"/>
    <col min="6110" max="6110" width="7.5546875" customWidth="1"/>
    <col min="6111" max="6112" width="9.5546875" customWidth="1"/>
    <col min="6113" max="6113" width="32.6640625" customWidth="1"/>
    <col min="6114" max="6117" width="13.6640625" customWidth="1"/>
    <col min="6118" max="6118" width="11.5546875" customWidth="1"/>
    <col min="6119" max="6119" width="11.109375" customWidth="1"/>
    <col min="6120" max="6120" width="12.44140625" customWidth="1"/>
    <col min="6121" max="6121" width="8.88671875" customWidth="1"/>
    <col min="6122" max="6122" width="13.33203125" customWidth="1"/>
    <col min="6123" max="6123" width="11.33203125" customWidth="1"/>
    <col min="6124" max="6124" width="10.6640625" customWidth="1"/>
    <col min="6125" max="6125" width="11.33203125" customWidth="1"/>
    <col min="6126" max="6126" width="8.6640625" customWidth="1"/>
    <col min="6127" max="6127" width="13.88671875" customWidth="1"/>
    <col min="6128" max="6128" width="10.88671875" customWidth="1"/>
    <col min="6129" max="6129" width="9.88671875" customWidth="1"/>
    <col min="6130" max="6141" width="10.44140625" customWidth="1"/>
    <col min="6142" max="6142" width="12" customWidth="1"/>
    <col min="6366" max="6366" width="7.5546875" customWidth="1"/>
    <col min="6367" max="6368" width="9.5546875" customWidth="1"/>
    <col min="6369" max="6369" width="32.6640625" customWidth="1"/>
    <col min="6370" max="6373" width="13.6640625" customWidth="1"/>
    <col min="6374" max="6374" width="11.5546875" customWidth="1"/>
    <col min="6375" max="6375" width="11.109375" customWidth="1"/>
    <col min="6376" max="6376" width="12.44140625" customWidth="1"/>
    <col min="6377" max="6377" width="8.88671875" customWidth="1"/>
    <col min="6378" max="6378" width="13.33203125" customWidth="1"/>
    <col min="6379" max="6379" width="11.33203125" customWidth="1"/>
    <col min="6380" max="6380" width="10.6640625" customWidth="1"/>
    <col min="6381" max="6381" width="11.33203125" customWidth="1"/>
    <col min="6382" max="6382" width="8.6640625" customWidth="1"/>
    <col min="6383" max="6383" width="13.88671875" customWidth="1"/>
    <col min="6384" max="6384" width="10.88671875" customWidth="1"/>
    <col min="6385" max="6385" width="9.88671875" customWidth="1"/>
    <col min="6386" max="6397" width="10.44140625" customWidth="1"/>
    <col min="6398" max="6398" width="12" customWidth="1"/>
    <col min="6622" max="6622" width="7.5546875" customWidth="1"/>
    <col min="6623" max="6624" width="9.5546875" customWidth="1"/>
    <col min="6625" max="6625" width="32.6640625" customWidth="1"/>
    <col min="6626" max="6629" width="13.6640625" customWidth="1"/>
    <col min="6630" max="6630" width="11.5546875" customWidth="1"/>
    <col min="6631" max="6631" width="11.109375" customWidth="1"/>
    <col min="6632" max="6632" width="12.44140625" customWidth="1"/>
    <col min="6633" max="6633" width="8.88671875" customWidth="1"/>
    <col min="6634" max="6634" width="13.33203125" customWidth="1"/>
    <col min="6635" max="6635" width="11.33203125" customWidth="1"/>
    <col min="6636" max="6636" width="10.6640625" customWidth="1"/>
    <col min="6637" max="6637" width="11.33203125" customWidth="1"/>
    <col min="6638" max="6638" width="8.6640625" customWidth="1"/>
    <col min="6639" max="6639" width="13.88671875" customWidth="1"/>
    <col min="6640" max="6640" width="10.88671875" customWidth="1"/>
    <col min="6641" max="6641" width="9.88671875" customWidth="1"/>
    <col min="6642" max="6653" width="10.44140625" customWidth="1"/>
    <col min="6654" max="6654" width="12" customWidth="1"/>
    <col min="6878" max="6878" width="7.5546875" customWidth="1"/>
    <col min="6879" max="6880" width="9.5546875" customWidth="1"/>
    <col min="6881" max="6881" width="32.6640625" customWidth="1"/>
    <col min="6882" max="6885" width="13.6640625" customWidth="1"/>
    <col min="6886" max="6886" width="11.5546875" customWidth="1"/>
    <col min="6887" max="6887" width="11.109375" customWidth="1"/>
    <col min="6888" max="6888" width="12.44140625" customWidth="1"/>
    <col min="6889" max="6889" width="8.88671875" customWidth="1"/>
    <col min="6890" max="6890" width="13.33203125" customWidth="1"/>
    <col min="6891" max="6891" width="11.33203125" customWidth="1"/>
    <col min="6892" max="6892" width="10.6640625" customWidth="1"/>
    <col min="6893" max="6893" width="11.33203125" customWidth="1"/>
    <col min="6894" max="6894" width="8.6640625" customWidth="1"/>
    <col min="6895" max="6895" width="13.88671875" customWidth="1"/>
    <col min="6896" max="6896" width="10.88671875" customWidth="1"/>
    <col min="6897" max="6897" width="9.88671875" customWidth="1"/>
    <col min="6898" max="6909" width="10.44140625" customWidth="1"/>
    <col min="6910" max="6910" width="12" customWidth="1"/>
    <col min="7134" max="7134" width="7.5546875" customWidth="1"/>
    <col min="7135" max="7136" width="9.5546875" customWidth="1"/>
    <col min="7137" max="7137" width="32.6640625" customWidth="1"/>
    <col min="7138" max="7141" width="13.6640625" customWidth="1"/>
    <col min="7142" max="7142" width="11.5546875" customWidth="1"/>
    <col min="7143" max="7143" width="11.109375" customWidth="1"/>
    <col min="7144" max="7144" width="12.44140625" customWidth="1"/>
    <col min="7145" max="7145" width="8.88671875" customWidth="1"/>
    <col min="7146" max="7146" width="13.33203125" customWidth="1"/>
    <col min="7147" max="7147" width="11.33203125" customWidth="1"/>
    <col min="7148" max="7148" width="10.6640625" customWidth="1"/>
    <col min="7149" max="7149" width="11.33203125" customWidth="1"/>
    <col min="7150" max="7150" width="8.6640625" customWidth="1"/>
    <col min="7151" max="7151" width="13.88671875" customWidth="1"/>
    <col min="7152" max="7152" width="10.88671875" customWidth="1"/>
    <col min="7153" max="7153" width="9.88671875" customWidth="1"/>
    <col min="7154" max="7165" width="10.44140625" customWidth="1"/>
    <col min="7166" max="7166" width="12" customWidth="1"/>
    <col min="7390" max="7390" width="7.5546875" customWidth="1"/>
    <col min="7391" max="7392" width="9.5546875" customWidth="1"/>
    <col min="7393" max="7393" width="32.6640625" customWidth="1"/>
    <col min="7394" max="7397" width="13.6640625" customWidth="1"/>
    <col min="7398" max="7398" width="11.5546875" customWidth="1"/>
    <col min="7399" max="7399" width="11.109375" customWidth="1"/>
    <col min="7400" max="7400" width="12.44140625" customWidth="1"/>
    <col min="7401" max="7401" width="8.88671875" customWidth="1"/>
    <col min="7402" max="7402" width="13.33203125" customWidth="1"/>
    <col min="7403" max="7403" width="11.33203125" customWidth="1"/>
    <col min="7404" max="7404" width="10.6640625" customWidth="1"/>
    <col min="7405" max="7405" width="11.33203125" customWidth="1"/>
    <col min="7406" max="7406" width="8.6640625" customWidth="1"/>
    <col min="7407" max="7407" width="13.88671875" customWidth="1"/>
    <col min="7408" max="7408" width="10.88671875" customWidth="1"/>
    <col min="7409" max="7409" width="9.88671875" customWidth="1"/>
    <col min="7410" max="7421" width="10.44140625" customWidth="1"/>
    <col min="7422" max="7422" width="12" customWidth="1"/>
    <col min="7646" max="7646" width="7.5546875" customWidth="1"/>
    <col min="7647" max="7648" width="9.5546875" customWidth="1"/>
    <col min="7649" max="7649" width="32.6640625" customWidth="1"/>
    <col min="7650" max="7653" width="13.6640625" customWidth="1"/>
    <col min="7654" max="7654" width="11.5546875" customWidth="1"/>
    <col min="7655" max="7655" width="11.109375" customWidth="1"/>
    <col min="7656" max="7656" width="12.44140625" customWidth="1"/>
    <col min="7657" max="7657" width="8.88671875" customWidth="1"/>
    <col min="7658" max="7658" width="13.33203125" customWidth="1"/>
    <col min="7659" max="7659" width="11.33203125" customWidth="1"/>
    <col min="7660" max="7660" width="10.6640625" customWidth="1"/>
    <col min="7661" max="7661" width="11.33203125" customWidth="1"/>
    <col min="7662" max="7662" width="8.6640625" customWidth="1"/>
    <col min="7663" max="7663" width="13.88671875" customWidth="1"/>
    <col min="7664" max="7664" width="10.88671875" customWidth="1"/>
    <col min="7665" max="7665" width="9.88671875" customWidth="1"/>
    <col min="7666" max="7677" width="10.44140625" customWidth="1"/>
    <col min="7678" max="7678" width="12" customWidth="1"/>
    <col min="7902" max="7902" width="7.5546875" customWidth="1"/>
    <col min="7903" max="7904" width="9.5546875" customWidth="1"/>
    <col min="7905" max="7905" width="32.6640625" customWidth="1"/>
    <col min="7906" max="7909" width="13.6640625" customWidth="1"/>
    <col min="7910" max="7910" width="11.5546875" customWidth="1"/>
    <col min="7911" max="7911" width="11.109375" customWidth="1"/>
    <col min="7912" max="7912" width="12.44140625" customWidth="1"/>
    <col min="7913" max="7913" width="8.88671875" customWidth="1"/>
    <col min="7914" max="7914" width="13.33203125" customWidth="1"/>
    <col min="7915" max="7915" width="11.33203125" customWidth="1"/>
    <col min="7916" max="7916" width="10.6640625" customWidth="1"/>
    <col min="7917" max="7917" width="11.33203125" customWidth="1"/>
    <col min="7918" max="7918" width="8.6640625" customWidth="1"/>
    <col min="7919" max="7919" width="13.88671875" customWidth="1"/>
    <col min="7920" max="7920" width="10.88671875" customWidth="1"/>
    <col min="7921" max="7921" width="9.88671875" customWidth="1"/>
    <col min="7922" max="7933" width="10.44140625" customWidth="1"/>
    <col min="7934" max="7934" width="12" customWidth="1"/>
    <col min="8158" max="8158" width="7.5546875" customWidth="1"/>
    <col min="8159" max="8160" width="9.5546875" customWidth="1"/>
    <col min="8161" max="8161" width="32.6640625" customWidth="1"/>
    <col min="8162" max="8165" width="13.6640625" customWidth="1"/>
    <col min="8166" max="8166" width="11.5546875" customWidth="1"/>
    <col min="8167" max="8167" width="11.109375" customWidth="1"/>
    <col min="8168" max="8168" width="12.44140625" customWidth="1"/>
    <col min="8169" max="8169" width="8.88671875" customWidth="1"/>
    <col min="8170" max="8170" width="13.33203125" customWidth="1"/>
    <col min="8171" max="8171" width="11.33203125" customWidth="1"/>
    <col min="8172" max="8172" width="10.6640625" customWidth="1"/>
    <col min="8173" max="8173" width="11.33203125" customWidth="1"/>
    <col min="8174" max="8174" width="8.6640625" customWidth="1"/>
    <col min="8175" max="8175" width="13.88671875" customWidth="1"/>
    <col min="8176" max="8176" width="10.88671875" customWidth="1"/>
    <col min="8177" max="8177" width="9.88671875" customWidth="1"/>
    <col min="8178" max="8189" width="10.44140625" customWidth="1"/>
    <col min="8190" max="8190" width="12" customWidth="1"/>
    <col min="8414" max="8414" width="7.5546875" customWidth="1"/>
    <col min="8415" max="8416" width="9.5546875" customWidth="1"/>
    <col min="8417" max="8417" width="32.6640625" customWidth="1"/>
    <col min="8418" max="8421" width="13.6640625" customWidth="1"/>
    <col min="8422" max="8422" width="11.5546875" customWidth="1"/>
    <col min="8423" max="8423" width="11.109375" customWidth="1"/>
    <col min="8424" max="8424" width="12.44140625" customWidth="1"/>
    <col min="8425" max="8425" width="8.88671875" customWidth="1"/>
    <col min="8426" max="8426" width="13.33203125" customWidth="1"/>
    <col min="8427" max="8427" width="11.33203125" customWidth="1"/>
    <col min="8428" max="8428" width="10.6640625" customWidth="1"/>
    <col min="8429" max="8429" width="11.33203125" customWidth="1"/>
    <col min="8430" max="8430" width="8.6640625" customWidth="1"/>
    <col min="8431" max="8431" width="13.88671875" customWidth="1"/>
    <col min="8432" max="8432" width="10.88671875" customWidth="1"/>
    <col min="8433" max="8433" width="9.88671875" customWidth="1"/>
    <col min="8434" max="8445" width="10.44140625" customWidth="1"/>
    <col min="8446" max="8446" width="12" customWidth="1"/>
    <col min="8670" max="8670" width="7.5546875" customWidth="1"/>
    <col min="8671" max="8672" width="9.5546875" customWidth="1"/>
    <col min="8673" max="8673" width="32.6640625" customWidth="1"/>
    <col min="8674" max="8677" width="13.6640625" customWidth="1"/>
    <col min="8678" max="8678" width="11.5546875" customWidth="1"/>
    <col min="8679" max="8679" width="11.109375" customWidth="1"/>
    <col min="8680" max="8680" width="12.44140625" customWidth="1"/>
    <col min="8681" max="8681" width="8.88671875" customWidth="1"/>
    <col min="8682" max="8682" width="13.33203125" customWidth="1"/>
    <col min="8683" max="8683" width="11.33203125" customWidth="1"/>
    <col min="8684" max="8684" width="10.6640625" customWidth="1"/>
    <col min="8685" max="8685" width="11.33203125" customWidth="1"/>
    <col min="8686" max="8686" width="8.6640625" customWidth="1"/>
    <col min="8687" max="8687" width="13.88671875" customWidth="1"/>
    <col min="8688" max="8688" width="10.88671875" customWidth="1"/>
    <col min="8689" max="8689" width="9.88671875" customWidth="1"/>
    <col min="8690" max="8701" width="10.44140625" customWidth="1"/>
    <col min="8702" max="8702" width="12" customWidth="1"/>
    <col min="8926" max="8926" width="7.5546875" customWidth="1"/>
    <col min="8927" max="8928" width="9.5546875" customWidth="1"/>
    <col min="8929" max="8929" width="32.6640625" customWidth="1"/>
    <col min="8930" max="8933" width="13.6640625" customWidth="1"/>
    <col min="8934" max="8934" width="11.5546875" customWidth="1"/>
    <col min="8935" max="8935" width="11.109375" customWidth="1"/>
    <col min="8936" max="8936" width="12.44140625" customWidth="1"/>
    <col min="8937" max="8937" width="8.88671875" customWidth="1"/>
    <col min="8938" max="8938" width="13.33203125" customWidth="1"/>
    <col min="8939" max="8939" width="11.33203125" customWidth="1"/>
    <col min="8940" max="8940" width="10.6640625" customWidth="1"/>
    <col min="8941" max="8941" width="11.33203125" customWidth="1"/>
    <col min="8942" max="8942" width="8.6640625" customWidth="1"/>
    <col min="8943" max="8943" width="13.88671875" customWidth="1"/>
    <col min="8944" max="8944" width="10.88671875" customWidth="1"/>
    <col min="8945" max="8945" width="9.88671875" customWidth="1"/>
    <col min="8946" max="8957" width="10.44140625" customWidth="1"/>
    <col min="8958" max="8958" width="12" customWidth="1"/>
    <col min="9182" max="9182" width="7.5546875" customWidth="1"/>
    <col min="9183" max="9184" width="9.5546875" customWidth="1"/>
    <col min="9185" max="9185" width="32.6640625" customWidth="1"/>
    <col min="9186" max="9189" width="13.6640625" customWidth="1"/>
    <col min="9190" max="9190" width="11.5546875" customWidth="1"/>
    <col min="9191" max="9191" width="11.109375" customWidth="1"/>
    <col min="9192" max="9192" width="12.44140625" customWidth="1"/>
    <col min="9193" max="9193" width="8.88671875" customWidth="1"/>
    <col min="9194" max="9194" width="13.33203125" customWidth="1"/>
    <col min="9195" max="9195" width="11.33203125" customWidth="1"/>
    <col min="9196" max="9196" width="10.6640625" customWidth="1"/>
    <col min="9197" max="9197" width="11.33203125" customWidth="1"/>
    <col min="9198" max="9198" width="8.6640625" customWidth="1"/>
    <col min="9199" max="9199" width="13.88671875" customWidth="1"/>
    <col min="9200" max="9200" width="10.88671875" customWidth="1"/>
    <col min="9201" max="9201" width="9.88671875" customWidth="1"/>
    <col min="9202" max="9213" width="10.44140625" customWidth="1"/>
    <col min="9214" max="9214" width="12" customWidth="1"/>
    <col min="9438" max="9438" width="7.5546875" customWidth="1"/>
    <col min="9439" max="9440" width="9.5546875" customWidth="1"/>
    <col min="9441" max="9441" width="32.6640625" customWidth="1"/>
    <col min="9442" max="9445" width="13.6640625" customWidth="1"/>
    <col min="9446" max="9446" width="11.5546875" customWidth="1"/>
    <col min="9447" max="9447" width="11.109375" customWidth="1"/>
    <col min="9448" max="9448" width="12.44140625" customWidth="1"/>
    <col min="9449" max="9449" width="8.88671875" customWidth="1"/>
    <col min="9450" max="9450" width="13.33203125" customWidth="1"/>
    <col min="9451" max="9451" width="11.33203125" customWidth="1"/>
    <col min="9452" max="9452" width="10.6640625" customWidth="1"/>
    <col min="9453" max="9453" width="11.33203125" customWidth="1"/>
    <col min="9454" max="9454" width="8.6640625" customWidth="1"/>
    <col min="9455" max="9455" width="13.88671875" customWidth="1"/>
    <col min="9456" max="9456" width="10.88671875" customWidth="1"/>
    <col min="9457" max="9457" width="9.88671875" customWidth="1"/>
    <col min="9458" max="9469" width="10.44140625" customWidth="1"/>
    <col min="9470" max="9470" width="12" customWidth="1"/>
    <col min="9694" max="9694" width="7.5546875" customWidth="1"/>
    <col min="9695" max="9696" width="9.5546875" customWidth="1"/>
    <col min="9697" max="9697" width="32.6640625" customWidth="1"/>
    <col min="9698" max="9701" width="13.6640625" customWidth="1"/>
    <col min="9702" max="9702" width="11.5546875" customWidth="1"/>
    <col min="9703" max="9703" width="11.109375" customWidth="1"/>
    <col min="9704" max="9704" width="12.44140625" customWidth="1"/>
    <col min="9705" max="9705" width="8.88671875" customWidth="1"/>
    <col min="9706" max="9706" width="13.33203125" customWidth="1"/>
    <col min="9707" max="9707" width="11.33203125" customWidth="1"/>
    <col min="9708" max="9708" width="10.6640625" customWidth="1"/>
    <col min="9709" max="9709" width="11.33203125" customWidth="1"/>
    <col min="9710" max="9710" width="8.6640625" customWidth="1"/>
    <col min="9711" max="9711" width="13.88671875" customWidth="1"/>
    <col min="9712" max="9712" width="10.88671875" customWidth="1"/>
    <col min="9713" max="9713" width="9.88671875" customWidth="1"/>
    <col min="9714" max="9725" width="10.44140625" customWidth="1"/>
    <col min="9726" max="9726" width="12" customWidth="1"/>
    <col min="9950" max="9950" width="7.5546875" customWidth="1"/>
    <col min="9951" max="9952" width="9.5546875" customWidth="1"/>
    <col min="9953" max="9953" width="32.6640625" customWidth="1"/>
    <col min="9954" max="9957" width="13.6640625" customWidth="1"/>
    <col min="9958" max="9958" width="11.5546875" customWidth="1"/>
    <col min="9959" max="9959" width="11.109375" customWidth="1"/>
    <col min="9960" max="9960" width="12.44140625" customWidth="1"/>
    <col min="9961" max="9961" width="8.88671875" customWidth="1"/>
    <col min="9962" max="9962" width="13.33203125" customWidth="1"/>
    <col min="9963" max="9963" width="11.33203125" customWidth="1"/>
    <col min="9964" max="9964" width="10.6640625" customWidth="1"/>
    <col min="9965" max="9965" width="11.33203125" customWidth="1"/>
    <col min="9966" max="9966" width="8.6640625" customWidth="1"/>
    <col min="9967" max="9967" width="13.88671875" customWidth="1"/>
    <col min="9968" max="9968" width="10.88671875" customWidth="1"/>
    <col min="9969" max="9969" width="9.88671875" customWidth="1"/>
    <col min="9970" max="9981" width="10.44140625" customWidth="1"/>
    <col min="9982" max="9982" width="12" customWidth="1"/>
    <col min="10206" max="10206" width="7.5546875" customWidth="1"/>
    <col min="10207" max="10208" width="9.5546875" customWidth="1"/>
    <col min="10209" max="10209" width="32.6640625" customWidth="1"/>
    <col min="10210" max="10213" width="13.6640625" customWidth="1"/>
    <col min="10214" max="10214" width="11.5546875" customWidth="1"/>
    <col min="10215" max="10215" width="11.109375" customWidth="1"/>
    <col min="10216" max="10216" width="12.44140625" customWidth="1"/>
    <col min="10217" max="10217" width="8.88671875" customWidth="1"/>
    <col min="10218" max="10218" width="13.33203125" customWidth="1"/>
    <col min="10219" max="10219" width="11.33203125" customWidth="1"/>
    <col min="10220" max="10220" width="10.6640625" customWidth="1"/>
    <col min="10221" max="10221" width="11.33203125" customWidth="1"/>
    <col min="10222" max="10222" width="8.6640625" customWidth="1"/>
    <col min="10223" max="10223" width="13.88671875" customWidth="1"/>
    <col min="10224" max="10224" width="10.88671875" customWidth="1"/>
    <col min="10225" max="10225" width="9.88671875" customWidth="1"/>
    <col min="10226" max="10237" width="10.44140625" customWidth="1"/>
    <col min="10238" max="10238" width="12" customWidth="1"/>
    <col min="10462" max="10462" width="7.5546875" customWidth="1"/>
    <col min="10463" max="10464" width="9.5546875" customWidth="1"/>
    <col min="10465" max="10465" width="32.6640625" customWidth="1"/>
    <col min="10466" max="10469" width="13.6640625" customWidth="1"/>
    <col min="10470" max="10470" width="11.5546875" customWidth="1"/>
    <col min="10471" max="10471" width="11.109375" customWidth="1"/>
    <col min="10472" max="10472" width="12.44140625" customWidth="1"/>
    <col min="10473" max="10473" width="8.88671875" customWidth="1"/>
    <col min="10474" max="10474" width="13.33203125" customWidth="1"/>
    <col min="10475" max="10475" width="11.33203125" customWidth="1"/>
    <col min="10476" max="10476" width="10.6640625" customWidth="1"/>
    <col min="10477" max="10477" width="11.33203125" customWidth="1"/>
    <col min="10478" max="10478" width="8.6640625" customWidth="1"/>
    <col min="10479" max="10479" width="13.88671875" customWidth="1"/>
    <col min="10480" max="10480" width="10.88671875" customWidth="1"/>
    <col min="10481" max="10481" width="9.88671875" customWidth="1"/>
    <col min="10482" max="10493" width="10.44140625" customWidth="1"/>
    <col min="10494" max="10494" width="12" customWidth="1"/>
    <col min="10718" max="10718" width="7.5546875" customWidth="1"/>
    <col min="10719" max="10720" width="9.5546875" customWidth="1"/>
    <col min="10721" max="10721" width="32.6640625" customWidth="1"/>
    <col min="10722" max="10725" width="13.6640625" customWidth="1"/>
    <col min="10726" max="10726" width="11.5546875" customWidth="1"/>
    <col min="10727" max="10727" width="11.109375" customWidth="1"/>
    <col min="10728" max="10728" width="12.44140625" customWidth="1"/>
    <col min="10729" max="10729" width="8.88671875" customWidth="1"/>
    <col min="10730" max="10730" width="13.33203125" customWidth="1"/>
    <col min="10731" max="10731" width="11.33203125" customWidth="1"/>
    <col min="10732" max="10732" width="10.6640625" customWidth="1"/>
    <col min="10733" max="10733" width="11.33203125" customWidth="1"/>
    <col min="10734" max="10734" width="8.6640625" customWidth="1"/>
    <col min="10735" max="10735" width="13.88671875" customWidth="1"/>
    <col min="10736" max="10736" width="10.88671875" customWidth="1"/>
    <col min="10737" max="10737" width="9.88671875" customWidth="1"/>
    <col min="10738" max="10749" width="10.44140625" customWidth="1"/>
    <col min="10750" max="10750" width="12" customWidth="1"/>
    <col min="10974" max="10974" width="7.5546875" customWidth="1"/>
    <col min="10975" max="10976" width="9.5546875" customWidth="1"/>
    <col min="10977" max="10977" width="32.6640625" customWidth="1"/>
    <col min="10978" max="10981" width="13.6640625" customWidth="1"/>
    <col min="10982" max="10982" width="11.5546875" customWidth="1"/>
    <col min="10983" max="10983" width="11.109375" customWidth="1"/>
    <col min="10984" max="10984" width="12.44140625" customWidth="1"/>
    <col min="10985" max="10985" width="8.88671875" customWidth="1"/>
    <col min="10986" max="10986" width="13.33203125" customWidth="1"/>
    <col min="10987" max="10987" width="11.33203125" customWidth="1"/>
    <col min="10988" max="10988" width="10.6640625" customWidth="1"/>
    <col min="10989" max="10989" width="11.33203125" customWidth="1"/>
    <col min="10990" max="10990" width="8.6640625" customWidth="1"/>
    <col min="10991" max="10991" width="13.88671875" customWidth="1"/>
    <col min="10992" max="10992" width="10.88671875" customWidth="1"/>
    <col min="10993" max="10993" width="9.88671875" customWidth="1"/>
    <col min="10994" max="11005" width="10.44140625" customWidth="1"/>
    <col min="11006" max="11006" width="12" customWidth="1"/>
    <col min="11230" max="11230" width="7.5546875" customWidth="1"/>
    <col min="11231" max="11232" width="9.5546875" customWidth="1"/>
    <col min="11233" max="11233" width="32.6640625" customWidth="1"/>
    <col min="11234" max="11237" width="13.6640625" customWidth="1"/>
    <col min="11238" max="11238" width="11.5546875" customWidth="1"/>
    <col min="11239" max="11239" width="11.109375" customWidth="1"/>
    <col min="11240" max="11240" width="12.44140625" customWidth="1"/>
    <col min="11241" max="11241" width="8.88671875" customWidth="1"/>
    <col min="11242" max="11242" width="13.33203125" customWidth="1"/>
    <col min="11243" max="11243" width="11.33203125" customWidth="1"/>
    <col min="11244" max="11244" width="10.6640625" customWidth="1"/>
    <col min="11245" max="11245" width="11.33203125" customWidth="1"/>
    <col min="11246" max="11246" width="8.6640625" customWidth="1"/>
    <col min="11247" max="11247" width="13.88671875" customWidth="1"/>
    <col min="11248" max="11248" width="10.88671875" customWidth="1"/>
    <col min="11249" max="11249" width="9.88671875" customWidth="1"/>
    <col min="11250" max="11261" width="10.44140625" customWidth="1"/>
    <col min="11262" max="11262" width="12" customWidth="1"/>
    <col min="11486" max="11486" width="7.5546875" customWidth="1"/>
    <col min="11487" max="11488" width="9.5546875" customWidth="1"/>
    <col min="11489" max="11489" width="32.6640625" customWidth="1"/>
    <col min="11490" max="11493" width="13.6640625" customWidth="1"/>
    <col min="11494" max="11494" width="11.5546875" customWidth="1"/>
    <col min="11495" max="11495" width="11.109375" customWidth="1"/>
    <col min="11496" max="11496" width="12.44140625" customWidth="1"/>
    <col min="11497" max="11497" width="8.88671875" customWidth="1"/>
    <col min="11498" max="11498" width="13.33203125" customWidth="1"/>
    <col min="11499" max="11499" width="11.33203125" customWidth="1"/>
    <col min="11500" max="11500" width="10.6640625" customWidth="1"/>
    <col min="11501" max="11501" width="11.33203125" customWidth="1"/>
    <col min="11502" max="11502" width="8.6640625" customWidth="1"/>
    <col min="11503" max="11503" width="13.88671875" customWidth="1"/>
    <col min="11504" max="11504" width="10.88671875" customWidth="1"/>
    <col min="11505" max="11505" width="9.88671875" customWidth="1"/>
    <col min="11506" max="11517" width="10.44140625" customWidth="1"/>
    <col min="11518" max="11518" width="12" customWidth="1"/>
    <col min="11742" max="11742" width="7.5546875" customWidth="1"/>
    <col min="11743" max="11744" width="9.5546875" customWidth="1"/>
    <col min="11745" max="11745" width="32.6640625" customWidth="1"/>
    <col min="11746" max="11749" width="13.6640625" customWidth="1"/>
    <col min="11750" max="11750" width="11.5546875" customWidth="1"/>
    <col min="11751" max="11751" width="11.109375" customWidth="1"/>
    <col min="11752" max="11752" width="12.44140625" customWidth="1"/>
    <col min="11753" max="11753" width="8.88671875" customWidth="1"/>
    <col min="11754" max="11754" width="13.33203125" customWidth="1"/>
    <col min="11755" max="11755" width="11.33203125" customWidth="1"/>
    <col min="11756" max="11756" width="10.6640625" customWidth="1"/>
    <col min="11757" max="11757" width="11.33203125" customWidth="1"/>
    <col min="11758" max="11758" width="8.6640625" customWidth="1"/>
    <col min="11759" max="11759" width="13.88671875" customWidth="1"/>
    <col min="11760" max="11760" width="10.88671875" customWidth="1"/>
    <col min="11761" max="11761" width="9.88671875" customWidth="1"/>
    <col min="11762" max="11773" width="10.44140625" customWidth="1"/>
    <col min="11774" max="11774" width="12" customWidth="1"/>
    <col min="11998" max="11998" width="7.5546875" customWidth="1"/>
    <col min="11999" max="12000" width="9.5546875" customWidth="1"/>
    <col min="12001" max="12001" width="32.6640625" customWidth="1"/>
    <col min="12002" max="12005" width="13.6640625" customWidth="1"/>
    <col min="12006" max="12006" width="11.5546875" customWidth="1"/>
    <col min="12007" max="12007" width="11.109375" customWidth="1"/>
    <col min="12008" max="12008" width="12.44140625" customWidth="1"/>
    <col min="12009" max="12009" width="8.88671875" customWidth="1"/>
    <col min="12010" max="12010" width="13.33203125" customWidth="1"/>
    <col min="12011" max="12011" width="11.33203125" customWidth="1"/>
    <col min="12012" max="12012" width="10.6640625" customWidth="1"/>
    <col min="12013" max="12013" width="11.33203125" customWidth="1"/>
    <col min="12014" max="12014" width="8.6640625" customWidth="1"/>
    <col min="12015" max="12015" width="13.88671875" customWidth="1"/>
    <col min="12016" max="12016" width="10.88671875" customWidth="1"/>
    <col min="12017" max="12017" width="9.88671875" customWidth="1"/>
    <col min="12018" max="12029" width="10.44140625" customWidth="1"/>
    <col min="12030" max="12030" width="12" customWidth="1"/>
    <col min="12254" max="12254" width="7.5546875" customWidth="1"/>
    <col min="12255" max="12256" width="9.5546875" customWidth="1"/>
    <col min="12257" max="12257" width="32.6640625" customWidth="1"/>
    <col min="12258" max="12261" width="13.6640625" customWidth="1"/>
    <col min="12262" max="12262" width="11.5546875" customWidth="1"/>
    <col min="12263" max="12263" width="11.109375" customWidth="1"/>
    <col min="12264" max="12264" width="12.44140625" customWidth="1"/>
    <col min="12265" max="12265" width="8.88671875" customWidth="1"/>
    <col min="12266" max="12266" width="13.33203125" customWidth="1"/>
    <col min="12267" max="12267" width="11.33203125" customWidth="1"/>
    <col min="12268" max="12268" width="10.6640625" customWidth="1"/>
    <col min="12269" max="12269" width="11.33203125" customWidth="1"/>
    <col min="12270" max="12270" width="8.6640625" customWidth="1"/>
    <col min="12271" max="12271" width="13.88671875" customWidth="1"/>
    <col min="12272" max="12272" width="10.88671875" customWidth="1"/>
    <col min="12273" max="12273" width="9.88671875" customWidth="1"/>
    <col min="12274" max="12285" width="10.44140625" customWidth="1"/>
    <col min="12286" max="12286" width="12" customWidth="1"/>
    <col min="12510" max="12510" width="7.5546875" customWidth="1"/>
    <col min="12511" max="12512" width="9.5546875" customWidth="1"/>
    <col min="12513" max="12513" width="32.6640625" customWidth="1"/>
    <col min="12514" max="12517" width="13.6640625" customWidth="1"/>
    <col min="12518" max="12518" width="11.5546875" customWidth="1"/>
    <col min="12519" max="12519" width="11.109375" customWidth="1"/>
    <col min="12520" max="12520" width="12.44140625" customWidth="1"/>
    <col min="12521" max="12521" width="8.88671875" customWidth="1"/>
    <col min="12522" max="12522" width="13.33203125" customWidth="1"/>
    <col min="12523" max="12523" width="11.33203125" customWidth="1"/>
    <col min="12524" max="12524" width="10.6640625" customWidth="1"/>
    <col min="12525" max="12525" width="11.33203125" customWidth="1"/>
    <col min="12526" max="12526" width="8.6640625" customWidth="1"/>
    <col min="12527" max="12527" width="13.88671875" customWidth="1"/>
    <col min="12528" max="12528" width="10.88671875" customWidth="1"/>
    <col min="12529" max="12529" width="9.88671875" customWidth="1"/>
    <col min="12530" max="12541" width="10.44140625" customWidth="1"/>
    <col min="12542" max="12542" width="12" customWidth="1"/>
    <col min="12766" max="12766" width="7.5546875" customWidth="1"/>
    <col min="12767" max="12768" width="9.5546875" customWidth="1"/>
    <col min="12769" max="12769" width="32.6640625" customWidth="1"/>
    <col min="12770" max="12773" width="13.6640625" customWidth="1"/>
    <col min="12774" max="12774" width="11.5546875" customWidth="1"/>
    <col min="12775" max="12775" width="11.109375" customWidth="1"/>
    <col min="12776" max="12776" width="12.44140625" customWidth="1"/>
    <col min="12777" max="12777" width="8.88671875" customWidth="1"/>
    <col min="12778" max="12778" width="13.33203125" customWidth="1"/>
    <col min="12779" max="12779" width="11.33203125" customWidth="1"/>
    <col min="12780" max="12780" width="10.6640625" customWidth="1"/>
    <col min="12781" max="12781" width="11.33203125" customWidth="1"/>
    <col min="12782" max="12782" width="8.6640625" customWidth="1"/>
    <col min="12783" max="12783" width="13.88671875" customWidth="1"/>
    <col min="12784" max="12784" width="10.88671875" customWidth="1"/>
    <col min="12785" max="12785" width="9.88671875" customWidth="1"/>
    <col min="12786" max="12797" width="10.44140625" customWidth="1"/>
    <col min="12798" max="12798" width="12" customWidth="1"/>
    <col min="13022" max="13022" width="7.5546875" customWidth="1"/>
    <col min="13023" max="13024" width="9.5546875" customWidth="1"/>
    <col min="13025" max="13025" width="32.6640625" customWidth="1"/>
    <col min="13026" max="13029" width="13.6640625" customWidth="1"/>
    <col min="13030" max="13030" width="11.5546875" customWidth="1"/>
    <col min="13031" max="13031" width="11.109375" customWidth="1"/>
    <col min="13032" max="13032" width="12.44140625" customWidth="1"/>
    <col min="13033" max="13033" width="8.88671875" customWidth="1"/>
    <col min="13034" max="13034" width="13.33203125" customWidth="1"/>
    <col min="13035" max="13035" width="11.33203125" customWidth="1"/>
    <col min="13036" max="13036" width="10.6640625" customWidth="1"/>
    <col min="13037" max="13037" width="11.33203125" customWidth="1"/>
    <col min="13038" max="13038" width="8.6640625" customWidth="1"/>
    <col min="13039" max="13039" width="13.88671875" customWidth="1"/>
    <col min="13040" max="13040" width="10.88671875" customWidth="1"/>
    <col min="13041" max="13041" width="9.88671875" customWidth="1"/>
    <col min="13042" max="13053" width="10.44140625" customWidth="1"/>
    <col min="13054" max="13054" width="12" customWidth="1"/>
    <col min="13278" max="13278" width="7.5546875" customWidth="1"/>
    <col min="13279" max="13280" width="9.5546875" customWidth="1"/>
    <col min="13281" max="13281" width="32.6640625" customWidth="1"/>
    <col min="13282" max="13285" width="13.6640625" customWidth="1"/>
    <col min="13286" max="13286" width="11.5546875" customWidth="1"/>
    <col min="13287" max="13287" width="11.109375" customWidth="1"/>
    <col min="13288" max="13288" width="12.44140625" customWidth="1"/>
    <col min="13289" max="13289" width="8.88671875" customWidth="1"/>
    <col min="13290" max="13290" width="13.33203125" customWidth="1"/>
    <col min="13291" max="13291" width="11.33203125" customWidth="1"/>
    <col min="13292" max="13292" width="10.6640625" customWidth="1"/>
    <col min="13293" max="13293" width="11.33203125" customWidth="1"/>
    <col min="13294" max="13294" width="8.6640625" customWidth="1"/>
    <col min="13295" max="13295" width="13.88671875" customWidth="1"/>
    <col min="13296" max="13296" width="10.88671875" customWidth="1"/>
    <col min="13297" max="13297" width="9.88671875" customWidth="1"/>
    <col min="13298" max="13309" width="10.44140625" customWidth="1"/>
    <col min="13310" max="13310" width="12" customWidth="1"/>
    <col min="13534" max="13534" width="7.5546875" customWidth="1"/>
    <col min="13535" max="13536" width="9.5546875" customWidth="1"/>
    <col min="13537" max="13537" width="32.6640625" customWidth="1"/>
    <col min="13538" max="13541" width="13.6640625" customWidth="1"/>
    <col min="13542" max="13542" width="11.5546875" customWidth="1"/>
    <col min="13543" max="13543" width="11.109375" customWidth="1"/>
    <col min="13544" max="13544" width="12.44140625" customWidth="1"/>
    <col min="13545" max="13545" width="8.88671875" customWidth="1"/>
    <col min="13546" max="13546" width="13.33203125" customWidth="1"/>
    <col min="13547" max="13547" width="11.33203125" customWidth="1"/>
    <col min="13548" max="13548" width="10.6640625" customWidth="1"/>
    <col min="13549" max="13549" width="11.33203125" customWidth="1"/>
    <col min="13550" max="13550" width="8.6640625" customWidth="1"/>
    <col min="13551" max="13551" width="13.88671875" customWidth="1"/>
    <col min="13552" max="13552" width="10.88671875" customWidth="1"/>
    <col min="13553" max="13553" width="9.88671875" customWidth="1"/>
    <col min="13554" max="13565" width="10.44140625" customWidth="1"/>
    <col min="13566" max="13566" width="12" customWidth="1"/>
    <col min="13790" max="13790" width="7.5546875" customWidth="1"/>
    <col min="13791" max="13792" width="9.5546875" customWidth="1"/>
    <col min="13793" max="13793" width="32.6640625" customWidth="1"/>
    <col min="13794" max="13797" width="13.6640625" customWidth="1"/>
    <col min="13798" max="13798" width="11.5546875" customWidth="1"/>
    <col min="13799" max="13799" width="11.109375" customWidth="1"/>
    <col min="13800" max="13800" width="12.44140625" customWidth="1"/>
    <col min="13801" max="13801" width="8.88671875" customWidth="1"/>
    <col min="13802" max="13802" width="13.33203125" customWidth="1"/>
    <col min="13803" max="13803" width="11.33203125" customWidth="1"/>
    <col min="13804" max="13804" width="10.6640625" customWidth="1"/>
    <col min="13805" max="13805" width="11.33203125" customWidth="1"/>
    <col min="13806" max="13806" width="8.6640625" customWidth="1"/>
    <col min="13807" max="13807" width="13.88671875" customWidth="1"/>
    <col min="13808" max="13808" width="10.88671875" customWidth="1"/>
    <col min="13809" max="13809" width="9.88671875" customWidth="1"/>
    <col min="13810" max="13821" width="10.44140625" customWidth="1"/>
    <col min="13822" max="13822" width="12" customWidth="1"/>
    <col min="14046" max="14046" width="7.5546875" customWidth="1"/>
    <col min="14047" max="14048" width="9.5546875" customWidth="1"/>
    <col min="14049" max="14049" width="32.6640625" customWidth="1"/>
    <col min="14050" max="14053" width="13.6640625" customWidth="1"/>
    <col min="14054" max="14054" width="11.5546875" customWidth="1"/>
    <col min="14055" max="14055" width="11.109375" customWidth="1"/>
    <col min="14056" max="14056" width="12.44140625" customWidth="1"/>
    <col min="14057" max="14057" width="8.88671875" customWidth="1"/>
    <col min="14058" max="14058" width="13.33203125" customWidth="1"/>
    <col min="14059" max="14059" width="11.33203125" customWidth="1"/>
    <col min="14060" max="14060" width="10.6640625" customWidth="1"/>
    <col min="14061" max="14061" width="11.33203125" customWidth="1"/>
    <col min="14062" max="14062" width="8.6640625" customWidth="1"/>
    <col min="14063" max="14063" width="13.88671875" customWidth="1"/>
    <col min="14064" max="14064" width="10.88671875" customWidth="1"/>
    <col min="14065" max="14065" width="9.88671875" customWidth="1"/>
    <col min="14066" max="14077" width="10.44140625" customWidth="1"/>
    <col min="14078" max="14078" width="12" customWidth="1"/>
    <col min="14302" max="14302" width="7.5546875" customWidth="1"/>
    <col min="14303" max="14304" width="9.5546875" customWidth="1"/>
    <col min="14305" max="14305" width="32.6640625" customWidth="1"/>
    <col min="14306" max="14309" width="13.6640625" customWidth="1"/>
    <col min="14310" max="14310" width="11.5546875" customWidth="1"/>
    <col min="14311" max="14311" width="11.109375" customWidth="1"/>
    <col min="14312" max="14312" width="12.44140625" customWidth="1"/>
    <col min="14313" max="14313" width="8.88671875" customWidth="1"/>
    <col min="14314" max="14314" width="13.33203125" customWidth="1"/>
    <col min="14315" max="14315" width="11.33203125" customWidth="1"/>
    <col min="14316" max="14316" width="10.6640625" customWidth="1"/>
    <col min="14317" max="14317" width="11.33203125" customWidth="1"/>
    <col min="14318" max="14318" width="8.6640625" customWidth="1"/>
    <col min="14319" max="14319" width="13.88671875" customWidth="1"/>
    <col min="14320" max="14320" width="10.88671875" customWidth="1"/>
    <col min="14321" max="14321" width="9.88671875" customWidth="1"/>
    <col min="14322" max="14333" width="10.44140625" customWidth="1"/>
    <col min="14334" max="14334" width="12" customWidth="1"/>
    <col min="14558" max="14558" width="7.5546875" customWidth="1"/>
    <col min="14559" max="14560" width="9.5546875" customWidth="1"/>
    <col min="14561" max="14561" width="32.6640625" customWidth="1"/>
    <col min="14562" max="14565" width="13.6640625" customWidth="1"/>
    <col min="14566" max="14566" width="11.5546875" customWidth="1"/>
    <col min="14567" max="14567" width="11.109375" customWidth="1"/>
    <col min="14568" max="14568" width="12.44140625" customWidth="1"/>
    <col min="14569" max="14569" width="8.88671875" customWidth="1"/>
    <col min="14570" max="14570" width="13.33203125" customWidth="1"/>
    <col min="14571" max="14571" width="11.33203125" customWidth="1"/>
    <col min="14572" max="14572" width="10.6640625" customWidth="1"/>
    <col min="14573" max="14573" width="11.33203125" customWidth="1"/>
    <col min="14574" max="14574" width="8.6640625" customWidth="1"/>
    <col min="14575" max="14575" width="13.88671875" customWidth="1"/>
    <col min="14576" max="14576" width="10.88671875" customWidth="1"/>
    <col min="14577" max="14577" width="9.88671875" customWidth="1"/>
    <col min="14578" max="14589" width="10.44140625" customWidth="1"/>
    <col min="14590" max="14590" width="12" customWidth="1"/>
    <col min="14814" max="14814" width="7.5546875" customWidth="1"/>
    <col min="14815" max="14816" width="9.5546875" customWidth="1"/>
    <col min="14817" max="14817" width="32.6640625" customWidth="1"/>
    <col min="14818" max="14821" width="13.6640625" customWidth="1"/>
    <col min="14822" max="14822" width="11.5546875" customWidth="1"/>
    <col min="14823" max="14823" width="11.109375" customWidth="1"/>
    <col min="14824" max="14824" width="12.44140625" customWidth="1"/>
    <col min="14825" max="14825" width="8.88671875" customWidth="1"/>
    <col min="14826" max="14826" width="13.33203125" customWidth="1"/>
    <col min="14827" max="14827" width="11.33203125" customWidth="1"/>
    <col min="14828" max="14828" width="10.6640625" customWidth="1"/>
    <col min="14829" max="14829" width="11.33203125" customWidth="1"/>
    <col min="14830" max="14830" width="8.6640625" customWidth="1"/>
    <col min="14831" max="14831" width="13.88671875" customWidth="1"/>
    <col min="14832" max="14832" width="10.88671875" customWidth="1"/>
    <col min="14833" max="14833" width="9.88671875" customWidth="1"/>
    <col min="14834" max="14845" width="10.44140625" customWidth="1"/>
    <col min="14846" max="14846" width="12" customWidth="1"/>
    <col min="15070" max="15070" width="7.5546875" customWidth="1"/>
    <col min="15071" max="15072" width="9.5546875" customWidth="1"/>
    <col min="15073" max="15073" width="32.6640625" customWidth="1"/>
    <col min="15074" max="15077" width="13.6640625" customWidth="1"/>
    <col min="15078" max="15078" width="11.5546875" customWidth="1"/>
    <col min="15079" max="15079" width="11.109375" customWidth="1"/>
    <col min="15080" max="15080" width="12.44140625" customWidth="1"/>
    <col min="15081" max="15081" width="8.88671875" customWidth="1"/>
    <col min="15082" max="15082" width="13.33203125" customWidth="1"/>
    <col min="15083" max="15083" width="11.33203125" customWidth="1"/>
    <col min="15084" max="15084" width="10.6640625" customWidth="1"/>
    <col min="15085" max="15085" width="11.33203125" customWidth="1"/>
    <col min="15086" max="15086" width="8.6640625" customWidth="1"/>
    <col min="15087" max="15087" width="13.88671875" customWidth="1"/>
    <col min="15088" max="15088" width="10.88671875" customWidth="1"/>
    <col min="15089" max="15089" width="9.88671875" customWidth="1"/>
    <col min="15090" max="15101" width="10.44140625" customWidth="1"/>
    <col min="15102" max="15102" width="12" customWidth="1"/>
    <col min="15326" max="15326" width="7.5546875" customWidth="1"/>
    <col min="15327" max="15328" width="9.5546875" customWidth="1"/>
    <col min="15329" max="15329" width="32.6640625" customWidth="1"/>
    <col min="15330" max="15333" width="13.6640625" customWidth="1"/>
    <col min="15334" max="15334" width="11.5546875" customWidth="1"/>
    <col min="15335" max="15335" width="11.109375" customWidth="1"/>
    <col min="15336" max="15336" width="12.44140625" customWidth="1"/>
    <col min="15337" max="15337" width="8.88671875" customWidth="1"/>
    <col min="15338" max="15338" width="13.33203125" customWidth="1"/>
    <col min="15339" max="15339" width="11.33203125" customWidth="1"/>
    <col min="15340" max="15340" width="10.6640625" customWidth="1"/>
    <col min="15341" max="15341" width="11.33203125" customWidth="1"/>
    <col min="15342" max="15342" width="8.6640625" customWidth="1"/>
    <col min="15343" max="15343" width="13.88671875" customWidth="1"/>
    <col min="15344" max="15344" width="10.88671875" customWidth="1"/>
    <col min="15345" max="15345" width="9.88671875" customWidth="1"/>
    <col min="15346" max="15357" width="10.44140625" customWidth="1"/>
    <col min="15358" max="15358" width="12" customWidth="1"/>
    <col min="15582" max="15582" width="7.5546875" customWidth="1"/>
    <col min="15583" max="15584" width="9.5546875" customWidth="1"/>
    <col min="15585" max="15585" width="32.6640625" customWidth="1"/>
    <col min="15586" max="15589" width="13.6640625" customWidth="1"/>
    <col min="15590" max="15590" width="11.5546875" customWidth="1"/>
    <col min="15591" max="15591" width="11.109375" customWidth="1"/>
    <col min="15592" max="15592" width="12.44140625" customWidth="1"/>
    <col min="15593" max="15593" width="8.88671875" customWidth="1"/>
    <col min="15594" max="15594" width="13.33203125" customWidth="1"/>
    <col min="15595" max="15595" width="11.33203125" customWidth="1"/>
    <col min="15596" max="15596" width="10.6640625" customWidth="1"/>
    <col min="15597" max="15597" width="11.33203125" customWidth="1"/>
    <col min="15598" max="15598" width="8.6640625" customWidth="1"/>
    <col min="15599" max="15599" width="13.88671875" customWidth="1"/>
    <col min="15600" max="15600" width="10.88671875" customWidth="1"/>
    <col min="15601" max="15601" width="9.88671875" customWidth="1"/>
    <col min="15602" max="15613" width="10.44140625" customWidth="1"/>
    <col min="15614" max="15614" width="12" customWidth="1"/>
    <col min="15838" max="15838" width="7.5546875" customWidth="1"/>
    <col min="15839" max="15840" width="9.5546875" customWidth="1"/>
    <col min="15841" max="15841" width="32.6640625" customWidth="1"/>
    <col min="15842" max="15845" width="13.6640625" customWidth="1"/>
    <col min="15846" max="15846" width="11.5546875" customWidth="1"/>
    <col min="15847" max="15847" width="11.109375" customWidth="1"/>
    <col min="15848" max="15848" width="12.44140625" customWidth="1"/>
    <col min="15849" max="15849" width="8.88671875" customWidth="1"/>
    <col min="15850" max="15850" width="13.33203125" customWidth="1"/>
    <col min="15851" max="15851" width="11.33203125" customWidth="1"/>
    <col min="15852" max="15852" width="10.6640625" customWidth="1"/>
    <col min="15853" max="15853" width="11.33203125" customWidth="1"/>
    <col min="15854" max="15854" width="8.6640625" customWidth="1"/>
    <col min="15855" max="15855" width="13.88671875" customWidth="1"/>
    <col min="15856" max="15856" width="10.88671875" customWidth="1"/>
    <col min="15857" max="15857" width="9.88671875" customWidth="1"/>
    <col min="15858" max="15869" width="10.44140625" customWidth="1"/>
    <col min="15870" max="15870" width="12" customWidth="1"/>
    <col min="16094" max="16094" width="7.5546875" customWidth="1"/>
    <col min="16095" max="16096" width="9.5546875" customWidth="1"/>
    <col min="16097" max="16097" width="32.6640625" customWidth="1"/>
    <col min="16098" max="16101" width="13.6640625" customWidth="1"/>
    <col min="16102" max="16102" width="11.5546875" customWidth="1"/>
    <col min="16103" max="16103" width="11.109375" customWidth="1"/>
    <col min="16104" max="16104" width="12.44140625" customWidth="1"/>
    <col min="16105" max="16105" width="8.88671875" customWidth="1"/>
    <col min="16106" max="16106" width="13.33203125" customWidth="1"/>
    <col min="16107" max="16107" width="11.33203125" customWidth="1"/>
    <col min="16108" max="16108" width="10.6640625" customWidth="1"/>
    <col min="16109" max="16109" width="11.33203125" customWidth="1"/>
    <col min="16110" max="16110" width="8.6640625" customWidth="1"/>
    <col min="16111" max="16111" width="13.88671875" customWidth="1"/>
    <col min="16112" max="16112" width="10.88671875" customWidth="1"/>
    <col min="16113" max="16113" width="9.88671875" customWidth="1"/>
    <col min="16114" max="16125" width="10.44140625" customWidth="1"/>
    <col min="16126" max="16126" width="12" customWidth="1"/>
  </cols>
  <sheetData>
    <row r="1" spans="1:22" x14ac:dyDescent="0.3">
      <c r="A1" s="94" t="s">
        <v>113</v>
      </c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 t="s">
        <v>141</v>
      </c>
    </row>
    <row r="2" spans="1:22" x14ac:dyDescent="0.3">
      <c r="A2" s="98" t="s">
        <v>433</v>
      </c>
      <c r="B2" s="98"/>
      <c r="C2" s="9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37" t="s">
        <v>606</v>
      </c>
    </row>
    <row r="3" spans="1:22" x14ac:dyDescent="0.3">
      <c r="A3" s="99"/>
      <c r="B3" s="99"/>
      <c r="C3" s="99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x14ac:dyDescent="0.3">
      <c r="A4" s="99"/>
      <c r="B4" s="99"/>
      <c r="C4" s="9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13.5" customHeigh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x14ac:dyDescent="0.3">
      <c r="A6" s="101" t="s">
        <v>436</v>
      </c>
      <c r="B6" s="101" t="s">
        <v>437</v>
      </c>
      <c r="C6" s="101" t="s">
        <v>438</v>
      </c>
      <c r="D6" s="102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40" t="s">
        <v>560</v>
      </c>
      <c r="U6" s="140" t="s">
        <v>586</v>
      </c>
      <c r="V6" s="95"/>
    </row>
    <row r="7" spans="1:22" x14ac:dyDescent="0.3">
      <c r="A7" s="103" t="s">
        <v>441</v>
      </c>
      <c r="B7" s="103" t="s">
        <v>442</v>
      </c>
      <c r="C7" s="103" t="s">
        <v>442</v>
      </c>
      <c r="D7" s="104" t="s">
        <v>443</v>
      </c>
      <c r="E7" s="166">
        <v>44561</v>
      </c>
      <c r="F7" s="146" t="s">
        <v>587</v>
      </c>
      <c r="G7" s="146" t="s">
        <v>588</v>
      </c>
      <c r="H7" s="146" t="s">
        <v>589</v>
      </c>
      <c r="I7" s="146" t="s">
        <v>590</v>
      </c>
      <c r="J7" s="146" t="s">
        <v>591</v>
      </c>
      <c r="K7" s="146" t="s">
        <v>592</v>
      </c>
      <c r="L7" s="146" t="s">
        <v>593</v>
      </c>
      <c r="M7" s="146" t="s">
        <v>594</v>
      </c>
      <c r="N7" s="146" t="s">
        <v>595</v>
      </c>
      <c r="O7" s="146" t="s">
        <v>596</v>
      </c>
      <c r="P7" s="146" t="s">
        <v>597</v>
      </c>
      <c r="Q7" s="166">
        <v>44926</v>
      </c>
      <c r="R7" s="95"/>
      <c r="S7" s="102" t="s">
        <v>599</v>
      </c>
      <c r="T7" s="145" t="s">
        <v>564</v>
      </c>
      <c r="U7" s="102" t="s">
        <v>599</v>
      </c>
      <c r="V7" s="95"/>
    </row>
    <row r="8" spans="1:22" x14ac:dyDescent="0.3">
      <c r="A8" s="103"/>
      <c r="B8" s="103"/>
      <c r="C8" s="103"/>
      <c r="D8" s="98" t="s">
        <v>448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x14ac:dyDescent="0.3">
      <c r="A9" s="105" t="s">
        <v>450</v>
      </c>
      <c r="B9" s="105">
        <v>1311020</v>
      </c>
      <c r="C9" s="105" t="s">
        <v>451</v>
      </c>
      <c r="D9" s="106" t="s">
        <v>452</v>
      </c>
      <c r="E9" s="107">
        <v>52845.330544613775</v>
      </c>
      <c r="F9" s="167">
        <v>52821.552011350141</v>
      </c>
      <c r="G9" s="167">
        <v>52797.773478086507</v>
      </c>
      <c r="H9" s="167">
        <v>52773.994944822873</v>
      </c>
      <c r="I9" s="167">
        <v>52750.216411559239</v>
      </c>
      <c r="J9" s="167">
        <v>52726.437878295605</v>
      </c>
      <c r="K9" s="167">
        <v>52702.659345031971</v>
      </c>
      <c r="L9" s="167">
        <v>52678.880811768337</v>
      </c>
      <c r="M9" s="167">
        <v>52655.102278504703</v>
      </c>
      <c r="N9" s="167">
        <v>52631.323745241069</v>
      </c>
      <c r="O9" s="167">
        <v>52607.545211977435</v>
      </c>
      <c r="P9" s="167">
        <v>52583.766678713801</v>
      </c>
      <c r="Q9" s="167">
        <v>52559.988145450166</v>
      </c>
      <c r="R9" s="95"/>
      <c r="S9" s="167">
        <v>52702.659345031978</v>
      </c>
      <c r="T9" s="142">
        <v>0</v>
      </c>
      <c r="U9" s="107">
        <v>0</v>
      </c>
      <c r="V9" s="95"/>
    </row>
    <row r="10" spans="1:22" x14ac:dyDescent="0.3">
      <c r="A10" s="105">
        <v>303</v>
      </c>
      <c r="B10" s="105">
        <v>1311020</v>
      </c>
      <c r="C10" s="105">
        <v>5505010</v>
      </c>
      <c r="D10" s="106" t="s">
        <v>453</v>
      </c>
      <c r="E10" s="107">
        <v>1369804.7367042887</v>
      </c>
      <c r="F10" s="167">
        <v>1369188.3729279488</v>
      </c>
      <c r="G10" s="167">
        <v>1368572.0091516089</v>
      </c>
      <c r="H10" s="167">
        <v>1367955.645375269</v>
      </c>
      <c r="I10" s="167">
        <v>1367339.2815989291</v>
      </c>
      <c r="J10" s="167">
        <v>1366722.9178225892</v>
      </c>
      <c r="K10" s="167">
        <v>1366106.5540462492</v>
      </c>
      <c r="L10" s="167">
        <v>1365490.1902699093</v>
      </c>
      <c r="M10" s="167">
        <v>1364873.8264935694</v>
      </c>
      <c r="N10" s="167">
        <v>1364257.4627172295</v>
      </c>
      <c r="O10" s="167">
        <v>1363641.0989408896</v>
      </c>
      <c r="P10" s="167">
        <v>1363024.7351645497</v>
      </c>
      <c r="Q10" s="167">
        <v>1362408.3713882098</v>
      </c>
      <c r="R10" s="95"/>
      <c r="S10" s="167">
        <v>1366106.5540462492</v>
      </c>
      <c r="T10" s="142">
        <v>0.1</v>
      </c>
      <c r="U10" s="107">
        <v>0</v>
      </c>
      <c r="V10" s="147" t="s">
        <v>567</v>
      </c>
    </row>
    <row r="11" spans="1:22" x14ac:dyDescent="0.3">
      <c r="A11" s="105">
        <v>303</v>
      </c>
      <c r="B11" s="105">
        <v>1311020</v>
      </c>
      <c r="C11" s="105">
        <v>5505010</v>
      </c>
      <c r="D11" s="106" t="s">
        <v>454</v>
      </c>
      <c r="E11" s="108">
        <v>5614172.339839262</v>
      </c>
      <c r="F11" s="169">
        <v>5651646.1604710026</v>
      </c>
      <c r="G11" s="169">
        <v>5689119.9811027432</v>
      </c>
      <c r="H11" s="169">
        <v>5816593.8017344838</v>
      </c>
      <c r="I11" s="169">
        <v>6044067.6223662244</v>
      </c>
      <c r="J11" s="169">
        <v>6271541.442997965</v>
      </c>
      <c r="K11" s="169">
        <v>6399015.2636297056</v>
      </c>
      <c r="L11" s="169">
        <v>6436489.0842614463</v>
      </c>
      <c r="M11" s="169">
        <v>6503962.9048931869</v>
      </c>
      <c r="N11" s="169">
        <v>6541436.7255249275</v>
      </c>
      <c r="O11" s="169">
        <v>6668910.5461566681</v>
      </c>
      <c r="P11" s="169">
        <v>6796384.3667884087</v>
      </c>
      <c r="Q11" s="169">
        <v>6927562.1874201493</v>
      </c>
      <c r="R11" s="95"/>
      <c r="S11" s="167">
        <v>6258530.9559373967</v>
      </c>
      <c r="T11" s="142">
        <v>0.1</v>
      </c>
      <c r="U11" s="108">
        <v>625853</v>
      </c>
      <c r="V11" s="95"/>
    </row>
    <row r="12" spans="1:22" x14ac:dyDescent="0.3">
      <c r="A12" s="109"/>
      <c r="B12" s="109"/>
      <c r="C12" s="109"/>
      <c r="D12" s="95"/>
      <c r="E12" s="107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2"/>
      <c r="V12" s="95"/>
    </row>
    <row r="13" spans="1:22" x14ac:dyDescent="0.3">
      <c r="A13" s="109"/>
      <c r="B13" s="109"/>
      <c r="C13" s="109"/>
      <c r="D13" s="106" t="s">
        <v>455</v>
      </c>
      <c r="E13" s="108">
        <v>7036822.4070881642</v>
      </c>
      <c r="F13" s="108">
        <v>7073656.0854103016</v>
      </c>
      <c r="G13" s="108">
        <v>7110489.7637324389</v>
      </c>
      <c r="H13" s="108">
        <v>7237323.4420545753</v>
      </c>
      <c r="I13" s="108">
        <v>7464157.1203767126</v>
      </c>
      <c r="J13" s="108">
        <v>7690990.79869885</v>
      </c>
      <c r="K13" s="108">
        <v>7817824.4770209864</v>
      </c>
      <c r="L13" s="108">
        <v>7854658.1553431237</v>
      </c>
      <c r="M13" s="108">
        <v>7921491.833665261</v>
      </c>
      <c r="N13" s="108">
        <v>7958325.5119873984</v>
      </c>
      <c r="O13" s="108">
        <v>8085159.1903095348</v>
      </c>
      <c r="P13" s="108">
        <v>8211992.8686316721</v>
      </c>
      <c r="Q13" s="108">
        <v>8342530.5469538094</v>
      </c>
      <c r="R13" s="95"/>
      <c r="S13" s="108">
        <v>7677340.1693286784</v>
      </c>
      <c r="T13" s="95"/>
      <c r="U13" s="108">
        <v>625853</v>
      </c>
      <c r="V13" s="95"/>
    </row>
    <row r="14" spans="1:22" x14ac:dyDescent="0.3">
      <c r="A14" s="109"/>
      <c r="B14" s="109"/>
      <c r="C14" s="109"/>
      <c r="D14" s="95"/>
      <c r="E14" s="107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112"/>
      <c r="V14" s="95"/>
    </row>
    <row r="15" spans="1:22" x14ac:dyDescent="0.3">
      <c r="A15" s="109"/>
      <c r="B15" s="109"/>
      <c r="C15" s="109"/>
      <c r="D15" s="98" t="s">
        <v>456</v>
      </c>
      <c r="E15" s="107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118" t="s">
        <v>449</v>
      </c>
      <c r="V15" s="95"/>
    </row>
    <row r="16" spans="1:22" x14ac:dyDescent="0.3">
      <c r="A16" s="105">
        <v>3254</v>
      </c>
      <c r="B16" s="105">
        <v>1311030</v>
      </c>
      <c r="C16" s="105">
        <v>5501010</v>
      </c>
      <c r="D16" s="106" t="s">
        <v>457</v>
      </c>
      <c r="E16" s="107">
        <v>96496.840247737389</v>
      </c>
      <c r="F16" s="167">
        <v>96453.420076039736</v>
      </c>
      <c r="G16" s="167">
        <v>96409.999904342083</v>
      </c>
      <c r="H16" s="167">
        <v>96366.57973264443</v>
      </c>
      <c r="I16" s="167">
        <v>96323.159560946777</v>
      </c>
      <c r="J16" s="167">
        <v>96279.739389249124</v>
      </c>
      <c r="K16" s="167">
        <v>96236.319217551471</v>
      </c>
      <c r="L16" s="167">
        <v>96192.899045853817</v>
      </c>
      <c r="M16" s="167">
        <v>96149.478874156164</v>
      </c>
      <c r="N16" s="167">
        <v>96106.058702458511</v>
      </c>
      <c r="O16" s="167">
        <v>96062.638530760858</v>
      </c>
      <c r="P16" s="167">
        <v>96019.218359063205</v>
      </c>
      <c r="Q16" s="167">
        <v>95975.798187365552</v>
      </c>
      <c r="R16" s="95"/>
      <c r="S16" s="167">
        <v>96236.319217551471</v>
      </c>
      <c r="T16" s="142">
        <v>0.03</v>
      </c>
      <c r="U16" s="107">
        <v>2887</v>
      </c>
      <c r="V16" s="147"/>
    </row>
    <row r="17" spans="1:22" x14ac:dyDescent="0.3">
      <c r="A17" s="106" t="s">
        <v>458</v>
      </c>
      <c r="B17" s="105">
        <v>1311050</v>
      </c>
      <c r="C17" s="105">
        <v>5501030</v>
      </c>
      <c r="D17" s="110" t="s">
        <v>459</v>
      </c>
      <c r="E17" s="107">
        <v>47670.264309082653</v>
      </c>
      <c r="F17" s="167">
        <v>47648.814372941124</v>
      </c>
      <c r="G17" s="167">
        <v>47627.364436799595</v>
      </c>
      <c r="H17" s="167">
        <v>47605.914500658066</v>
      </c>
      <c r="I17" s="167">
        <v>47584.464564516536</v>
      </c>
      <c r="J17" s="167">
        <v>47563.014628375007</v>
      </c>
      <c r="K17" s="167">
        <v>47541.564692233478</v>
      </c>
      <c r="L17" s="167">
        <v>47520.114756091949</v>
      </c>
      <c r="M17" s="167">
        <v>47498.66481995042</v>
      </c>
      <c r="N17" s="167">
        <v>47477.214883808891</v>
      </c>
      <c r="O17" s="167">
        <v>47455.764947667361</v>
      </c>
      <c r="P17" s="167">
        <v>47434.315011525832</v>
      </c>
      <c r="Q17" s="167">
        <v>47412.865075384303</v>
      </c>
      <c r="R17" s="95"/>
      <c r="S17" s="167">
        <v>47541.564692233485</v>
      </c>
      <c r="T17" s="142">
        <v>0.03</v>
      </c>
      <c r="U17" s="107">
        <v>1426</v>
      </c>
      <c r="V17" s="147"/>
    </row>
    <row r="18" spans="1:22" x14ac:dyDescent="0.3">
      <c r="A18" s="106">
        <v>331</v>
      </c>
      <c r="B18" s="105">
        <v>1311050</v>
      </c>
      <c r="C18" s="105">
        <v>5501030</v>
      </c>
      <c r="D18" s="110" t="s">
        <v>460</v>
      </c>
      <c r="E18" s="107">
        <v>24000</v>
      </c>
      <c r="F18" s="167">
        <v>23989.200847218744</v>
      </c>
      <c r="G18" s="167">
        <v>23978.401694437489</v>
      </c>
      <c r="H18" s="167">
        <v>23967.602541656233</v>
      </c>
      <c r="I18" s="167">
        <v>23956.803388874978</v>
      </c>
      <c r="J18" s="167">
        <v>23946.004236093722</v>
      </c>
      <c r="K18" s="167">
        <v>23935.205083312467</v>
      </c>
      <c r="L18" s="167">
        <v>23924.405930531211</v>
      </c>
      <c r="M18" s="167">
        <v>23913.606777749956</v>
      </c>
      <c r="N18" s="167">
        <v>23902.8076249687</v>
      </c>
      <c r="O18" s="167">
        <v>23892.008472187445</v>
      </c>
      <c r="P18" s="167">
        <v>23881.209319406189</v>
      </c>
      <c r="Q18" s="167">
        <v>23870.410166624933</v>
      </c>
      <c r="R18" s="95"/>
      <c r="S18" s="167">
        <v>23935.205083312467</v>
      </c>
      <c r="T18" s="142">
        <v>0</v>
      </c>
      <c r="U18" s="107">
        <v>0</v>
      </c>
      <c r="V18" s="147"/>
    </row>
    <row r="19" spans="1:22" x14ac:dyDescent="0.3">
      <c r="A19" s="105" t="s">
        <v>461</v>
      </c>
      <c r="B19" s="105">
        <v>1311050</v>
      </c>
      <c r="C19" s="105">
        <v>5501030</v>
      </c>
      <c r="D19" s="106" t="s">
        <v>462</v>
      </c>
      <c r="E19" s="107">
        <v>2319127.5742883179</v>
      </c>
      <c r="F19" s="167">
        <v>2318084.048746903</v>
      </c>
      <c r="G19" s="167">
        <v>2317040.523205488</v>
      </c>
      <c r="H19" s="167">
        <v>2327996.997664073</v>
      </c>
      <c r="I19" s="167">
        <v>2326953.472122658</v>
      </c>
      <c r="J19" s="167">
        <v>2325909.9465812431</v>
      </c>
      <c r="K19" s="167">
        <v>2336866.4210398281</v>
      </c>
      <c r="L19" s="167">
        <v>2335822.8954984131</v>
      </c>
      <c r="M19" s="167">
        <v>2334779.3699569982</v>
      </c>
      <c r="N19" s="167">
        <v>2345735.8444155832</v>
      </c>
      <c r="O19" s="167">
        <v>2344692.3188741682</v>
      </c>
      <c r="P19" s="167">
        <v>2343648.7933327532</v>
      </c>
      <c r="Q19" s="167">
        <v>2354605.2677913383</v>
      </c>
      <c r="R19" s="95"/>
      <c r="S19" s="167">
        <v>2333174.1133475201</v>
      </c>
      <c r="T19" s="142">
        <v>2.2499999999999999E-2</v>
      </c>
      <c r="U19" s="107">
        <v>52496</v>
      </c>
      <c r="V19" s="147"/>
    </row>
    <row r="20" spans="1:22" x14ac:dyDescent="0.3">
      <c r="A20" s="106" t="s">
        <v>463</v>
      </c>
      <c r="B20" s="105">
        <v>1311050</v>
      </c>
      <c r="C20" s="105">
        <v>5501030</v>
      </c>
      <c r="D20" s="106" t="s">
        <v>464</v>
      </c>
      <c r="E20" s="107">
        <v>885749.16146618675</v>
      </c>
      <c r="F20" s="167">
        <v>885350.60561116412</v>
      </c>
      <c r="G20" s="167">
        <v>884952.0497561415</v>
      </c>
      <c r="H20" s="167">
        <v>884553.49390111887</v>
      </c>
      <c r="I20" s="167">
        <v>884154.93804609624</v>
      </c>
      <c r="J20" s="167">
        <v>941456.38219107362</v>
      </c>
      <c r="K20" s="167">
        <v>941057.82633605099</v>
      </c>
      <c r="L20" s="167">
        <v>940659.27048102836</v>
      </c>
      <c r="M20" s="167">
        <v>940260.71462600573</v>
      </c>
      <c r="N20" s="167">
        <v>939862.15877098311</v>
      </c>
      <c r="O20" s="167">
        <v>939463.60291596048</v>
      </c>
      <c r="P20" s="167">
        <v>939065.04706093785</v>
      </c>
      <c r="Q20" s="167">
        <v>938666.49120591523</v>
      </c>
      <c r="R20" s="95"/>
      <c r="S20" s="167">
        <v>918865.51864374347</v>
      </c>
      <c r="T20" s="142">
        <v>0.04</v>
      </c>
      <c r="U20" s="107">
        <v>36755</v>
      </c>
      <c r="V20" s="147"/>
    </row>
    <row r="21" spans="1:22" x14ac:dyDescent="0.3">
      <c r="A21" s="106" t="s">
        <v>465</v>
      </c>
      <c r="B21" s="105">
        <v>1311050</v>
      </c>
      <c r="C21" s="105">
        <v>5501030</v>
      </c>
      <c r="D21" s="110" t="s">
        <v>466</v>
      </c>
      <c r="E21" s="108">
        <v>371489.33698046533</v>
      </c>
      <c r="F21" s="169">
        <v>371322.17989268783</v>
      </c>
      <c r="G21" s="169">
        <v>371155.02280491032</v>
      </c>
      <c r="H21" s="169">
        <v>377687.86571713281</v>
      </c>
      <c r="I21" s="169">
        <v>377520.7086293553</v>
      </c>
      <c r="J21" s="169">
        <v>377353.55154157779</v>
      </c>
      <c r="K21" s="169">
        <v>377186.39445380028</v>
      </c>
      <c r="L21" s="169">
        <v>383719.23736602277</v>
      </c>
      <c r="M21" s="169">
        <v>383552.08027824527</v>
      </c>
      <c r="N21" s="169">
        <v>383384.92319046776</v>
      </c>
      <c r="O21" s="169">
        <v>383217.76610269025</v>
      </c>
      <c r="P21" s="169">
        <v>389650.60901491274</v>
      </c>
      <c r="Q21" s="169">
        <v>389483.45192713523</v>
      </c>
      <c r="R21" s="95"/>
      <c r="S21" s="167">
        <v>379747.93291533866</v>
      </c>
      <c r="T21" s="142">
        <v>2.7199999999999998E-2</v>
      </c>
      <c r="U21" s="108">
        <v>10329</v>
      </c>
      <c r="V21" s="147"/>
    </row>
    <row r="22" spans="1:22" x14ac:dyDescent="0.3">
      <c r="A22" s="95"/>
      <c r="B22" s="95"/>
      <c r="C22" s="95"/>
      <c r="D22" s="95"/>
      <c r="E22" s="10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7"/>
      <c r="V22" s="147"/>
    </row>
    <row r="23" spans="1:22" x14ac:dyDescent="0.3">
      <c r="A23" s="109"/>
      <c r="B23" s="109"/>
      <c r="C23" s="109"/>
      <c r="D23" s="106" t="s">
        <v>455</v>
      </c>
      <c r="E23" s="108">
        <v>3744533.17729179</v>
      </c>
      <c r="F23" s="108">
        <v>3742848.2695469549</v>
      </c>
      <c r="G23" s="108">
        <v>3741163.3618021188</v>
      </c>
      <c r="H23" s="108">
        <v>3758178.4540572828</v>
      </c>
      <c r="I23" s="108">
        <v>3756493.5463124481</v>
      </c>
      <c r="J23" s="108">
        <v>3812508.6385676125</v>
      </c>
      <c r="K23" s="108">
        <v>3822823.7308227769</v>
      </c>
      <c r="L23" s="108">
        <v>3827838.8230779413</v>
      </c>
      <c r="M23" s="108">
        <v>3826153.9153331057</v>
      </c>
      <c r="N23" s="108">
        <v>3836469.0075882701</v>
      </c>
      <c r="O23" s="108">
        <v>3834784.0998434345</v>
      </c>
      <c r="P23" s="108">
        <v>3839699.1920985989</v>
      </c>
      <c r="Q23" s="108">
        <v>3850014.2843537638</v>
      </c>
      <c r="R23" s="95"/>
      <c r="S23" s="108">
        <v>3799500.6538996999</v>
      </c>
      <c r="T23" s="95"/>
      <c r="U23" s="108">
        <v>103893</v>
      </c>
      <c r="V23" s="147"/>
    </row>
    <row r="24" spans="1:22" x14ac:dyDescent="0.3">
      <c r="A24" s="109"/>
      <c r="B24" s="109"/>
      <c r="C24" s="109"/>
      <c r="D24" s="95"/>
      <c r="E24" s="10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12"/>
      <c r="V24" s="147"/>
    </row>
    <row r="25" spans="1:22" x14ac:dyDescent="0.3">
      <c r="A25" s="109"/>
      <c r="B25" s="109"/>
      <c r="C25" s="109"/>
      <c r="D25" s="94" t="s">
        <v>467</v>
      </c>
      <c r="E25" s="107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12"/>
      <c r="V25" s="147"/>
    </row>
    <row r="26" spans="1:22" x14ac:dyDescent="0.3">
      <c r="A26" s="111" t="s">
        <v>468</v>
      </c>
      <c r="B26" s="111">
        <v>1311030</v>
      </c>
      <c r="C26" s="111" t="s">
        <v>451</v>
      </c>
      <c r="D26" s="95" t="s">
        <v>469</v>
      </c>
      <c r="E26" s="107">
        <v>73867.732174598423</v>
      </c>
      <c r="F26" s="167">
        <v>73834.494302708496</v>
      </c>
      <c r="G26" s="167">
        <v>73801.256430818568</v>
      </c>
      <c r="H26" s="167">
        <v>73768.018558928641</v>
      </c>
      <c r="I26" s="167">
        <v>73734.780687038714</v>
      </c>
      <c r="J26" s="167">
        <v>73701.542815148787</v>
      </c>
      <c r="K26" s="167">
        <v>73668.30494325886</v>
      </c>
      <c r="L26" s="167">
        <v>73635.067071368932</v>
      </c>
      <c r="M26" s="167">
        <v>73601.829199479005</v>
      </c>
      <c r="N26" s="167">
        <v>73568.591327589078</v>
      </c>
      <c r="O26" s="167">
        <v>73535.353455699151</v>
      </c>
      <c r="P26" s="167">
        <v>73502.115583809224</v>
      </c>
      <c r="Q26" s="167">
        <v>73468.877711919296</v>
      </c>
      <c r="R26" s="95"/>
      <c r="S26" s="167">
        <v>73668.30494325886</v>
      </c>
      <c r="T26" s="142">
        <v>0</v>
      </c>
      <c r="U26" s="107">
        <v>0</v>
      </c>
      <c r="V26" s="147"/>
    </row>
    <row r="27" spans="1:22" x14ac:dyDescent="0.3">
      <c r="A27" s="111">
        <v>35002</v>
      </c>
      <c r="B27" s="111">
        <v>1311030</v>
      </c>
      <c r="C27" s="111" t="s">
        <v>451</v>
      </c>
      <c r="D27" s="95" t="s">
        <v>470</v>
      </c>
      <c r="E27" s="107">
        <v>185746.59926765799</v>
      </c>
      <c r="F27" s="167">
        <v>185663.01985498756</v>
      </c>
      <c r="G27" s="167">
        <v>185579.44044231714</v>
      </c>
      <c r="H27" s="167">
        <v>185495.86102964671</v>
      </c>
      <c r="I27" s="167">
        <v>185412.28161697628</v>
      </c>
      <c r="J27" s="167">
        <v>185328.70220430585</v>
      </c>
      <c r="K27" s="167">
        <v>185245.12279163543</v>
      </c>
      <c r="L27" s="167">
        <v>185161.543378965</v>
      </c>
      <c r="M27" s="167">
        <v>185077.96396629457</v>
      </c>
      <c r="N27" s="167">
        <v>184994.38455362414</v>
      </c>
      <c r="O27" s="167">
        <v>184910.80514095371</v>
      </c>
      <c r="P27" s="167">
        <v>184827.22572828329</v>
      </c>
      <c r="Q27" s="167">
        <v>184743.64631561286</v>
      </c>
      <c r="R27" s="95"/>
      <c r="S27" s="167">
        <v>185245.1227916354</v>
      </c>
      <c r="T27" s="142">
        <v>0</v>
      </c>
      <c r="U27" s="107">
        <v>0</v>
      </c>
      <c r="V27" s="147"/>
    </row>
    <row r="28" spans="1:22" x14ac:dyDescent="0.3">
      <c r="A28" s="110">
        <v>351</v>
      </c>
      <c r="B28" s="111">
        <v>1311052</v>
      </c>
      <c r="C28" s="111">
        <v>5501033</v>
      </c>
      <c r="D28" s="106" t="s">
        <v>471</v>
      </c>
      <c r="E28" s="107">
        <v>719406.78691849823</v>
      </c>
      <c r="F28" s="167">
        <v>719083.07926000631</v>
      </c>
      <c r="G28" s="167">
        <v>718759.3716015144</v>
      </c>
      <c r="H28" s="167">
        <v>718435.66394302249</v>
      </c>
      <c r="I28" s="167">
        <v>718111.95628453058</v>
      </c>
      <c r="J28" s="167">
        <v>717788.24862603866</v>
      </c>
      <c r="K28" s="167">
        <v>717464.54096754675</v>
      </c>
      <c r="L28" s="167">
        <v>717140.83330905484</v>
      </c>
      <c r="M28" s="167">
        <v>716817.12565056293</v>
      </c>
      <c r="N28" s="167">
        <v>716493.41799207102</v>
      </c>
      <c r="O28" s="167">
        <v>716169.7103335791</v>
      </c>
      <c r="P28" s="167">
        <v>715846.00267508719</v>
      </c>
      <c r="Q28" s="167">
        <v>715522.29501659528</v>
      </c>
      <c r="R28" s="95"/>
      <c r="S28" s="167">
        <v>717464.54096754687</v>
      </c>
      <c r="T28" s="142">
        <v>2.58E-2</v>
      </c>
      <c r="U28" s="107">
        <v>18511</v>
      </c>
      <c r="V28" s="147"/>
    </row>
    <row r="29" spans="1:22" x14ac:dyDescent="0.3">
      <c r="A29" s="110">
        <v>352</v>
      </c>
      <c r="B29" s="111">
        <v>1311052</v>
      </c>
      <c r="C29" s="111">
        <v>5501033</v>
      </c>
      <c r="D29" s="106" t="s">
        <v>266</v>
      </c>
      <c r="E29" s="107">
        <v>8212436.8601337885</v>
      </c>
      <c r="F29" s="167">
        <v>8208741.553452163</v>
      </c>
      <c r="G29" s="167">
        <v>8205046.2467705375</v>
      </c>
      <c r="H29" s="167">
        <v>8201350.9400889119</v>
      </c>
      <c r="I29" s="167">
        <v>8197655.6334072864</v>
      </c>
      <c r="J29" s="167">
        <v>8193960.3267256608</v>
      </c>
      <c r="K29" s="167">
        <v>8190265.0200440353</v>
      </c>
      <c r="L29" s="167">
        <v>8426569.7133624107</v>
      </c>
      <c r="M29" s="167">
        <v>8422874.4066807851</v>
      </c>
      <c r="N29" s="167">
        <v>8419179.0999991596</v>
      </c>
      <c r="O29" s="167">
        <v>8415483.793317534</v>
      </c>
      <c r="P29" s="167">
        <v>8411788.4866359085</v>
      </c>
      <c r="Q29" s="167">
        <v>8408093.1799542829</v>
      </c>
      <c r="R29" s="95"/>
      <c r="S29" s="167">
        <v>8301034.2508132663</v>
      </c>
      <c r="T29" s="142">
        <v>3.1899999999999998E-2</v>
      </c>
      <c r="U29" s="107">
        <v>264803</v>
      </c>
      <c r="V29" s="147"/>
    </row>
    <row r="30" spans="1:22" x14ac:dyDescent="0.3">
      <c r="A30" s="111" t="s">
        <v>472</v>
      </c>
      <c r="B30" s="111" t="s">
        <v>473</v>
      </c>
      <c r="C30" s="111">
        <v>5505300</v>
      </c>
      <c r="D30" s="95" t="s">
        <v>474</v>
      </c>
      <c r="E30" s="107">
        <v>855447.89409914229</v>
      </c>
      <c r="F30" s="167">
        <v>855062.9727447764</v>
      </c>
      <c r="G30" s="167">
        <v>854678.05139041052</v>
      </c>
      <c r="H30" s="167">
        <v>854293.13003604463</v>
      </c>
      <c r="I30" s="167">
        <v>853908.20868167875</v>
      </c>
      <c r="J30" s="167">
        <v>853523.28732731286</v>
      </c>
      <c r="K30" s="167">
        <v>853138.36597294698</v>
      </c>
      <c r="L30" s="167">
        <v>852753.4446185811</v>
      </c>
      <c r="M30" s="167">
        <v>852368.52326421521</v>
      </c>
      <c r="N30" s="167">
        <v>851983.60190984933</v>
      </c>
      <c r="O30" s="167">
        <v>851598.68055548344</v>
      </c>
      <c r="P30" s="167">
        <v>851213.75920111756</v>
      </c>
      <c r="Q30" s="167">
        <v>850828.83784675167</v>
      </c>
      <c r="R30" s="95"/>
      <c r="S30" s="167">
        <v>853138.36597294686</v>
      </c>
      <c r="T30" s="142">
        <v>1.8499999999999999E-2</v>
      </c>
      <c r="U30" s="107">
        <v>15783</v>
      </c>
      <c r="V30" s="147"/>
    </row>
    <row r="31" spans="1:22" x14ac:dyDescent="0.3">
      <c r="A31" s="111" t="s">
        <v>475</v>
      </c>
      <c r="B31" s="111">
        <v>1311052</v>
      </c>
      <c r="C31" s="111">
        <v>5501033</v>
      </c>
      <c r="D31" s="95" t="s">
        <v>476</v>
      </c>
      <c r="E31" s="107">
        <v>1749266.8412679969</v>
      </c>
      <c r="F31" s="167">
        <v>1748479.732939912</v>
      </c>
      <c r="G31" s="167">
        <v>1747692.6246118271</v>
      </c>
      <c r="H31" s="167">
        <v>1746905.5162837422</v>
      </c>
      <c r="I31" s="167">
        <v>1746118.4079556572</v>
      </c>
      <c r="J31" s="167">
        <v>1745331.2996275723</v>
      </c>
      <c r="K31" s="167">
        <v>1744544.1912994874</v>
      </c>
      <c r="L31" s="167">
        <v>1743757.0829714024</v>
      </c>
      <c r="M31" s="167">
        <v>1742969.9746433175</v>
      </c>
      <c r="N31" s="167">
        <v>1742182.8663152326</v>
      </c>
      <c r="O31" s="167">
        <v>1741395.7579871477</v>
      </c>
      <c r="P31" s="167">
        <v>1740608.6496590627</v>
      </c>
      <c r="Q31" s="167">
        <v>1739821.5413309778</v>
      </c>
      <c r="R31" s="95"/>
      <c r="S31" s="167">
        <v>1744544.1912994874</v>
      </c>
      <c r="T31" s="142">
        <v>1.83E-2</v>
      </c>
      <c r="U31" s="107">
        <v>31925</v>
      </c>
      <c r="V31" s="147"/>
    </row>
    <row r="32" spans="1:22" x14ac:dyDescent="0.3">
      <c r="A32" s="111" t="s">
        <v>477</v>
      </c>
      <c r="B32" s="111">
        <v>1311052</v>
      </c>
      <c r="C32" s="111">
        <v>5501033</v>
      </c>
      <c r="D32" s="95" t="s">
        <v>478</v>
      </c>
      <c r="E32" s="107">
        <v>292614.45121622633</v>
      </c>
      <c r="F32" s="167">
        <v>292482.78504269768</v>
      </c>
      <c r="G32" s="167">
        <v>292351.11886916903</v>
      </c>
      <c r="H32" s="167">
        <v>292219.45269564039</v>
      </c>
      <c r="I32" s="167">
        <v>292087.78652211174</v>
      </c>
      <c r="J32" s="167">
        <v>291956.12034858309</v>
      </c>
      <c r="K32" s="167">
        <v>291824.45417505444</v>
      </c>
      <c r="L32" s="167">
        <v>291692.7880015258</v>
      </c>
      <c r="M32" s="167">
        <v>291561.12182799715</v>
      </c>
      <c r="N32" s="167">
        <v>291429.4556544685</v>
      </c>
      <c r="O32" s="167">
        <v>291297.78948093986</v>
      </c>
      <c r="P32" s="167">
        <v>291166.12330741121</v>
      </c>
      <c r="Q32" s="167">
        <v>291034.45713388256</v>
      </c>
      <c r="R32" s="95"/>
      <c r="S32" s="167">
        <v>291824.45417505444</v>
      </c>
      <c r="T32" s="142">
        <v>1.7500000000000002E-2</v>
      </c>
      <c r="U32" s="107">
        <v>5107</v>
      </c>
      <c r="V32" s="147"/>
    </row>
    <row r="33" spans="1:22" x14ac:dyDescent="0.3">
      <c r="A33" s="111" t="s">
        <v>479</v>
      </c>
      <c r="B33" s="111">
        <v>1311052</v>
      </c>
      <c r="C33" s="111">
        <v>5501033</v>
      </c>
      <c r="D33" s="95" t="s">
        <v>270</v>
      </c>
      <c r="E33" s="107">
        <v>6061839.6699510021</v>
      </c>
      <c r="F33" s="167">
        <v>6059112.0560871987</v>
      </c>
      <c r="G33" s="167">
        <v>6056384.4422233952</v>
      </c>
      <c r="H33" s="167">
        <v>6053656.8283595918</v>
      </c>
      <c r="I33" s="167">
        <v>6050929.2144957883</v>
      </c>
      <c r="J33" s="167">
        <v>6054701.6006319849</v>
      </c>
      <c r="K33" s="167">
        <v>6058473.9867681814</v>
      </c>
      <c r="L33" s="167">
        <v>6055746.372904378</v>
      </c>
      <c r="M33" s="167">
        <v>6053018.7590405745</v>
      </c>
      <c r="N33" s="167">
        <v>6050291.1451767711</v>
      </c>
      <c r="O33" s="167">
        <v>6047563.5313129677</v>
      </c>
      <c r="P33" s="167">
        <v>6044835.9174491642</v>
      </c>
      <c r="Q33" s="167">
        <v>6042108.3035853608</v>
      </c>
      <c r="R33" s="95"/>
      <c r="S33" s="167">
        <v>6052973.9867681805</v>
      </c>
      <c r="T33" s="142">
        <v>2.0500000000000001E-2</v>
      </c>
      <c r="U33" s="107">
        <v>124086</v>
      </c>
      <c r="V33" s="147"/>
    </row>
    <row r="34" spans="1:22" x14ac:dyDescent="0.3">
      <c r="A34" s="111" t="s">
        <v>480</v>
      </c>
      <c r="B34" s="111">
        <v>1311052</v>
      </c>
      <c r="C34" s="111">
        <v>5501033</v>
      </c>
      <c r="D34" s="95" t="s">
        <v>481</v>
      </c>
      <c r="E34" s="107">
        <v>4583047.8041172856</v>
      </c>
      <c r="F34" s="167">
        <v>4580985.5943906</v>
      </c>
      <c r="G34" s="167">
        <v>4578923.3846639143</v>
      </c>
      <c r="H34" s="167">
        <v>4576861.1749372287</v>
      </c>
      <c r="I34" s="167">
        <v>4574798.965210543</v>
      </c>
      <c r="J34" s="167">
        <v>4572736.7554838574</v>
      </c>
      <c r="K34" s="167">
        <v>4591174.5457571717</v>
      </c>
      <c r="L34" s="167">
        <v>4589112.336030486</v>
      </c>
      <c r="M34" s="167">
        <v>4607550.1263038004</v>
      </c>
      <c r="N34" s="167">
        <v>4605487.9165771147</v>
      </c>
      <c r="O34" s="167">
        <v>4603425.7068504291</v>
      </c>
      <c r="P34" s="167">
        <v>4601363.4971237434</v>
      </c>
      <c r="Q34" s="167">
        <v>4599301.2873970577</v>
      </c>
      <c r="R34" s="95"/>
      <c r="S34" s="167">
        <v>4589597.6226802487</v>
      </c>
      <c r="T34" s="142">
        <v>1.9599999999999999E-2</v>
      </c>
      <c r="U34" s="107">
        <v>89956</v>
      </c>
      <c r="V34" s="147"/>
    </row>
    <row r="35" spans="1:22" x14ac:dyDescent="0.3">
      <c r="A35" s="111" t="s">
        <v>482</v>
      </c>
      <c r="B35" s="111">
        <v>1311052</v>
      </c>
      <c r="C35" s="111">
        <v>5501033</v>
      </c>
      <c r="D35" s="95" t="s">
        <v>483</v>
      </c>
      <c r="E35" s="107">
        <v>1168554.5093639761</v>
      </c>
      <c r="F35" s="167">
        <v>1168028.7010856492</v>
      </c>
      <c r="G35" s="167">
        <v>1167502.8928073223</v>
      </c>
      <c r="H35" s="167">
        <v>1166977.0845289954</v>
      </c>
      <c r="I35" s="167">
        <v>1178251.2762506686</v>
      </c>
      <c r="J35" s="167">
        <v>1177725.4679723417</v>
      </c>
      <c r="K35" s="167">
        <v>1177199.6596940148</v>
      </c>
      <c r="L35" s="167">
        <v>1176673.8514156879</v>
      </c>
      <c r="M35" s="167">
        <v>1176148.0431373611</v>
      </c>
      <c r="N35" s="167">
        <v>1175622.2348590342</v>
      </c>
      <c r="O35" s="167">
        <v>1175096.4265807073</v>
      </c>
      <c r="P35" s="167">
        <v>1174570.6183023804</v>
      </c>
      <c r="Q35" s="167">
        <v>1174044.8100240536</v>
      </c>
      <c r="R35" s="95"/>
      <c r="S35" s="167">
        <v>1173568.8904632456</v>
      </c>
      <c r="T35" s="142">
        <v>2.5899999999999999E-2</v>
      </c>
      <c r="U35" s="107">
        <v>30395</v>
      </c>
      <c r="V35" s="147"/>
    </row>
    <row r="36" spans="1:22" x14ac:dyDescent="0.3">
      <c r="A36" s="111">
        <v>356</v>
      </c>
      <c r="B36" s="111">
        <v>1311052</v>
      </c>
      <c r="C36" s="111">
        <v>5501033</v>
      </c>
      <c r="D36" s="95" t="s">
        <v>281</v>
      </c>
      <c r="E36" s="107">
        <v>6496840.5954392282</v>
      </c>
      <c r="F36" s="167">
        <v>6493917.2465148279</v>
      </c>
      <c r="G36" s="167">
        <v>6490993.8975904277</v>
      </c>
      <c r="H36" s="167">
        <v>6488070.5486660274</v>
      </c>
      <c r="I36" s="167">
        <v>6485147.1997416271</v>
      </c>
      <c r="J36" s="167">
        <v>6494223.8508172268</v>
      </c>
      <c r="K36" s="167">
        <v>6491300.5018928265</v>
      </c>
      <c r="L36" s="167">
        <v>6488377.1529684262</v>
      </c>
      <c r="M36" s="167">
        <v>6497453.804044026</v>
      </c>
      <c r="N36" s="167">
        <v>6494530.4551196257</v>
      </c>
      <c r="O36" s="167">
        <v>6491607.1061952254</v>
      </c>
      <c r="P36" s="167">
        <v>6488683.7572708251</v>
      </c>
      <c r="Q36" s="167">
        <v>6485760.4083464248</v>
      </c>
      <c r="R36" s="95"/>
      <c r="S36" s="167">
        <v>6491300.5018928265</v>
      </c>
      <c r="T36" s="142">
        <v>3.1899999999999998E-2</v>
      </c>
      <c r="U36" s="107">
        <v>207072</v>
      </c>
      <c r="V36" s="147"/>
    </row>
    <row r="37" spans="1:22" x14ac:dyDescent="0.3">
      <c r="A37" s="111" t="s">
        <v>484</v>
      </c>
      <c r="B37" s="111">
        <v>1311052</v>
      </c>
      <c r="C37" s="111">
        <v>5501033</v>
      </c>
      <c r="D37" s="95" t="s">
        <v>485</v>
      </c>
      <c r="E37" s="108">
        <v>109163.57297409023</v>
      </c>
      <c r="F37" s="169">
        <v>109114.45321981127</v>
      </c>
      <c r="G37" s="169">
        <v>109065.33346553231</v>
      </c>
      <c r="H37" s="169">
        <v>109016.21371125335</v>
      </c>
      <c r="I37" s="169">
        <v>108967.09395697439</v>
      </c>
      <c r="J37" s="169">
        <v>108917.97420269543</v>
      </c>
      <c r="K37" s="169">
        <v>108868.85444841647</v>
      </c>
      <c r="L37" s="169">
        <v>108819.73469413751</v>
      </c>
      <c r="M37" s="169">
        <v>108770.61493985855</v>
      </c>
      <c r="N37" s="169">
        <v>108721.4951855796</v>
      </c>
      <c r="O37" s="169">
        <v>108672.37543130064</v>
      </c>
      <c r="P37" s="169">
        <v>108623.25567702168</v>
      </c>
      <c r="Q37" s="169">
        <v>108574.13592274272</v>
      </c>
      <c r="R37" s="95"/>
      <c r="S37" s="167">
        <v>108868.85444841647</v>
      </c>
      <c r="T37" s="142">
        <v>5.1000000000000004E-3</v>
      </c>
      <c r="U37" s="108">
        <v>555</v>
      </c>
      <c r="V37" s="147"/>
    </row>
    <row r="38" spans="1:22" x14ac:dyDescent="0.3">
      <c r="A38" s="109"/>
      <c r="B38" s="109"/>
      <c r="C38" s="109"/>
      <c r="D38" s="95"/>
      <c r="E38" s="112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112"/>
      <c r="V38" s="147"/>
    </row>
    <row r="39" spans="1:22" x14ac:dyDescent="0.3">
      <c r="A39" s="109"/>
      <c r="B39" s="109"/>
      <c r="C39" s="109"/>
      <c r="D39" s="95" t="s">
        <v>455</v>
      </c>
      <c r="E39" s="108">
        <v>30508233.316923492</v>
      </c>
      <c r="F39" s="108">
        <v>30494505.688895341</v>
      </c>
      <c r="G39" s="108">
        <v>30480778.060867187</v>
      </c>
      <c r="H39" s="108">
        <v>30467050.432839032</v>
      </c>
      <c r="I39" s="108">
        <v>30465122.804810878</v>
      </c>
      <c r="J39" s="108">
        <v>30469895.176782731</v>
      </c>
      <c r="K39" s="108">
        <v>30483167.548754577</v>
      </c>
      <c r="L39" s="108">
        <v>30709439.920726426</v>
      </c>
      <c r="M39" s="108">
        <v>30728212.292698268</v>
      </c>
      <c r="N39" s="108">
        <v>30714484.664670121</v>
      </c>
      <c r="O39" s="108">
        <v>30700757.036641967</v>
      </c>
      <c r="P39" s="108">
        <v>30687029.408613812</v>
      </c>
      <c r="Q39" s="108">
        <v>30673301.780585662</v>
      </c>
      <c r="R39" s="95"/>
      <c r="S39" s="108">
        <v>30583229.087216113</v>
      </c>
      <c r="T39" s="95"/>
      <c r="U39" s="108">
        <v>788193</v>
      </c>
      <c r="V39" s="147"/>
    </row>
    <row r="40" spans="1:22" x14ac:dyDescent="0.3">
      <c r="A40" s="109"/>
      <c r="B40" s="109"/>
      <c r="C40" s="109"/>
      <c r="D40" s="95"/>
      <c r="E40" s="107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112"/>
      <c r="V40" s="147"/>
    </row>
    <row r="41" spans="1:22" x14ac:dyDescent="0.3">
      <c r="A41" s="109"/>
      <c r="B41" s="109"/>
      <c r="C41" s="109"/>
      <c r="D41" s="98" t="s">
        <v>486</v>
      </c>
      <c r="E41" s="107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118" t="s">
        <v>449</v>
      </c>
      <c r="V41" s="147"/>
    </row>
    <row r="42" spans="1:22" x14ac:dyDescent="0.3">
      <c r="A42" s="105" t="s">
        <v>487</v>
      </c>
      <c r="B42" s="105">
        <v>1311030</v>
      </c>
      <c r="C42" s="105" t="s">
        <v>451</v>
      </c>
      <c r="D42" s="106" t="s">
        <v>488</v>
      </c>
      <c r="E42" s="107">
        <v>422610.5242543096</v>
      </c>
      <c r="F42" s="167">
        <v>422420.36443687673</v>
      </c>
      <c r="G42" s="167">
        <v>422230.20461944386</v>
      </c>
      <c r="H42" s="167">
        <v>422040.04480201099</v>
      </c>
      <c r="I42" s="167">
        <v>421849.88498457812</v>
      </c>
      <c r="J42" s="167">
        <v>421659.72516714525</v>
      </c>
      <c r="K42" s="167">
        <v>421469.56534971239</v>
      </c>
      <c r="L42" s="167">
        <v>421279.40553227952</v>
      </c>
      <c r="M42" s="167">
        <v>421089.24571484665</v>
      </c>
      <c r="N42" s="167">
        <v>420899.08589741378</v>
      </c>
      <c r="O42" s="167">
        <v>420708.92607998091</v>
      </c>
      <c r="P42" s="167">
        <v>420518.76626254804</v>
      </c>
      <c r="Q42" s="167">
        <v>420328.60644511518</v>
      </c>
      <c r="R42" s="95"/>
      <c r="S42" s="167">
        <v>421469.56534971239</v>
      </c>
      <c r="T42" s="142">
        <v>0</v>
      </c>
      <c r="U42" s="107">
        <v>0</v>
      </c>
      <c r="V42" s="147"/>
    </row>
    <row r="43" spans="1:22" x14ac:dyDescent="0.3">
      <c r="A43" s="105" t="s">
        <v>489</v>
      </c>
      <c r="B43" s="105">
        <v>1311030</v>
      </c>
      <c r="C43" s="105" t="s">
        <v>451</v>
      </c>
      <c r="D43" s="106" t="s">
        <v>490</v>
      </c>
      <c r="E43" s="107">
        <v>1699024.7474123393</v>
      </c>
      <c r="F43" s="167">
        <v>1844060.2462529042</v>
      </c>
      <c r="G43" s="167">
        <v>1989095.745093469</v>
      </c>
      <c r="H43" s="167">
        <v>2134131.2439340339</v>
      </c>
      <c r="I43" s="167">
        <v>2279166.7427745988</v>
      </c>
      <c r="J43" s="167">
        <v>2424202.2416151636</v>
      </c>
      <c r="K43" s="167">
        <v>2569237.7404557285</v>
      </c>
      <c r="L43" s="167">
        <v>2714273.2392962934</v>
      </c>
      <c r="M43" s="167">
        <v>2859308.7381368582</v>
      </c>
      <c r="N43" s="167">
        <v>3004344.2369774231</v>
      </c>
      <c r="O43" s="167">
        <v>3149379.7358179879</v>
      </c>
      <c r="P43" s="167">
        <v>3294415.2346585528</v>
      </c>
      <c r="Q43" s="167">
        <v>3440150.7334991177</v>
      </c>
      <c r="R43" s="95"/>
      <c r="S43" s="167">
        <v>2569291.586609575</v>
      </c>
      <c r="T43" s="142">
        <v>0</v>
      </c>
      <c r="U43" s="107">
        <v>0</v>
      </c>
      <c r="V43" s="147"/>
    </row>
    <row r="44" spans="1:22" x14ac:dyDescent="0.3">
      <c r="A44" s="105" t="s">
        <v>491</v>
      </c>
      <c r="B44" s="105">
        <v>1311060</v>
      </c>
      <c r="C44" s="105">
        <v>5501040</v>
      </c>
      <c r="D44" s="106" t="s">
        <v>492</v>
      </c>
      <c r="E44" s="107">
        <v>353360.08460570668</v>
      </c>
      <c r="F44" s="167">
        <v>353201.08504152106</v>
      </c>
      <c r="G44" s="167">
        <v>353042.08547733544</v>
      </c>
      <c r="H44" s="167">
        <v>352883.08591314981</v>
      </c>
      <c r="I44" s="167">
        <v>352724.08634896419</v>
      </c>
      <c r="J44" s="167">
        <v>352565.08678477857</v>
      </c>
      <c r="K44" s="167">
        <v>352406.08722059295</v>
      </c>
      <c r="L44" s="167">
        <v>352247.08765640733</v>
      </c>
      <c r="M44" s="167">
        <v>352088.0880922217</v>
      </c>
      <c r="N44" s="167">
        <v>351929.08852803608</v>
      </c>
      <c r="O44" s="167">
        <v>351770.08896385046</v>
      </c>
      <c r="P44" s="167">
        <v>351611.08939966484</v>
      </c>
      <c r="Q44" s="167">
        <v>351452.08983547922</v>
      </c>
      <c r="R44" s="95"/>
      <c r="S44" s="167">
        <v>352406.08722059295</v>
      </c>
      <c r="T44" s="142">
        <v>2.3E-2</v>
      </c>
      <c r="U44" s="107">
        <v>8105</v>
      </c>
      <c r="V44" s="147"/>
    </row>
    <row r="45" spans="1:22" x14ac:dyDescent="0.3">
      <c r="A45" s="105" t="s">
        <v>493</v>
      </c>
      <c r="B45" s="105">
        <v>1311060</v>
      </c>
      <c r="C45" s="105">
        <v>5501040</v>
      </c>
      <c r="D45" s="106" t="s">
        <v>293</v>
      </c>
      <c r="E45" s="107">
        <v>50541776.757751346</v>
      </c>
      <c r="F45" s="167">
        <v>50519034.742374547</v>
      </c>
      <c r="G45" s="167">
        <v>50496292.726997748</v>
      </c>
      <c r="H45" s="167">
        <v>50473550.711620949</v>
      </c>
      <c r="I45" s="167">
        <v>50450808.69624415</v>
      </c>
      <c r="J45" s="167">
        <v>50979466.680867352</v>
      </c>
      <c r="K45" s="167">
        <v>51508124.665490553</v>
      </c>
      <c r="L45" s="167">
        <v>52036882.650113754</v>
      </c>
      <c r="M45" s="167">
        <v>52014140.634736955</v>
      </c>
      <c r="N45" s="167">
        <v>51991398.619360156</v>
      </c>
      <c r="O45" s="167">
        <v>51968656.603983358</v>
      </c>
      <c r="P45" s="167">
        <v>51945914.588606559</v>
      </c>
      <c r="Q45" s="167">
        <v>51923172.57322976</v>
      </c>
      <c r="R45" s="95"/>
      <c r="S45" s="167">
        <v>51296093.896259792</v>
      </c>
      <c r="T45" s="142">
        <v>2.8799999999999999E-2</v>
      </c>
      <c r="U45" s="107">
        <v>1477328</v>
      </c>
      <c r="V45" s="147"/>
    </row>
    <row r="46" spans="1:22" x14ac:dyDescent="0.3">
      <c r="A46" s="105" t="s">
        <v>494</v>
      </c>
      <c r="B46" s="105">
        <v>1311060</v>
      </c>
      <c r="C46" s="105">
        <v>5501040</v>
      </c>
      <c r="D46" s="106" t="s">
        <v>495</v>
      </c>
      <c r="E46" s="107">
        <v>9142514.4187157117</v>
      </c>
      <c r="F46" s="167">
        <v>9138400.6099651884</v>
      </c>
      <c r="G46" s="167">
        <v>9134286.8012146652</v>
      </c>
      <c r="H46" s="167">
        <v>9130172.9924641419</v>
      </c>
      <c r="I46" s="167">
        <v>9126059.1837136187</v>
      </c>
      <c r="J46" s="167">
        <v>9139445.3749630954</v>
      </c>
      <c r="K46" s="167">
        <v>9135331.5662125722</v>
      </c>
      <c r="L46" s="167">
        <v>9131217.7574620489</v>
      </c>
      <c r="M46" s="167">
        <v>9127103.9487115256</v>
      </c>
      <c r="N46" s="167">
        <v>9140490.1399610024</v>
      </c>
      <c r="O46" s="167">
        <v>9136376.3312104791</v>
      </c>
      <c r="P46" s="167">
        <v>9132262.5224599559</v>
      </c>
      <c r="Q46" s="167">
        <v>9128148.7137094326</v>
      </c>
      <c r="R46" s="95"/>
      <c r="S46" s="167">
        <v>9133985.4123664182</v>
      </c>
      <c r="T46" s="142">
        <v>3.2000000000000001E-2</v>
      </c>
      <c r="U46" s="107">
        <v>292288</v>
      </c>
      <c r="V46" s="147"/>
    </row>
    <row r="47" spans="1:22" x14ac:dyDescent="0.3">
      <c r="A47" s="105" t="s">
        <v>496</v>
      </c>
      <c r="B47" s="105">
        <v>1311060</v>
      </c>
      <c r="C47" s="105">
        <v>5501040</v>
      </c>
      <c r="D47" s="106" t="s">
        <v>497</v>
      </c>
      <c r="E47" s="107">
        <v>5188774.1870760908</v>
      </c>
      <c r="F47" s="167">
        <v>5190639.4218596881</v>
      </c>
      <c r="G47" s="167">
        <v>5192504.6566432854</v>
      </c>
      <c r="H47" s="167">
        <v>5194369.8914268827</v>
      </c>
      <c r="I47" s="167">
        <v>5196235.12621048</v>
      </c>
      <c r="J47" s="167">
        <v>5198100.3609940773</v>
      </c>
      <c r="K47" s="167">
        <v>5199965.5957776746</v>
      </c>
      <c r="L47" s="167">
        <v>5201830.8305612719</v>
      </c>
      <c r="M47" s="167">
        <v>5203696.0653448692</v>
      </c>
      <c r="N47" s="167">
        <v>5205561.3001284664</v>
      </c>
      <c r="O47" s="167">
        <v>5207426.5349120637</v>
      </c>
      <c r="P47" s="167">
        <v>5209291.769695661</v>
      </c>
      <c r="Q47" s="167">
        <v>5210757.0044792583</v>
      </c>
      <c r="R47" s="95"/>
      <c r="S47" s="167">
        <v>5199934.8265469056</v>
      </c>
      <c r="T47" s="142">
        <v>3.5000000000000003E-2</v>
      </c>
      <c r="U47" s="107">
        <v>181998</v>
      </c>
      <c r="V47" s="147"/>
    </row>
    <row r="48" spans="1:22" x14ac:dyDescent="0.3">
      <c r="A48" s="105" t="s">
        <v>498</v>
      </c>
      <c r="B48" s="105">
        <v>1311060</v>
      </c>
      <c r="C48" s="105">
        <v>5501040</v>
      </c>
      <c r="D48" s="106" t="s">
        <v>499</v>
      </c>
      <c r="E48" s="108">
        <v>398084.60268361773</v>
      </c>
      <c r="F48" s="169">
        <v>397905.47866510751</v>
      </c>
      <c r="G48" s="169">
        <v>397726.35464659729</v>
      </c>
      <c r="H48" s="169">
        <v>397547.23062808707</v>
      </c>
      <c r="I48" s="169">
        <v>397368.10660957685</v>
      </c>
      <c r="J48" s="169">
        <v>397188.98259106663</v>
      </c>
      <c r="K48" s="169">
        <v>397009.8585725564</v>
      </c>
      <c r="L48" s="169">
        <v>396830.73455404618</v>
      </c>
      <c r="M48" s="169">
        <v>401251.61053553596</v>
      </c>
      <c r="N48" s="169">
        <v>401072.48651702574</v>
      </c>
      <c r="O48" s="169">
        <v>405493.36249851552</v>
      </c>
      <c r="P48" s="169">
        <v>405314.2384800053</v>
      </c>
      <c r="Q48" s="169">
        <v>405135.11446149508</v>
      </c>
      <c r="R48" s="95"/>
      <c r="S48" s="167">
        <v>399840.62780332565</v>
      </c>
      <c r="T48" s="142">
        <v>2.1899999999999999E-2</v>
      </c>
      <c r="U48" s="108">
        <v>8757</v>
      </c>
      <c r="V48" s="147"/>
    </row>
    <row r="49" spans="1:22" x14ac:dyDescent="0.3">
      <c r="A49" s="109"/>
      <c r="B49" s="109"/>
      <c r="C49" s="109"/>
      <c r="D49" s="95"/>
      <c r="E49" s="112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112"/>
      <c r="V49" s="147"/>
    </row>
    <row r="50" spans="1:22" x14ac:dyDescent="0.3">
      <c r="A50" s="109"/>
      <c r="B50" s="109"/>
      <c r="C50" s="109"/>
      <c r="D50" s="106" t="s">
        <v>455</v>
      </c>
      <c r="E50" s="108">
        <v>67746145.322499126</v>
      </c>
      <c r="F50" s="108">
        <v>67865661.948595837</v>
      </c>
      <c r="G50" s="108">
        <v>67985178.574692532</v>
      </c>
      <c r="H50" s="108">
        <v>68104695.200789258</v>
      </c>
      <c r="I50" s="108">
        <v>68224211.826885968</v>
      </c>
      <c r="J50" s="108">
        <v>68912628.452982679</v>
      </c>
      <c r="K50" s="108">
        <v>69583545.07907939</v>
      </c>
      <c r="L50" s="108">
        <v>70254561.7051761</v>
      </c>
      <c r="M50" s="108">
        <v>70378678.331272811</v>
      </c>
      <c r="N50" s="108">
        <v>70515694.957369521</v>
      </c>
      <c r="O50" s="108">
        <v>70639811.583466232</v>
      </c>
      <c r="P50" s="108">
        <v>70759328.209562942</v>
      </c>
      <c r="Q50" s="108">
        <v>70879144.835659653</v>
      </c>
      <c r="R50" s="95"/>
      <c r="S50" s="108">
        <v>69373022.002156317</v>
      </c>
      <c r="T50" s="95"/>
      <c r="U50" s="108">
        <v>1968476</v>
      </c>
      <c r="V50" s="147"/>
    </row>
    <row r="51" spans="1:22" x14ac:dyDescent="0.3">
      <c r="A51" s="95"/>
      <c r="B51" s="95"/>
      <c r="C51" s="95"/>
      <c r="D51" s="95"/>
      <c r="E51" s="107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118"/>
      <c r="V51" s="147"/>
    </row>
    <row r="52" spans="1:22" x14ac:dyDescent="0.3">
      <c r="A52" s="109"/>
      <c r="B52" s="109"/>
      <c r="C52" s="109"/>
      <c r="D52" s="98" t="s">
        <v>500</v>
      </c>
      <c r="E52" s="107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118" t="s">
        <v>449</v>
      </c>
      <c r="V52" s="147"/>
    </row>
    <row r="53" spans="1:22" x14ac:dyDescent="0.3">
      <c r="A53" s="105" t="s">
        <v>501</v>
      </c>
      <c r="B53" s="105">
        <v>1311030</v>
      </c>
      <c r="C53" s="105" t="s">
        <v>451</v>
      </c>
      <c r="D53" s="106" t="s">
        <v>502</v>
      </c>
      <c r="E53" s="107">
        <v>291714.36290218483</v>
      </c>
      <c r="F53" s="167">
        <v>292083.10173662368</v>
      </c>
      <c r="G53" s="167">
        <v>292451.84057106252</v>
      </c>
      <c r="H53" s="167">
        <v>292820.57940550137</v>
      </c>
      <c r="I53" s="167">
        <v>293189.31823994021</v>
      </c>
      <c r="J53" s="167">
        <v>293558.05707437906</v>
      </c>
      <c r="K53" s="167">
        <v>293926.79590881791</v>
      </c>
      <c r="L53" s="167">
        <v>294295.53474325675</v>
      </c>
      <c r="M53" s="167">
        <v>294664.2735776956</v>
      </c>
      <c r="N53" s="167">
        <v>295033.01241213444</v>
      </c>
      <c r="O53" s="167">
        <v>295401.75124657329</v>
      </c>
      <c r="P53" s="167">
        <v>295770.49008101213</v>
      </c>
      <c r="Q53" s="167">
        <v>296139.22891545098</v>
      </c>
      <c r="R53" s="95"/>
      <c r="S53" s="167">
        <v>293926.79590881796</v>
      </c>
      <c r="T53" s="142">
        <v>0</v>
      </c>
      <c r="U53" s="107">
        <v>0</v>
      </c>
      <c r="V53" s="147"/>
    </row>
    <row r="54" spans="1:22" x14ac:dyDescent="0.3">
      <c r="A54" s="105">
        <v>37401</v>
      </c>
      <c r="B54" s="105">
        <v>1311030</v>
      </c>
      <c r="C54" s="105" t="s">
        <v>451</v>
      </c>
      <c r="D54" s="106" t="s">
        <v>503</v>
      </c>
      <c r="E54" s="107">
        <v>71175.305783470991</v>
      </c>
      <c r="F54" s="167">
        <v>71143.279408412316</v>
      </c>
      <c r="G54" s="167">
        <v>71111.253033353642</v>
      </c>
      <c r="H54" s="167">
        <v>71079.226658294967</v>
      </c>
      <c r="I54" s="167">
        <v>71047.200283236292</v>
      </c>
      <c r="J54" s="167">
        <v>71015.173908177618</v>
      </c>
      <c r="K54" s="167">
        <v>70983.147533118943</v>
      </c>
      <c r="L54" s="167">
        <v>70951.121158060268</v>
      </c>
      <c r="M54" s="167">
        <v>70919.094783001594</v>
      </c>
      <c r="N54" s="167">
        <v>70887.068407942919</v>
      </c>
      <c r="O54" s="167">
        <v>70855.042032884245</v>
      </c>
      <c r="P54" s="167">
        <v>70823.01565782557</v>
      </c>
      <c r="Q54" s="167">
        <v>70790.989282766895</v>
      </c>
      <c r="R54" s="95"/>
      <c r="S54" s="167">
        <v>70983.147533118943</v>
      </c>
      <c r="T54" s="142">
        <v>0</v>
      </c>
      <c r="U54" s="107">
        <v>0</v>
      </c>
      <c r="V54" s="147"/>
    </row>
    <row r="55" spans="1:22" x14ac:dyDescent="0.3">
      <c r="A55" s="105" t="s">
        <v>504</v>
      </c>
      <c r="B55" s="105">
        <v>1311070</v>
      </c>
      <c r="C55" s="105">
        <v>5501050</v>
      </c>
      <c r="D55" s="106" t="s">
        <v>492</v>
      </c>
      <c r="E55" s="107">
        <v>117724.97302321078</v>
      </c>
      <c r="F55" s="167">
        <v>117672.00094113383</v>
      </c>
      <c r="G55" s="167">
        <v>117619.02885905687</v>
      </c>
      <c r="H55" s="167">
        <v>117566.05677697991</v>
      </c>
      <c r="I55" s="167">
        <v>117513.08469490295</v>
      </c>
      <c r="J55" s="167">
        <v>117460.11261282599</v>
      </c>
      <c r="K55" s="167">
        <v>117407.14053074903</v>
      </c>
      <c r="L55" s="167">
        <v>117354.16844867208</v>
      </c>
      <c r="M55" s="167">
        <v>117301.19636659512</v>
      </c>
      <c r="N55" s="167">
        <v>117248.22428451816</v>
      </c>
      <c r="O55" s="167">
        <v>117195.2522024412</v>
      </c>
      <c r="P55" s="167">
        <v>117142.28012036424</v>
      </c>
      <c r="Q55" s="167">
        <v>117089.30803828729</v>
      </c>
      <c r="R55" s="95"/>
      <c r="S55" s="167">
        <v>117407.14053074905</v>
      </c>
      <c r="T55" s="142">
        <v>2.3400000000000001E-2</v>
      </c>
      <c r="U55" s="107">
        <v>2747</v>
      </c>
      <c r="V55" s="147"/>
    </row>
    <row r="56" spans="1:22" x14ac:dyDescent="0.3">
      <c r="A56" s="105" t="s">
        <v>505</v>
      </c>
      <c r="B56" s="105">
        <v>1311070</v>
      </c>
      <c r="C56" s="105">
        <v>5501050</v>
      </c>
      <c r="D56" s="106" t="s">
        <v>321</v>
      </c>
      <c r="E56" s="107">
        <v>102769290.55668426</v>
      </c>
      <c r="F56" s="167">
        <v>102773048.00376996</v>
      </c>
      <c r="G56" s="167">
        <v>102776805.45085567</v>
      </c>
      <c r="H56" s="167">
        <v>102890562.89794138</v>
      </c>
      <c r="I56" s="167">
        <v>103504320.34502709</v>
      </c>
      <c r="J56" s="167">
        <v>104218077.7921128</v>
      </c>
      <c r="K56" s="167">
        <v>104931835.23919851</v>
      </c>
      <c r="L56" s="167">
        <v>105645592.68628421</v>
      </c>
      <c r="M56" s="167">
        <v>106359350.13336992</v>
      </c>
      <c r="N56" s="167">
        <v>107073107.58045563</v>
      </c>
      <c r="O56" s="167">
        <v>107786865.02754134</v>
      </c>
      <c r="P56" s="167">
        <v>108300622.47462705</v>
      </c>
      <c r="Q56" s="167">
        <v>108614379.92171276</v>
      </c>
      <c r="R56" s="95"/>
      <c r="S56" s="167">
        <v>105203373.70073697</v>
      </c>
      <c r="T56" s="142">
        <v>3.0499999999999999E-2</v>
      </c>
      <c r="U56" s="107">
        <v>3208703</v>
      </c>
      <c r="V56" s="147"/>
    </row>
    <row r="57" spans="1:22" x14ac:dyDescent="0.3">
      <c r="A57" s="105" t="s">
        <v>506</v>
      </c>
      <c r="B57" s="105">
        <v>1311070</v>
      </c>
      <c r="C57" s="105">
        <v>5501050</v>
      </c>
      <c r="D57" s="106" t="s">
        <v>507</v>
      </c>
      <c r="E57" s="107">
        <v>2253714.4654904804</v>
      </c>
      <c r="F57" s="167">
        <v>2258500.3735388904</v>
      </c>
      <c r="G57" s="167">
        <v>2263286.2815873004</v>
      </c>
      <c r="H57" s="167">
        <v>2268072.1896357103</v>
      </c>
      <c r="I57" s="167">
        <v>2272858.0976841203</v>
      </c>
      <c r="J57" s="167">
        <v>2277644.0057325303</v>
      </c>
      <c r="K57" s="167">
        <v>2282429.9137809402</v>
      </c>
      <c r="L57" s="167">
        <v>2287215.8218293502</v>
      </c>
      <c r="M57" s="167">
        <v>2292001.7298777602</v>
      </c>
      <c r="N57" s="167">
        <v>2296787.6379261701</v>
      </c>
      <c r="O57" s="167">
        <v>2301573.5459745801</v>
      </c>
      <c r="P57" s="167">
        <v>2306359.4540229901</v>
      </c>
      <c r="Q57" s="167">
        <v>2311545.3620714</v>
      </c>
      <c r="R57" s="95"/>
      <c r="S57" s="167">
        <v>2282460.6830117088</v>
      </c>
      <c r="T57" s="142">
        <v>3.1800000000000002E-2</v>
      </c>
      <c r="U57" s="107">
        <v>72582</v>
      </c>
      <c r="V57" s="147"/>
    </row>
    <row r="58" spans="1:22" x14ac:dyDescent="0.3">
      <c r="A58" s="105" t="s">
        <v>508</v>
      </c>
      <c r="B58" s="105">
        <v>1311070</v>
      </c>
      <c r="C58" s="105">
        <v>5501050</v>
      </c>
      <c r="D58" s="106" t="s">
        <v>509</v>
      </c>
      <c r="E58" s="107">
        <v>953185.16511912039</v>
      </c>
      <c r="F58" s="167">
        <v>955256.26544299757</v>
      </c>
      <c r="G58" s="167">
        <v>957327.36576687475</v>
      </c>
      <c r="H58" s="167">
        <v>959398.46609075193</v>
      </c>
      <c r="I58" s="167">
        <v>961469.56641462911</v>
      </c>
      <c r="J58" s="167">
        <v>963540.66673850629</v>
      </c>
      <c r="K58" s="167">
        <v>965611.76706238347</v>
      </c>
      <c r="L58" s="167">
        <v>967682.86738626065</v>
      </c>
      <c r="M58" s="167">
        <v>969753.96771013783</v>
      </c>
      <c r="N58" s="167">
        <v>971825.06803401501</v>
      </c>
      <c r="O58" s="167">
        <v>973896.16835789219</v>
      </c>
      <c r="P58" s="167">
        <v>975967.26868176938</v>
      </c>
      <c r="Q58" s="167">
        <v>978038.36900564656</v>
      </c>
      <c r="R58" s="95"/>
      <c r="S58" s="167">
        <v>965611.76706238359</v>
      </c>
      <c r="T58" s="142">
        <v>2.1700000000000001E-2</v>
      </c>
      <c r="U58" s="107">
        <v>20954</v>
      </c>
      <c r="V58" s="147"/>
    </row>
    <row r="59" spans="1:22" x14ac:dyDescent="0.3">
      <c r="A59" s="106" t="s">
        <v>510</v>
      </c>
      <c r="B59" s="105">
        <v>1311070</v>
      </c>
      <c r="C59" s="105">
        <v>5501050</v>
      </c>
      <c r="D59" s="106" t="s">
        <v>511</v>
      </c>
      <c r="E59" s="107">
        <v>24190710.021888841</v>
      </c>
      <c r="F59" s="167">
        <v>24224825.056329947</v>
      </c>
      <c r="G59" s="167">
        <v>24258940.090771053</v>
      </c>
      <c r="H59" s="167">
        <v>24338055.125212159</v>
      </c>
      <c r="I59" s="167">
        <v>24507170.159653265</v>
      </c>
      <c r="J59" s="167">
        <v>24676285.194094371</v>
      </c>
      <c r="K59" s="167">
        <v>24845400.228535477</v>
      </c>
      <c r="L59" s="167">
        <v>25014515.262976583</v>
      </c>
      <c r="M59" s="167">
        <v>25183630.297417689</v>
      </c>
      <c r="N59" s="167">
        <v>25262745.331858795</v>
      </c>
      <c r="O59" s="167">
        <v>25341860.366299901</v>
      </c>
      <c r="P59" s="167">
        <v>25420975.400741007</v>
      </c>
      <c r="Q59" s="167">
        <v>25500090.435182113</v>
      </c>
      <c r="R59" s="95"/>
      <c r="S59" s="167">
        <v>24828092.536227781</v>
      </c>
      <c r="T59" s="142">
        <v>3.1E-2</v>
      </c>
      <c r="U59" s="107">
        <v>769671</v>
      </c>
      <c r="V59" s="95"/>
    </row>
    <row r="60" spans="1:22" x14ac:dyDescent="0.3">
      <c r="A60" s="105" t="s">
        <v>512</v>
      </c>
      <c r="B60" s="105">
        <v>1311070</v>
      </c>
      <c r="C60" s="105">
        <v>5501050</v>
      </c>
      <c r="D60" s="106" t="s">
        <v>513</v>
      </c>
      <c r="E60" s="107">
        <v>10667131.526689723</v>
      </c>
      <c r="F60" s="167">
        <v>10762851.694060788</v>
      </c>
      <c r="G60" s="167">
        <v>10812621.861431852</v>
      </c>
      <c r="H60" s="167">
        <v>10847012.028802916</v>
      </c>
      <c r="I60" s="167">
        <v>11189222.196173981</v>
      </c>
      <c r="J60" s="167">
        <v>11239202.363545045</v>
      </c>
      <c r="K60" s="167">
        <v>11290532.53091611</v>
      </c>
      <c r="L60" s="167">
        <v>11318032.698287174</v>
      </c>
      <c r="M60" s="167">
        <v>11340872.865658239</v>
      </c>
      <c r="N60" s="167">
        <v>11366373.033029303</v>
      </c>
      <c r="O60" s="167">
        <v>11403773.200400367</v>
      </c>
      <c r="P60" s="167">
        <v>11422933.367771432</v>
      </c>
      <c r="Q60" s="167">
        <v>11476063.535142496</v>
      </c>
      <c r="R60" s="95"/>
      <c r="S60" s="167">
        <v>11164355.607839186</v>
      </c>
      <c r="T60" s="142">
        <v>2.86E-2</v>
      </c>
      <c r="U60" s="107">
        <v>319301</v>
      </c>
      <c r="V60" s="147"/>
    </row>
    <row r="61" spans="1:22" x14ac:dyDescent="0.3">
      <c r="A61" s="105" t="s">
        <v>514</v>
      </c>
      <c r="B61" s="105">
        <v>1311070</v>
      </c>
      <c r="C61" s="105">
        <v>5501050</v>
      </c>
      <c r="D61" s="106" t="s">
        <v>515</v>
      </c>
      <c r="E61" s="107">
        <v>5664456.1765851807</v>
      </c>
      <c r="F61" s="167">
        <v>5686907.371265444</v>
      </c>
      <c r="G61" s="167">
        <v>5709358.5659457073</v>
      </c>
      <c r="H61" s="167">
        <v>5731809.7606259705</v>
      </c>
      <c r="I61" s="167">
        <v>5754260.9553062338</v>
      </c>
      <c r="J61" s="167">
        <v>5776712.1499864971</v>
      </c>
      <c r="K61" s="167">
        <v>5799163.3446667604</v>
      </c>
      <c r="L61" s="167">
        <v>5821614.5393470237</v>
      </c>
      <c r="M61" s="167">
        <v>5844065.734027287</v>
      </c>
      <c r="N61" s="167">
        <v>5866516.9287075503</v>
      </c>
      <c r="O61" s="167">
        <v>5888968.1233878136</v>
      </c>
      <c r="P61" s="167">
        <v>5911419.3180680769</v>
      </c>
      <c r="Q61" s="167">
        <v>5933870.5127483401</v>
      </c>
      <c r="R61" s="95"/>
      <c r="S61" s="167">
        <v>5799163.3446667604</v>
      </c>
      <c r="T61" s="142">
        <v>0.04</v>
      </c>
      <c r="U61" s="107">
        <v>231967</v>
      </c>
      <c r="V61" s="147"/>
    </row>
    <row r="62" spans="1:22" x14ac:dyDescent="0.3">
      <c r="A62" s="105" t="s">
        <v>516</v>
      </c>
      <c r="B62" s="105">
        <v>1311070</v>
      </c>
      <c r="C62" s="105">
        <v>5501050</v>
      </c>
      <c r="D62" s="106" t="s">
        <v>517</v>
      </c>
      <c r="E62" s="107">
        <v>4581477.9473188771</v>
      </c>
      <c r="F62" s="167">
        <v>4594416.4439723333</v>
      </c>
      <c r="G62" s="167">
        <v>4607354.9406257896</v>
      </c>
      <c r="H62" s="167">
        <v>4620293.4372792458</v>
      </c>
      <c r="I62" s="167">
        <v>4633231.9339327021</v>
      </c>
      <c r="J62" s="167">
        <v>4646170.4305861583</v>
      </c>
      <c r="K62" s="167">
        <v>4659108.9272396145</v>
      </c>
      <c r="L62" s="167">
        <v>4672047.4238930708</v>
      </c>
      <c r="M62" s="167">
        <v>4684985.920546527</v>
      </c>
      <c r="N62" s="167">
        <v>4697924.4171999833</v>
      </c>
      <c r="O62" s="167">
        <v>4710862.9138534395</v>
      </c>
      <c r="P62" s="167">
        <v>4723801.4105068957</v>
      </c>
      <c r="Q62" s="167">
        <v>4736039.907160352</v>
      </c>
      <c r="R62" s="95"/>
      <c r="S62" s="167">
        <v>4659055.0810857676</v>
      </c>
      <c r="T62" s="142">
        <v>3.9600000000000003E-2</v>
      </c>
      <c r="U62" s="107">
        <v>184499</v>
      </c>
      <c r="V62" s="147"/>
    </row>
    <row r="63" spans="1:22" x14ac:dyDescent="0.3">
      <c r="A63" s="105" t="s">
        <v>518</v>
      </c>
      <c r="B63" s="105">
        <v>1311070</v>
      </c>
      <c r="C63" s="105">
        <v>5501050</v>
      </c>
      <c r="D63" s="106" t="s">
        <v>519</v>
      </c>
      <c r="E63" s="108">
        <v>1823386.8938343939</v>
      </c>
      <c r="F63" s="169">
        <v>1826766.4340991499</v>
      </c>
      <c r="G63" s="169">
        <v>1830145.9743639058</v>
      </c>
      <c r="H63" s="169">
        <v>1833525.5146286618</v>
      </c>
      <c r="I63" s="169">
        <v>1836905.0548934177</v>
      </c>
      <c r="J63" s="169">
        <v>1840284.5951581737</v>
      </c>
      <c r="K63" s="169">
        <v>1843664.1354229297</v>
      </c>
      <c r="L63" s="169">
        <v>1847043.6756876856</v>
      </c>
      <c r="M63" s="169">
        <v>1850423.2159524416</v>
      </c>
      <c r="N63" s="169">
        <v>1853802.7562171975</v>
      </c>
      <c r="O63" s="169">
        <v>1857182.2964819535</v>
      </c>
      <c r="P63" s="169">
        <v>1860561.8367467094</v>
      </c>
      <c r="Q63" s="169">
        <v>1863541.3770114654</v>
      </c>
      <c r="R63" s="95"/>
      <c r="S63" s="167">
        <v>1843633.3661921606</v>
      </c>
      <c r="T63" s="142">
        <v>2.64E-2</v>
      </c>
      <c r="U63" s="108">
        <v>48672</v>
      </c>
      <c r="V63" s="147"/>
    </row>
    <row r="64" spans="1:22" x14ac:dyDescent="0.3">
      <c r="A64" s="109"/>
      <c r="B64" s="109"/>
      <c r="C64" s="109"/>
      <c r="D64" s="95"/>
      <c r="E64" s="112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12"/>
      <c r="V64" s="147"/>
    </row>
    <row r="65" spans="1:22" x14ac:dyDescent="0.3">
      <c r="A65" s="109"/>
      <c r="B65" s="109"/>
      <c r="C65" s="109"/>
      <c r="D65" s="106" t="s">
        <v>455</v>
      </c>
      <c r="E65" s="108">
        <v>153383967.39531973</v>
      </c>
      <c r="F65" s="108">
        <v>153563470.02456567</v>
      </c>
      <c r="G65" s="108">
        <v>153697022.65381163</v>
      </c>
      <c r="H65" s="108">
        <v>153970195.28305754</v>
      </c>
      <c r="I65" s="108">
        <v>155141187.91230348</v>
      </c>
      <c r="J65" s="108">
        <v>156119950.54154947</v>
      </c>
      <c r="K65" s="108">
        <v>157100063.17079541</v>
      </c>
      <c r="L65" s="108">
        <v>158056345.80004132</v>
      </c>
      <c r="M65" s="108">
        <v>159007968.42928734</v>
      </c>
      <c r="N65" s="108">
        <v>159872251.05853322</v>
      </c>
      <c r="O65" s="108">
        <v>160748433.68777922</v>
      </c>
      <c r="P65" s="108">
        <v>161406376.31702515</v>
      </c>
      <c r="Q65" s="108">
        <v>161897588.94627109</v>
      </c>
      <c r="R65" s="95"/>
      <c r="S65" s="108">
        <v>157228063.17079541</v>
      </c>
      <c r="T65" s="95"/>
      <c r="U65" s="108">
        <v>4859096</v>
      </c>
      <c r="V65" s="147"/>
    </row>
    <row r="66" spans="1:22" x14ac:dyDescent="0.3">
      <c r="A66" s="95"/>
      <c r="B66" s="95"/>
      <c r="C66" s="95"/>
      <c r="D66" s="95"/>
      <c r="E66" s="107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107"/>
      <c r="V66" s="95"/>
    </row>
    <row r="67" spans="1:22" x14ac:dyDescent="0.3">
      <c r="A67" s="95"/>
      <c r="B67" s="95"/>
      <c r="C67" s="95"/>
      <c r="D67" s="98" t="s">
        <v>520</v>
      </c>
      <c r="E67" s="107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107"/>
      <c r="V67" s="147"/>
    </row>
    <row r="68" spans="1:22" x14ac:dyDescent="0.3">
      <c r="A68" s="105" t="s">
        <v>521</v>
      </c>
      <c r="B68" s="105">
        <v>1331030</v>
      </c>
      <c r="C68" s="105" t="s">
        <v>451</v>
      </c>
      <c r="D68" s="106" t="s">
        <v>488</v>
      </c>
      <c r="E68" s="107">
        <v>992828.25473209389</v>
      </c>
      <c r="F68" s="167">
        <v>992381.51706507721</v>
      </c>
      <c r="G68" s="167">
        <v>991934.77939806052</v>
      </c>
      <c r="H68" s="167">
        <v>991488.04173104384</v>
      </c>
      <c r="I68" s="167">
        <v>991041.30406402715</v>
      </c>
      <c r="J68" s="167">
        <v>990594.56639701047</v>
      </c>
      <c r="K68" s="167">
        <v>990147.82872999378</v>
      </c>
      <c r="L68" s="167">
        <v>989701.0910629771</v>
      </c>
      <c r="M68" s="167">
        <v>989254.35339596041</v>
      </c>
      <c r="N68" s="167">
        <v>988807.61572894373</v>
      </c>
      <c r="O68" s="167">
        <v>988360.87806192704</v>
      </c>
      <c r="P68" s="167">
        <v>987914.14039491036</v>
      </c>
      <c r="Q68" s="167">
        <v>987467.40272789367</v>
      </c>
      <c r="R68" s="95"/>
      <c r="S68" s="167">
        <v>990147.82872999401</v>
      </c>
      <c r="T68" s="142">
        <v>0</v>
      </c>
      <c r="U68" s="107">
        <v>0</v>
      </c>
      <c r="V68" s="147"/>
    </row>
    <row r="69" spans="1:22" x14ac:dyDescent="0.3">
      <c r="A69" s="105" t="s">
        <v>522</v>
      </c>
      <c r="B69" s="105">
        <v>1331090</v>
      </c>
      <c r="C69" s="105">
        <v>5501020</v>
      </c>
      <c r="D69" s="106" t="s">
        <v>471</v>
      </c>
      <c r="E69" s="107">
        <v>6516006.7879717434</v>
      </c>
      <c r="F69" s="167">
        <v>6518074.8149372851</v>
      </c>
      <c r="G69" s="167">
        <v>6520142.8419028269</v>
      </c>
      <c r="H69" s="167">
        <v>6542210.8688683687</v>
      </c>
      <c r="I69" s="167">
        <v>6545278.8958339104</v>
      </c>
      <c r="J69" s="167">
        <v>6564346.9227994522</v>
      </c>
      <c r="K69" s="167">
        <v>6611414.949764994</v>
      </c>
      <c r="L69" s="167">
        <v>6701482.9767305357</v>
      </c>
      <c r="M69" s="167">
        <v>6736551.0036960775</v>
      </c>
      <c r="N69" s="167">
        <v>6791619.0306616193</v>
      </c>
      <c r="O69" s="167">
        <v>6848687.057627161</v>
      </c>
      <c r="P69" s="167">
        <v>6890755.0845927028</v>
      </c>
      <c r="Q69" s="167">
        <v>6890823.1115582446</v>
      </c>
      <c r="R69" s="95"/>
      <c r="S69" s="167">
        <v>6667491.872841916</v>
      </c>
      <c r="T69" s="142">
        <v>0.02</v>
      </c>
      <c r="U69" s="107">
        <v>133350</v>
      </c>
      <c r="V69" s="147"/>
    </row>
    <row r="70" spans="1:22" x14ac:dyDescent="0.3">
      <c r="A70" s="106" t="s">
        <v>523</v>
      </c>
      <c r="B70" s="105">
        <v>1331090</v>
      </c>
      <c r="C70" s="105">
        <v>5501070</v>
      </c>
      <c r="D70" s="110" t="s">
        <v>524</v>
      </c>
      <c r="E70" s="107">
        <v>179410.25015737177</v>
      </c>
      <c r="F70" s="167">
        <v>179329.52187812291</v>
      </c>
      <c r="G70" s="167">
        <v>179248.79359887404</v>
      </c>
      <c r="H70" s="167">
        <v>179168.06531962517</v>
      </c>
      <c r="I70" s="167">
        <v>179087.3370403763</v>
      </c>
      <c r="J70" s="167">
        <v>179006.60876112743</v>
      </c>
      <c r="K70" s="167">
        <v>178925.88048187856</v>
      </c>
      <c r="L70" s="167">
        <v>178845.15220262969</v>
      </c>
      <c r="M70" s="167">
        <v>178764.42392338082</v>
      </c>
      <c r="N70" s="167">
        <v>178683.69564413195</v>
      </c>
      <c r="O70" s="167">
        <v>178602.96736488308</v>
      </c>
      <c r="P70" s="167">
        <v>178522.23908563421</v>
      </c>
      <c r="Q70" s="167">
        <v>178441.51080638534</v>
      </c>
      <c r="R70" s="95"/>
      <c r="S70" s="167">
        <v>178925.88048187856</v>
      </c>
      <c r="T70" s="142">
        <v>0.01</v>
      </c>
      <c r="U70" s="107">
        <v>1789</v>
      </c>
      <c r="V70" s="147"/>
    </row>
    <row r="71" spans="1:22" x14ac:dyDescent="0.3">
      <c r="A71" s="113">
        <v>391</v>
      </c>
      <c r="B71" s="105">
        <v>1331090</v>
      </c>
      <c r="C71" s="105">
        <v>5501070</v>
      </c>
      <c r="D71" s="110" t="s">
        <v>525</v>
      </c>
      <c r="E71" s="107">
        <v>199445.40934399367</v>
      </c>
      <c r="F71" s="167">
        <v>205621.66595036758</v>
      </c>
      <c r="G71" s="167">
        <v>211797.92255674148</v>
      </c>
      <c r="H71" s="167">
        <v>217974.17916311539</v>
      </c>
      <c r="I71" s="167">
        <v>224150.4357694893</v>
      </c>
      <c r="J71" s="167">
        <v>230326.6923758632</v>
      </c>
      <c r="K71" s="167">
        <v>236502.94898223711</v>
      </c>
      <c r="L71" s="167">
        <v>242679.20558861102</v>
      </c>
      <c r="M71" s="167">
        <v>248855.46219498492</v>
      </c>
      <c r="N71" s="167">
        <v>255031.71880135883</v>
      </c>
      <c r="O71" s="167">
        <v>261207.97540773274</v>
      </c>
      <c r="P71" s="167">
        <v>267384.23201410664</v>
      </c>
      <c r="Q71" s="167">
        <v>273568.48862048058</v>
      </c>
      <c r="R71" s="95"/>
      <c r="S71" s="167">
        <v>236503.56436685252</v>
      </c>
      <c r="T71" s="142">
        <v>0.1</v>
      </c>
      <c r="U71" s="107">
        <v>23650</v>
      </c>
      <c r="V71" s="147"/>
    </row>
    <row r="72" spans="1:22" x14ac:dyDescent="0.3">
      <c r="A72" s="113">
        <v>3912</v>
      </c>
      <c r="B72" s="105">
        <v>1331090</v>
      </c>
      <c r="C72" s="105">
        <v>5501070</v>
      </c>
      <c r="D72" s="110" t="s">
        <v>526</v>
      </c>
      <c r="E72" s="107">
        <v>1317115.6897592023</v>
      </c>
      <c r="F72" s="167">
        <v>1391523.0341940231</v>
      </c>
      <c r="G72" s="167">
        <v>1465930.3786288439</v>
      </c>
      <c r="H72" s="167">
        <v>1635337.7230636647</v>
      </c>
      <c r="I72" s="167">
        <v>1974745.0674984856</v>
      </c>
      <c r="J72" s="167">
        <v>2314152.4119333066</v>
      </c>
      <c r="K72" s="167">
        <v>2533559.7563681277</v>
      </c>
      <c r="L72" s="167">
        <v>2694967.1008029487</v>
      </c>
      <c r="M72" s="167">
        <v>2856374.4452377697</v>
      </c>
      <c r="N72" s="167">
        <v>2905781.7896725908</v>
      </c>
      <c r="O72" s="167">
        <v>2905189.1341074118</v>
      </c>
      <c r="P72" s="167">
        <v>2904596.4785422329</v>
      </c>
      <c r="Q72" s="167">
        <v>2904003.8229770539</v>
      </c>
      <c r="R72" s="95"/>
      <c r="S72" s="167">
        <v>2292559.7563681277</v>
      </c>
      <c r="T72" s="142">
        <v>0.1</v>
      </c>
      <c r="U72" s="107">
        <v>229256</v>
      </c>
      <c r="V72" s="147"/>
    </row>
    <row r="73" spans="1:22" x14ac:dyDescent="0.3">
      <c r="A73" s="105" t="s">
        <v>527</v>
      </c>
      <c r="B73" s="105">
        <v>1331090</v>
      </c>
      <c r="C73" s="105">
        <v>5501060</v>
      </c>
      <c r="D73" s="106" t="s">
        <v>528</v>
      </c>
      <c r="E73" s="107">
        <v>6736702.4294108609</v>
      </c>
      <c r="F73" s="167">
        <v>6813371.151128483</v>
      </c>
      <c r="G73" s="167">
        <v>6898539.8728461051</v>
      </c>
      <c r="H73" s="167">
        <v>6923008.5945637273</v>
      </c>
      <c r="I73" s="167">
        <v>6919977.3162813494</v>
      </c>
      <c r="J73" s="167">
        <v>6996846.0379989715</v>
      </c>
      <c r="K73" s="167">
        <v>7110814.7597165937</v>
      </c>
      <c r="L73" s="167">
        <v>7114283.4814342158</v>
      </c>
      <c r="M73" s="167">
        <v>7124652.2031518379</v>
      </c>
      <c r="N73" s="167">
        <v>7121620.9248694601</v>
      </c>
      <c r="O73" s="167">
        <v>7139489.6465870822</v>
      </c>
      <c r="P73" s="167">
        <v>7263258.3683047043</v>
      </c>
      <c r="Q73" s="167">
        <v>7350327.0900223264</v>
      </c>
      <c r="R73" s="95"/>
      <c r="S73" s="167">
        <v>7039453.2212550556</v>
      </c>
      <c r="T73" s="142">
        <v>8.14E-2</v>
      </c>
      <c r="U73" s="107">
        <v>573011</v>
      </c>
      <c r="V73" s="147"/>
    </row>
    <row r="74" spans="1:22" x14ac:dyDescent="0.3">
      <c r="A74" s="105" t="s">
        <v>529</v>
      </c>
      <c r="B74" s="105">
        <v>1331090</v>
      </c>
      <c r="C74" s="105">
        <v>5501070</v>
      </c>
      <c r="D74" s="110" t="s">
        <v>530</v>
      </c>
      <c r="E74" s="107">
        <v>35803.902057197171</v>
      </c>
      <c r="F74" s="167">
        <v>35787.79156517714</v>
      </c>
      <c r="G74" s="167">
        <v>35771.681073157109</v>
      </c>
      <c r="H74" s="167">
        <v>35755.570581137079</v>
      </c>
      <c r="I74" s="167">
        <v>35739.460089117048</v>
      </c>
      <c r="J74" s="167">
        <v>35723.349597097018</v>
      </c>
      <c r="K74" s="167">
        <v>35707.239105076987</v>
      </c>
      <c r="L74" s="167">
        <v>35691.128613056957</v>
      </c>
      <c r="M74" s="167">
        <v>35675.018121036926</v>
      </c>
      <c r="N74" s="167">
        <v>35658.907629016896</v>
      </c>
      <c r="O74" s="167">
        <v>35642.797136996865</v>
      </c>
      <c r="P74" s="167">
        <v>35626.686644976835</v>
      </c>
      <c r="Q74" s="167">
        <v>35610.576152956804</v>
      </c>
      <c r="R74" s="95"/>
      <c r="S74" s="167">
        <v>35707.239105076987</v>
      </c>
      <c r="T74" s="142">
        <v>0.02</v>
      </c>
      <c r="U74" s="107">
        <v>0</v>
      </c>
      <c r="V74" s="147" t="s">
        <v>567</v>
      </c>
    </row>
    <row r="75" spans="1:22" x14ac:dyDescent="0.3">
      <c r="A75" s="105" t="s">
        <v>531</v>
      </c>
      <c r="B75" s="105">
        <v>1331090</v>
      </c>
      <c r="C75" s="105">
        <v>5501070</v>
      </c>
      <c r="D75" s="110" t="s">
        <v>532</v>
      </c>
      <c r="E75" s="107">
        <v>1094649.4501818214</v>
      </c>
      <c r="F75" s="167">
        <v>1096656.8965712201</v>
      </c>
      <c r="G75" s="167">
        <v>1098664.3429606189</v>
      </c>
      <c r="H75" s="167">
        <v>1100671.7893500177</v>
      </c>
      <c r="I75" s="167">
        <v>1102679.2357394164</v>
      </c>
      <c r="J75" s="167">
        <v>1104686.6821288152</v>
      </c>
      <c r="K75" s="167">
        <v>1106694.128518214</v>
      </c>
      <c r="L75" s="167">
        <v>1108701.5749076128</v>
      </c>
      <c r="M75" s="167">
        <v>1110709.0212970115</v>
      </c>
      <c r="N75" s="167">
        <v>1112716.4676864103</v>
      </c>
      <c r="O75" s="167">
        <v>1114723.9140758091</v>
      </c>
      <c r="P75" s="167">
        <v>1116731.3604652078</v>
      </c>
      <c r="Q75" s="167">
        <v>1118738.8068546066</v>
      </c>
      <c r="R75" s="95"/>
      <c r="S75" s="167">
        <v>1106694.128518214</v>
      </c>
      <c r="T75" s="142">
        <v>0.04</v>
      </c>
      <c r="U75" s="107">
        <v>44268</v>
      </c>
      <c r="V75" s="147"/>
    </row>
    <row r="76" spans="1:22" x14ac:dyDescent="0.3">
      <c r="A76" s="111" t="s">
        <v>533</v>
      </c>
      <c r="B76" s="105">
        <v>1331090</v>
      </c>
      <c r="C76" s="105">
        <v>5501070</v>
      </c>
      <c r="D76" s="110" t="s">
        <v>534</v>
      </c>
      <c r="E76" s="107">
        <v>2706.5646124279601</v>
      </c>
      <c r="F76" s="167">
        <v>2705.3467538962122</v>
      </c>
      <c r="G76" s="167">
        <v>2704.1288953644644</v>
      </c>
      <c r="H76" s="167">
        <v>2702.9110368327165</v>
      </c>
      <c r="I76" s="167">
        <v>2701.6931783009686</v>
      </c>
      <c r="J76" s="167">
        <v>2700.4753197692207</v>
      </c>
      <c r="K76" s="167">
        <v>2699.2574612374729</v>
      </c>
      <c r="L76" s="167">
        <v>2698.039602705725</v>
      </c>
      <c r="M76" s="167">
        <v>2696.8217441739771</v>
      </c>
      <c r="N76" s="167">
        <v>2695.6038856422292</v>
      </c>
      <c r="O76" s="167">
        <v>2694.3860271104813</v>
      </c>
      <c r="P76" s="167">
        <v>2693.1681685787335</v>
      </c>
      <c r="Q76" s="167">
        <v>2691.9503100469856</v>
      </c>
      <c r="R76" s="95"/>
      <c r="S76" s="167">
        <v>2699.2574612374729</v>
      </c>
      <c r="T76" s="142">
        <v>0.04</v>
      </c>
      <c r="U76" s="107">
        <v>0</v>
      </c>
      <c r="V76" s="147" t="s">
        <v>567</v>
      </c>
    </row>
    <row r="77" spans="1:22" x14ac:dyDescent="0.3">
      <c r="A77" s="105" t="s">
        <v>535</v>
      </c>
      <c r="B77" s="105">
        <v>1331090</v>
      </c>
      <c r="C77" s="105">
        <v>5501070</v>
      </c>
      <c r="D77" s="106" t="s">
        <v>201</v>
      </c>
      <c r="E77" s="107">
        <v>194545.70324161582</v>
      </c>
      <c r="F77" s="167">
        <v>194458.16454277234</v>
      </c>
      <c r="G77" s="167">
        <v>194370.62584392886</v>
      </c>
      <c r="H77" s="167">
        <v>194283.08714508539</v>
      </c>
      <c r="I77" s="167">
        <v>194195.54844624191</v>
      </c>
      <c r="J77" s="167">
        <v>194108.00974739844</v>
      </c>
      <c r="K77" s="167">
        <v>194020.47104855496</v>
      </c>
      <c r="L77" s="167">
        <v>193932.93234971148</v>
      </c>
      <c r="M77" s="167">
        <v>193845.39365086801</v>
      </c>
      <c r="N77" s="167">
        <v>193757.85495202453</v>
      </c>
      <c r="O77" s="167">
        <v>193670.31625318105</v>
      </c>
      <c r="P77" s="167">
        <v>193582.77755433758</v>
      </c>
      <c r="Q77" s="167">
        <v>193495.2388554941</v>
      </c>
      <c r="R77" s="95"/>
      <c r="S77" s="167">
        <v>194020.47104855493</v>
      </c>
      <c r="T77" s="142">
        <v>0.05</v>
      </c>
      <c r="U77" s="107">
        <v>9701</v>
      </c>
      <c r="V77" s="147"/>
    </row>
    <row r="78" spans="1:22" x14ac:dyDescent="0.3">
      <c r="A78" s="105" t="s">
        <v>536</v>
      </c>
      <c r="B78" s="105">
        <v>1331090</v>
      </c>
      <c r="C78" s="105">
        <v>5501060</v>
      </c>
      <c r="D78" s="106" t="s">
        <v>356</v>
      </c>
      <c r="E78" s="107">
        <v>4928893.8259536736</v>
      </c>
      <c r="F78" s="167">
        <v>4931275.997725796</v>
      </c>
      <c r="G78" s="167">
        <v>4933658.1694979183</v>
      </c>
      <c r="H78" s="167">
        <v>4984040.3412700407</v>
      </c>
      <c r="I78" s="167">
        <v>4986422.5130421631</v>
      </c>
      <c r="J78" s="167">
        <v>4988804.6848142855</v>
      </c>
      <c r="K78" s="167">
        <v>4991186.8565864079</v>
      </c>
      <c r="L78" s="167">
        <v>4993569.0283585303</v>
      </c>
      <c r="M78" s="167">
        <v>4995951.2001306526</v>
      </c>
      <c r="N78" s="167">
        <v>4998333.371902775</v>
      </c>
      <c r="O78" s="167">
        <v>5000715.5436748974</v>
      </c>
      <c r="P78" s="167">
        <v>5113097.7154470198</v>
      </c>
      <c r="Q78" s="167">
        <v>5115479.8872191422</v>
      </c>
      <c r="R78" s="95"/>
      <c r="S78" s="167">
        <v>4997033.0104325628</v>
      </c>
      <c r="T78" s="142">
        <v>0.02</v>
      </c>
      <c r="U78" s="107">
        <v>99941</v>
      </c>
      <c r="V78" s="147"/>
    </row>
    <row r="79" spans="1:22" x14ac:dyDescent="0.3">
      <c r="A79" s="105" t="s">
        <v>537</v>
      </c>
      <c r="B79" s="105">
        <v>1331090</v>
      </c>
      <c r="C79" s="105">
        <v>5501070</v>
      </c>
      <c r="D79" s="106" t="s">
        <v>228</v>
      </c>
      <c r="E79" s="107">
        <v>236259.42157239551</v>
      </c>
      <c r="F79" s="167">
        <v>236153.11317283002</v>
      </c>
      <c r="G79" s="167">
        <v>236046.80477326454</v>
      </c>
      <c r="H79" s="167">
        <v>235940.49637369905</v>
      </c>
      <c r="I79" s="167">
        <v>235834.18797413356</v>
      </c>
      <c r="J79" s="167">
        <v>235727.87957456807</v>
      </c>
      <c r="K79" s="167">
        <v>235621.57117500258</v>
      </c>
      <c r="L79" s="167">
        <v>235515.26277543709</v>
      </c>
      <c r="M79" s="167">
        <v>235408.9543758716</v>
      </c>
      <c r="N79" s="167">
        <v>235302.64597630611</v>
      </c>
      <c r="O79" s="167">
        <v>235196.33757674063</v>
      </c>
      <c r="P79" s="167">
        <v>235090.02917717514</v>
      </c>
      <c r="Q79" s="167">
        <v>234983.72077760965</v>
      </c>
      <c r="R79" s="95"/>
      <c r="S79" s="167">
        <v>235621.57117500252</v>
      </c>
      <c r="T79" s="142">
        <v>0.05</v>
      </c>
      <c r="U79" s="107">
        <v>11781</v>
      </c>
      <c r="V79" s="147"/>
    </row>
    <row r="80" spans="1:22" x14ac:dyDescent="0.3">
      <c r="A80" s="105" t="s">
        <v>538</v>
      </c>
      <c r="B80" s="105">
        <v>1331090</v>
      </c>
      <c r="C80" s="105">
        <v>5501070</v>
      </c>
      <c r="D80" s="106" t="s">
        <v>232</v>
      </c>
      <c r="E80" s="107">
        <v>49843.692703102068</v>
      </c>
      <c r="F80" s="167">
        <v>49821.264800906953</v>
      </c>
      <c r="G80" s="167">
        <v>49798.836898711837</v>
      </c>
      <c r="H80" s="167">
        <v>49776.408996516722</v>
      </c>
      <c r="I80" s="167">
        <v>49753.981094321607</v>
      </c>
      <c r="J80" s="167">
        <v>49731.553192126492</v>
      </c>
      <c r="K80" s="167">
        <v>49709.125289931377</v>
      </c>
      <c r="L80" s="167">
        <v>49686.697387736262</v>
      </c>
      <c r="M80" s="167">
        <v>49664.269485541146</v>
      </c>
      <c r="N80" s="167">
        <v>49641.841583346031</v>
      </c>
      <c r="O80" s="167">
        <v>49619.413681150916</v>
      </c>
      <c r="P80" s="167">
        <v>49596.985778955801</v>
      </c>
      <c r="Q80" s="167">
        <v>49574.557876760686</v>
      </c>
      <c r="R80" s="95"/>
      <c r="S80" s="167">
        <v>49709.125289931384</v>
      </c>
      <c r="T80" s="142">
        <v>0.02</v>
      </c>
      <c r="U80" s="107">
        <v>994</v>
      </c>
      <c r="V80" s="147"/>
    </row>
    <row r="81" spans="1:24" x14ac:dyDescent="0.3">
      <c r="A81" s="105">
        <v>39901</v>
      </c>
      <c r="B81" s="105">
        <v>1331090</v>
      </c>
      <c r="C81" s="105">
        <v>5501070</v>
      </c>
      <c r="D81" s="106" t="s">
        <v>539</v>
      </c>
      <c r="E81" s="108">
        <v>264012.88918019872</v>
      </c>
      <c r="F81" s="169">
        <v>263894.09269992879</v>
      </c>
      <c r="G81" s="169">
        <v>263775.29621965886</v>
      </c>
      <c r="H81" s="169">
        <v>263656.49973938894</v>
      </c>
      <c r="I81" s="169">
        <v>263537.70325911901</v>
      </c>
      <c r="J81" s="169">
        <v>263418.90677884908</v>
      </c>
      <c r="K81" s="169">
        <v>263300.11029857915</v>
      </c>
      <c r="L81" s="169">
        <v>263181.31381830922</v>
      </c>
      <c r="M81" s="169">
        <v>263062.5173380393</v>
      </c>
      <c r="N81" s="169">
        <v>262943.72085776937</v>
      </c>
      <c r="O81" s="169">
        <v>262824.92437749944</v>
      </c>
      <c r="P81" s="169">
        <v>262706.12789722951</v>
      </c>
      <c r="Q81" s="169">
        <v>262587.33141695958</v>
      </c>
      <c r="R81" s="95"/>
      <c r="S81" s="167">
        <v>263300.11029857915</v>
      </c>
      <c r="T81" s="142">
        <v>0.04</v>
      </c>
      <c r="U81" s="108">
        <v>0</v>
      </c>
      <c r="V81" s="147" t="s">
        <v>567</v>
      </c>
      <c r="W81" s="95"/>
      <c r="X81" s="95"/>
    </row>
    <row r="82" spans="1:24" x14ac:dyDescent="0.3">
      <c r="A82" s="109"/>
      <c r="B82" s="109"/>
      <c r="C82" s="109"/>
      <c r="D82" s="95"/>
      <c r="E82" s="112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112"/>
      <c r="V82" s="147"/>
      <c r="W82" s="95"/>
      <c r="X82" s="95"/>
    </row>
    <row r="83" spans="1:24" x14ac:dyDescent="0.3">
      <c r="A83" s="109"/>
      <c r="B83" s="109"/>
      <c r="C83" s="109"/>
      <c r="D83" s="106" t="s">
        <v>455</v>
      </c>
      <c r="E83" s="108">
        <v>22748224.2708777</v>
      </c>
      <c r="F83" s="108">
        <v>22911054.372985885</v>
      </c>
      <c r="G83" s="108">
        <v>23082384.475094073</v>
      </c>
      <c r="H83" s="108">
        <v>23356014.57720226</v>
      </c>
      <c r="I83" s="108">
        <v>23705144.679310448</v>
      </c>
      <c r="J83" s="108">
        <v>24150174.78141864</v>
      </c>
      <c r="K83" s="108">
        <v>24540304.883526824</v>
      </c>
      <c r="L83" s="108">
        <v>24804934.985635016</v>
      </c>
      <c r="M83" s="108">
        <v>25021465.0877432</v>
      </c>
      <c r="N83" s="108">
        <v>25132595.189851396</v>
      </c>
      <c r="O83" s="108">
        <v>25216625.29195958</v>
      </c>
      <c r="P83" s="108">
        <v>25501555.394067768</v>
      </c>
      <c r="Q83" s="108">
        <v>25597793.49617596</v>
      </c>
      <c r="R83" s="95"/>
      <c r="S83" s="108">
        <v>24289867.037372984</v>
      </c>
      <c r="T83" s="95"/>
      <c r="U83" s="108">
        <v>1127741</v>
      </c>
      <c r="V83" s="95"/>
      <c r="W83" s="95"/>
      <c r="X83" s="95"/>
    </row>
    <row r="84" spans="1:24" x14ac:dyDescent="0.3">
      <c r="A84" s="109"/>
      <c r="B84" s="109"/>
      <c r="C84" s="109"/>
      <c r="D84" s="106"/>
      <c r="E84" s="107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107"/>
      <c r="V84" s="95"/>
      <c r="W84" s="95"/>
      <c r="X84" s="95"/>
    </row>
    <row r="85" spans="1:24" x14ac:dyDescent="0.3">
      <c r="A85" s="109"/>
      <c r="B85" s="109"/>
      <c r="C85" s="109"/>
      <c r="D85" s="106" t="s">
        <v>540</v>
      </c>
      <c r="E85" s="108">
        <v>285167925.88999999</v>
      </c>
      <c r="F85" s="108">
        <v>285651196.38999993</v>
      </c>
      <c r="G85" s="108">
        <v>286097016.88999999</v>
      </c>
      <c r="H85" s="108">
        <v>286893457.38999993</v>
      </c>
      <c r="I85" s="108">
        <v>288756317.88999993</v>
      </c>
      <c r="J85" s="108">
        <v>291156148.38999999</v>
      </c>
      <c r="K85" s="108">
        <v>293347728.88999999</v>
      </c>
      <c r="L85" s="108">
        <v>295507779.38999987</v>
      </c>
      <c r="M85" s="108">
        <v>296883969.88999999</v>
      </c>
      <c r="N85" s="108">
        <v>298029820.38999993</v>
      </c>
      <c r="O85" s="108">
        <v>299225570.88999999</v>
      </c>
      <c r="P85" s="108">
        <v>300405981.38999993</v>
      </c>
      <c r="Q85" s="108">
        <v>301240373.88999999</v>
      </c>
      <c r="R85" s="95"/>
      <c r="S85" s="108">
        <v>292951022.12076926</v>
      </c>
      <c r="T85" s="171">
        <v>3.2337323595664554E-2</v>
      </c>
      <c r="U85" s="108">
        <v>9473252</v>
      </c>
      <c r="V85" s="95"/>
      <c r="W85" s="95"/>
      <c r="X85" s="95"/>
    </row>
    <row r="86" spans="1:24" x14ac:dyDescent="0.3">
      <c r="A86" s="109"/>
      <c r="B86" s="109"/>
      <c r="C86" s="109"/>
      <c r="D86" s="109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</row>
    <row r="87" spans="1:24" x14ac:dyDescent="0.3">
      <c r="A87" s="109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</row>
    <row r="88" spans="1:24" hidden="1" x14ac:dyDescent="0.3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</row>
    <row r="89" spans="1:24" hidden="1" x14ac:dyDescent="0.3">
      <c r="A89" s="109"/>
      <c r="B89" s="95"/>
      <c r="C89" s="95"/>
      <c r="D89" s="95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hidden="1" x14ac:dyDescent="0.3">
      <c r="A90" s="109"/>
      <c r="B90" s="95"/>
      <c r="C90" s="117"/>
      <c r="D90" s="98"/>
      <c r="E90" s="120">
        <v>293472610.56</v>
      </c>
      <c r="F90" s="120">
        <v>293955881.06</v>
      </c>
      <c r="G90" s="120">
        <v>294401701.56</v>
      </c>
      <c r="H90" s="120">
        <v>295198142.06</v>
      </c>
      <c r="I90" s="120">
        <v>297061002.56</v>
      </c>
      <c r="J90" s="120">
        <v>299460833.06</v>
      </c>
      <c r="K90" s="120">
        <v>301652413.56</v>
      </c>
      <c r="L90" s="120">
        <v>303812464.06</v>
      </c>
      <c r="M90" s="120">
        <v>305188654.56</v>
      </c>
      <c r="N90" s="120">
        <v>306334505.06</v>
      </c>
      <c r="O90" s="120">
        <v>307530255.56</v>
      </c>
      <c r="P90" s="120">
        <v>308710666.06</v>
      </c>
      <c r="Q90" s="120">
        <v>309545058.56</v>
      </c>
      <c r="R90" s="95"/>
      <c r="S90" s="95"/>
      <c r="T90" s="95"/>
      <c r="U90" s="95"/>
      <c r="V90" s="95"/>
      <c r="W90" s="95"/>
      <c r="X90" s="95"/>
    </row>
    <row r="91" spans="1:24" hidden="1" x14ac:dyDescent="0.3">
      <c r="A91" s="109"/>
      <c r="B91" s="122"/>
      <c r="C91" s="117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122" t="s">
        <v>600</v>
      </c>
      <c r="P91" s="117"/>
      <c r="Q91" s="106"/>
      <c r="R91" s="95"/>
      <c r="S91" s="95"/>
      <c r="T91" s="95"/>
      <c r="U91" s="167">
        <v>9473252</v>
      </c>
      <c r="V91" s="95"/>
      <c r="W91" s="95"/>
      <c r="X91" s="95"/>
    </row>
    <row r="92" spans="1:24" ht="15" hidden="1" x14ac:dyDescent="0.35">
      <c r="A92" s="109"/>
      <c r="B92" s="109"/>
      <c r="C92" s="109"/>
      <c r="D92" s="95" t="s">
        <v>541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122" t="s">
        <v>601</v>
      </c>
      <c r="P92" s="117"/>
      <c r="Q92" s="95"/>
      <c r="R92" s="95"/>
      <c r="S92" s="138" t="s">
        <v>145</v>
      </c>
      <c r="T92" s="95"/>
      <c r="U92" s="172">
        <v>-7916268.71</v>
      </c>
      <c r="V92" s="95"/>
      <c r="W92" s="95"/>
      <c r="X92" s="95"/>
    </row>
    <row r="93" spans="1:24" ht="15" hidden="1" thickBot="1" x14ac:dyDescent="0.35">
      <c r="A93" s="109"/>
      <c r="B93" s="109"/>
      <c r="C93" s="109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122" t="s">
        <v>602</v>
      </c>
      <c r="P93" s="117"/>
      <c r="Q93" s="95"/>
      <c r="R93" s="95"/>
      <c r="S93" s="95"/>
      <c r="T93" s="95"/>
      <c r="U93" s="173">
        <v>1556983.29</v>
      </c>
      <c r="V93" s="95"/>
      <c r="W93" s="95"/>
      <c r="X93" s="95"/>
    </row>
    <row r="94" spans="1:24" hidden="1" x14ac:dyDescent="0.3">
      <c r="A94" s="109"/>
      <c r="B94" s="109"/>
      <c r="C94" s="109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</row>
    <row r="95" spans="1:24" hidden="1" x14ac:dyDescent="0.3">
      <c r="A95" s="109"/>
      <c r="B95" s="109"/>
      <c r="C95" s="10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</row>
    <row r="96" spans="1:24" hidden="1" x14ac:dyDescent="0.3">
      <c r="A96" s="109"/>
      <c r="B96" s="109"/>
      <c r="C96" s="109"/>
      <c r="D96" s="123" t="s">
        <v>542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</row>
    <row r="97" spans="1:21" hidden="1" x14ac:dyDescent="0.3">
      <c r="A97" s="95"/>
      <c r="B97" s="95"/>
      <c r="C97" s="95"/>
      <c r="D97" s="10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</row>
    <row r="98" spans="1:21" hidden="1" x14ac:dyDescent="0.3">
      <c r="A98" s="109"/>
      <c r="B98" s="109"/>
      <c r="C98" s="109"/>
      <c r="D98" s="95" t="s">
        <v>543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</row>
    <row r="99" spans="1:21" hidden="1" x14ac:dyDescent="0.3">
      <c r="A99" s="109"/>
      <c r="B99" s="109"/>
      <c r="C99" s="109"/>
      <c r="D99" s="125">
        <v>1130239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</row>
    <row r="100" spans="1:21" hidden="1" x14ac:dyDescent="0.3">
      <c r="A100" s="109"/>
      <c r="B100" s="109"/>
      <c r="C100" s="109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</row>
    <row r="101" spans="1:21" hidden="1" x14ac:dyDescent="0.3">
      <c r="A101" s="109"/>
      <c r="B101" s="109"/>
      <c r="C101" s="109"/>
      <c r="D101" s="95" t="s">
        <v>544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</row>
    <row r="102" spans="1:21" hidden="1" x14ac:dyDescent="0.3">
      <c r="A102" s="109"/>
      <c r="B102" s="109"/>
      <c r="C102" s="109"/>
      <c r="D102" s="126">
        <v>1949332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</row>
    <row r="103" spans="1:21" hidden="1" x14ac:dyDescent="0.3">
      <c r="A103" s="109"/>
      <c r="B103" s="109"/>
      <c r="C103" s="109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</row>
    <row r="104" spans="1:21" hidden="1" x14ac:dyDescent="0.3">
      <c r="A104" s="95"/>
      <c r="B104" s="95"/>
      <c r="C104" s="95"/>
      <c r="D104" s="95" t="s">
        <v>545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</row>
    <row r="105" spans="1:21" hidden="1" x14ac:dyDescent="0.3">
      <c r="A105" s="95"/>
      <c r="B105" s="95"/>
      <c r="C105" s="95"/>
      <c r="D105" s="128">
        <f>ROUND((D99+D102)/2,0)</f>
        <v>1539786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</row>
    <row r="106" spans="1:21" hidden="1" x14ac:dyDescent="0.3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</row>
    <row r="107" spans="1:21" hidden="1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</row>
    <row r="108" spans="1:21" hidden="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 t="s">
        <v>603</v>
      </c>
      <c r="U108" s="167">
        <v>1556983.29</v>
      </c>
    </row>
    <row r="109" spans="1:21" hidden="1" x14ac:dyDescent="0.3">
      <c r="A109" s="95"/>
      <c r="B109" s="95"/>
      <c r="C109" s="95"/>
      <c r="D109" s="95" t="s">
        <v>546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</row>
    <row r="110" spans="1:21" hidden="1" x14ac:dyDescent="0.3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</row>
    <row r="111" spans="1:21" hidden="1" x14ac:dyDescent="0.3">
      <c r="A111" s="95"/>
      <c r="B111" s="95"/>
      <c r="C111" s="95"/>
      <c r="D111" s="95" t="s">
        <v>547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 t="s">
        <v>604</v>
      </c>
      <c r="U111" s="120">
        <v>9473252</v>
      </c>
    </row>
    <row r="112" spans="1:21" hidden="1" x14ac:dyDescent="0.3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 t="s">
        <v>605</v>
      </c>
      <c r="U112" s="174">
        <v>429778.07999999996</v>
      </c>
    </row>
    <row r="113" spans="4:22" hidden="1" x14ac:dyDescent="0.3"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132">
        <v>9903030.0800000001</v>
      </c>
      <c r="V113" s="95"/>
    </row>
    <row r="114" spans="4:22" hidden="1" x14ac:dyDescent="0.3">
      <c r="D114" s="95"/>
      <c r="E114" s="120">
        <v>293472610.56</v>
      </c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120">
        <v>309545058.56</v>
      </c>
      <c r="R114" s="95"/>
      <c r="S114" s="95"/>
      <c r="T114" s="95"/>
      <c r="U114" s="120">
        <v>9903030.0800000001</v>
      </c>
      <c r="V114" s="95" t="s">
        <v>571</v>
      </c>
    </row>
    <row r="115" spans="4:22" hidden="1" x14ac:dyDescent="0.3">
      <c r="D115" s="95" t="s">
        <v>546</v>
      </c>
      <c r="E115" s="120">
        <v>-4208069.49</v>
      </c>
      <c r="F115" s="95"/>
      <c r="G115" s="95"/>
      <c r="H115" s="95"/>
      <c r="I115" s="95"/>
      <c r="J115" s="95"/>
      <c r="K115" s="95"/>
      <c r="L115" s="95"/>
      <c r="M115" s="95"/>
      <c r="N115" s="95"/>
      <c r="O115" s="131" t="s">
        <v>548</v>
      </c>
      <c r="P115" s="95"/>
      <c r="Q115" s="120">
        <v>-4208069.49</v>
      </c>
      <c r="R115" s="95"/>
      <c r="S115" s="95"/>
      <c r="T115" s="95"/>
      <c r="U115" s="95"/>
      <c r="V115" s="95"/>
    </row>
    <row r="116" spans="4:22" hidden="1" x14ac:dyDescent="0.3">
      <c r="D116" s="95" t="s">
        <v>549</v>
      </c>
      <c r="E116" s="120">
        <v>-4585903.09</v>
      </c>
      <c r="F116" s="95"/>
      <c r="G116" s="95"/>
      <c r="H116" s="95"/>
      <c r="I116" s="95"/>
      <c r="J116" s="95"/>
      <c r="K116" s="95"/>
      <c r="L116" s="95"/>
      <c r="M116" s="95"/>
      <c r="N116" s="95"/>
      <c r="O116" s="131" t="s">
        <v>550</v>
      </c>
      <c r="P116" s="95"/>
      <c r="Q116" s="120">
        <v>-4585903.09</v>
      </c>
      <c r="R116" s="95"/>
      <c r="S116" s="95"/>
      <c r="T116" s="95"/>
      <c r="U116" s="95"/>
      <c r="V116" s="95"/>
    </row>
    <row r="117" spans="4:22" hidden="1" x14ac:dyDescent="0.3">
      <c r="D117" s="95"/>
      <c r="E117" s="120">
        <v>580759.07999999996</v>
      </c>
      <c r="F117" s="95"/>
      <c r="G117" s="95"/>
      <c r="H117" s="95"/>
      <c r="I117" s="95"/>
      <c r="J117" s="95"/>
      <c r="K117" s="95"/>
      <c r="L117" s="95"/>
      <c r="M117" s="95"/>
      <c r="N117" s="95"/>
      <c r="O117" s="131" t="s">
        <v>551</v>
      </c>
      <c r="P117" s="95"/>
      <c r="Q117" s="120">
        <v>580759.07999999996</v>
      </c>
      <c r="R117" s="95"/>
      <c r="S117" s="95"/>
      <c r="T117" s="95"/>
      <c r="U117" s="95"/>
      <c r="V117" s="95"/>
    </row>
    <row r="118" spans="4:22" hidden="1" x14ac:dyDescent="0.3">
      <c r="D118" s="95" t="s">
        <v>552</v>
      </c>
      <c r="E118" s="120">
        <v>-91469.88</v>
      </c>
      <c r="F118" s="95"/>
      <c r="G118" s="95"/>
      <c r="H118" s="95"/>
      <c r="I118" s="95"/>
      <c r="J118" s="95"/>
      <c r="K118" s="95"/>
      <c r="L118" s="95"/>
      <c r="M118" s="95"/>
      <c r="N118" s="95"/>
      <c r="O118" s="131" t="s">
        <v>553</v>
      </c>
      <c r="P118" s="95"/>
      <c r="Q118" s="120">
        <v>-91469.88</v>
      </c>
      <c r="R118" s="95"/>
      <c r="S118" s="95"/>
      <c r="T118" s="95"/>
      <c r="U118" s="95"/>
      <c r="V118" s="95"/>
    </row>
    <row r="119" spans="4:22" hidden="1" x14ac:dyDescent="0.3">
      <c r="D119" s="95"/>
      <c r="E119" s="120">
        <v>0</v>
      </c>
      <c r="F119" s="95"/>
      <c r="G119" s="95"/>
      <c r="H119" s="95"/>
      <c r="I119" s="95"/>
      <c r="J119" s="95"/>
      <c r="K119" s="95"/>
      <c r="L119" s="95"/>
      <c r="M119" s="95"/>
      <c r="N119" s="95"/>
      <c r="O119" s="95" t="s">
        <v>554</v>
      </c>
      <c r="P119" s="95"/>
      <c r="Q119" s="120">
        <v>0</v>
      </c>
      <c r="R119" s="95"/>
      <c r="S119" s="95"/>
      <c r="T119" s="95"/>
      <c r="U119" s="95"/>
      <c r="V119" s="95"/>
    </row>
    <row r="120" spans="4:22" hidden="1" x14ac:dyDescent="0.3"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</row>
    <row r="121" spans="4:22" hidden="1" x14ac:dyDescent="0.3">
      <c r="D121" s="95"/>
      <c r="E121" s="132">
        <v>285167927.18000001</v>
      </c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132">
        <v>301240375.18000001</v>
      </c>
      <c r="R121" s="95"/>
      <c r="S121" s="95"/>
      <c r="T121" s="95"/>
      <c r="U121" s="95"/>
      <c r="V121" s="95"/>
    </row>
    <row r="122" spans="4:22" hidden="1" x14ac:dyDescent="0.3"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</row>
    <row r="123" spans="4:22" hidden="1" x14ac:dyDescent="0.3"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</row>
    <row r="124" spans="4:22" hidden="1" x14ac:dyDescent="0.3">
      <c r="D124" s="95"/>
      <c r="E124" s="132">
        <v>1.2900000214576721</v>
      </c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132">
        <v>1.2900000214576721</v>
      </c>
      <c r="R124" s="95"/>
      <c r="S124" s="95"/>
      <c r="T124" s="95"/>
      <c r="U124" s="95"/>
      <c r="V124" s="95"/>
    </row>
    <row r="125" spans="4:22" hidden="1" x14ac:dyDescent="0.3"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</row>
    <row r="126" spans="4:22" hidden="1" x14ac:dyDescent="0.3"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132">
        <v>0</v>
      </c>
      <c r="R126" s="95"/>
      <c r="S126" s="95"/>
      <c r="T126" s="95"/>
      <c r="U126" s="95"/>
      <c r="V126" s="95"/>
    </row>
    <row r="127" spans="4:22" hidden="1" x14ac:dyDescent="0.3"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</row>
    <row r="128" spans="4:22" hidden="1" x14ac:dyDescent="0.3"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</row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</sheetData>
  <pageMargins left="0.7" right="0.7" top="0.75" bottom="0.75" header="0.3" footer="0.3"/>
  <pageSetup scale="4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CE3D-8282-41C4-B891-B58279F76E3F}">
  <sheetPr>
    <tabColor rgb="FF66FF33"/>
    <pageSetUpPr fitToPage="1"/>
  </sheetPr>
  <dimension ref="A1:O21"/>
  <sheetViews>
    <sheetView workbookViewId="0">
      <selection activeCell="G32" sqref="G32"/>
    </sheetView>
  </sheetViews>
  <sheetFormatPr defaultColWidth="11" defaultRowHeight="10.199999999999999" x14ac:dyDescent="0.2"/>
  <cols>
    <col min="1" max="1" width="5.33203125" style="175" customWidth="1"/>
    <col min="2" max="3" width="10.6640625" style="191" customWidth="1"/>
    <col min="4" max="5" width="9.88671875" style="178" customWidth="1"/>
    <col min="6" max="6" width="27" style="175" customWidth="1"/>
    <col min="7" max="7" width="9.5546875" style="175" bestFit="1" customWidth="1"/>
    <col min="8" max="8" width="8.6640625" style="175" bestFit="1" customWidth="1"/>
    <col min="9" max="9" width="12.44140625" style="176" customWidth="1"/>
    <col min="10" max="10" width="10.44140625" style="177" customWidth="1"/>
    <col min="11" max="11" width="9.88671875" style="177" customWidth="1"/>
    <col min="12" max="12" width="9.33203125" style="177" customWidth="1"/>
    <col min="13" max="13" width="11.88671875" style="176" customWidth="1"/>
    <col min="14" max="14" width="16.6640625" style="175" customWidth="1"/>
    <col min="15" max="15" width="55.88671875" style="175" customWidth="1"/>
    <col min="16" max="256" width="11" style="175"/>
    <col min="257" max="257" width="5.33203125" style="175" customWidth="1"/>
    <col min="258" max="259" width="10.6640625" style="175" customWidth="1"/>
    <col min="260" max="261" width="9.88671875" style="175" customWidth="1"/>
    <col min="262" max="262" width="27" style="175" customWidth="1"/>
    <col min="263" max="263" width="9.5546875" style="175" bestFit="1" customWidth="1"/>
    <col min="264" max="264" width="8.6640625" style="175" bestFit="1" customWidth="1"/>
    <col min="265" max="265" width="12.44140625" style="175" customWidth="1"/>
    <col min="266" max="266" width="10.44140625" style="175" customWidth="1"/>
    <col min="267" max="267" width="9.88671875" style="175" customWidth="1"/>
    <col min="268" max="268" width="9.33203125" style="175" customWidth="1"/>
    <col min="269" max="269" width="11.88671875" style="175" customWidth="1"/>
    <col min="270" max="270" width="16.6640625" style="175" customWidth="1"/>
    <col min="271" max="271" width="55.88671875" style="175" customWidth="1"/>
    <col min="272" max="512" width="11" style="175"/>
    <col min="513" max="513" width="5.33203125" style="175" customWidth="1"/>
    <col min="514" max="515" width="10.6640625" style="175" customWidth="1"/>
    <col min="516" max="517" width="9.88671875" style="175" customWidth="1"/>
    <col min="518" max="518" width="27" style="175" customWidth="1"/>
    <col min="519" max="519" width="9.5546875" style="175" bestFit="1" customWidth="1"/>
    <col min="520" max="520" width="8.6640625" style="175" bestFit="1" customWidth="1"/>
    <col min="521" max="521" width="12.44140625" style="175" customWidth="1"/>
    <col min="522" max="522" width="10.44140625" style="175" customWidth="1"/>
    <col min="523" max="523" width="9.88671875" style="175" customWidth="1"/>
    <col min="524" max="524" width="9.33203125" style="175" customWidth="1"/>
    <col min="525" max="525" width="11.88671875" style="175" customWidth="1"/>
    <col min="526" max="526" width="16.6640625" style="175" customWidth="1"/>
    <col min="527" max="527" width="55.88671875" style="175" customWidth="1"/>
    <col min="528" max="768" width="11" style="175"/>
    <col min="769" max="769" width="5.33203125" style="175" customWidth="1"/>
    <col min="770" max="771" width="10.6640625" style="175" customWidth="1"/>
    <col min="772" max="773" width="9.88671875" style="175" customWidth="1"/>
    <col min="774" max="774" width="27" style="175" customWidth="1"/>
    <col min="775" max="775" width="9.5546875" style="175" bestFit="1" customWidth="1"/>
    <col min="776" max="776" width="8.6640625" style="175" bestFit="1" customWidth="1"/>
    <col min="777" max="777" width="12.44140625" style="175" customWidth="1"/>
    <col min="778" max="778" width="10.44140625" style="175" customWidth="1"/>
    <col min="779" max="779" width="9.88671875" style="175" customWidth="1"/>
    <col min="780" max="780" width="9.33203125" style="175" customWidth="1"/>
    <col min="781" max="781" width="11.88671875" style="175" customWidth="1"/>
    <col min="782" max="782" width="16.6640625" style="175" customWidth="1"/>
    <col min="783" max="783" width="55.88671875" style="175" customWidth="1"/>
    <col min="784" max="1024" width="11" style="175"/>
    <col min="1025" max="1025" width="5.33203125" style="175" customWidth="1"/>
    <col min="1026" max="1027" width="10.6640625" style="175" customWidth="1"/>
    <col min="1028" max="1029" width="9.88671875" style="175" customWidth="1"/>
    <col min="1030" max="1030" width="27" style="175" customWidth="1"/>
    <col min="1031" max="1031" width="9.5546875" style="175" bestFit="1" customWidth="1"/>
    <col min="1032" max="1032" width="8.6640625" style="175" bestFit="1" customWidth="1"/>
    <col min="1033" max="1033" width="12.44140625" style="175" customWidth="1"/>
    <col min="1034" max="1034" width="10.44140625" style="175" customWidth="1"/>
    <col min="1035" max="1035" width="9.88671875" style="175" customWidth="1"/>
    <col min="1036" max="1036" width="9.33203125" style="175" customWidth="1"/>
    <col min="1037" max="1037" width="11.88671875" style="175" customWidth="1"/>
    <col min="1038" max="1038" width="16.6640625" style="175" customWidth="1"/>
    <col min="1039" max="1039" width="55.88671875" style="175" customWidth="1"/>
    <col min="1040" max="1280" width="11" style="175"/>
    <col min="1281" max="1281" width="5.33203125" style="175" customWidth="1"/>
    <col min="1282" max="1283" width="10.6640625" style="175" customWidth="1"/>
    <col min="1284" max="1285" width="9.88671875" style="175" customWidth="1"/>
    <col min="1286" max="1286" width="27" style="175" customWidth="1"/>
    <col min="1287" max="1287" width="9.5546875" style="175" bestFit="1" customWidth="1"/>
    <col min="1288" max="1288" width="8.6640625" style="175" bestFit="1" customWidth="1"/>
    <col min="1289" max="1289" width="12.44140625" style="175" customWidth="1"/>
    <col min="1290" max="1290" width="10.44140625" style="175" customWidth="1"/>
    <col min="1291" max="1291" width="9.88671875" style="175" customWidth="1"/>
    <col min="1292" max="1292" width="9.33203125" style="175" customWidth="1"/>
    <col min="1293" max="1293" width="11.88671875" style="175" customWidth="1"/>
    <col min="1294" max="1294" width="16.6640625" style="175" customWidth="1"/>
    <col min="1295" max="1295" width="55.88671875" style="175" customWidth="1"/>
    <col min="1296" max="1536" width="11" style="175"/>
    <col min="1537" max="1537" width="5.33203125" style="175" customWidth="1"/>
    <col min="1538" max="1539" width="10.6640625" style="175" customWidth="1"/>
    <col min="1540" max="1541" width="9.88671875" style="175" customWidth="1"/>
    <col min="1542" max="1542" width="27" style="175" customWidth="1"/>
    <col min="1543" max="1543" width="9.5546875" style="175" bestFit="1" customWidth="1"/>
    <col min="1544" max="1544" width="8.6640625" style="175" bestFit="1" customWidth="1"/>
    <col min="1545" max="1545" width="12.44140625" style="175" customWidth="1"/>
    <col min="1546" max="1546" width="10.44140625" style="175" customWidth="1"/>
    <col min="1547" max="1547" width="9.88671875" style="175" customWidth="1"/>
    <col min="1548" max="1548" width="9.33203125" style="175" customWidth="1"/>
    <col min="1549" max="1549" width="11.88671875" style="175" customWidth="1"/>
    <col min="1550" max="1550" width="16.6640625" style="175" customWidth="1"/>
    <col min="1551" max="1551" width="55.88671875" style="175" customWidth="1"/>
    <col min="1552" max="1792" width="11" style="175"/>
    <col min="1793" max="1793" width="5.33203125" style="175" customWidth="1"/>
    <col min="1794" max="1795" width="10.6640625" style="175" customWidth="1"/>
    <col min="1796" max="1797" width="9.88671875" style="175" customWidth="1"/>
    <col min="1798" max="1798" width="27" style="175" customWidth="1"/>
    <col min="1799" max="1799" width="9.5546875" style="175" bestFit="1" customWidth="1"/>
    <col min="1800" max="1800" width="8.6640625" style="175" bestFit="1" customWidth="1"/>
    <col min="1801" max="1801" width="12.44140625" style="175" customWidth="1"/>
    <col min="1802" max="1802" width="10.44140625" style="175" customWidth="1"/>
    <col min="1803" max="1803" width="9.88671875" style="175" customWidth="1"/>
    <col min="1804" max="1804" width="9.33203125" style="175" customWidth="1"/>
    <col min="1805" max="1805" width="11.88671875" style="175" customWidth="1"/>
    <col min="1806" max="1806" width="16.6640625" style="175" customWidth="1"/>
    <col min="1807" max="1807" width="55.88671875" style="175" customWidth="1"/>
    <col min="1808" max="2048" width="11" style="175"/>
    <col min="2049" max="2049" width="5.33203125" style="175" customWidth="1"/>
    <col min="2050" max="2051" width="10.6640625" style="175" customWidth="1"/>
    <col min="2052" max="2053" width="9.88671875" style="175" customWidth="1"/>
    <col min="2054" max="2054" width="27" style="175" customWidth="1"/>
    <col min="2055" max="2055" width="9.5546875" style="175" bestFit="1" customWidth="1"/>
    <col min="2056" max="2056" width="8.6640625" style="175" bestFit="1" customWidth="1"/>
    <col min="2057" max="2057" width="12.44140625" style="175" customWidth="1"/>
    <col min="2058" max="2058" width="10.44140625" style="175" customWidth="1"/>
    <col min="2059" max="2059" width="9.88671875" style="175" customWidth="1"/>
    <col min="2060" max="2060" width="9.33203125" style="175" customWidth="1"/>
    <col min="2061" max="2061" width="11.88671875" style="175" customWidth="1"/>
    <col min="2062" max="2062" width="16.6640625" style="175" customWidth="1"/>
    <col min="2063" max="2063" width="55.88671875" style="175" customWidth="1"/>
    <col min="2064" max="2304" width="11" style="175"/>
    <col min="2305" max="2305" width="5.33203125" style="175" customWidth="1"/>
    <col min="2306" max="2307" width="10.6640625" style="175" customWidth="1"/>
    <col min="2308" max="2309" width="9.88671875" style="175" customWidth="1"/>
    <col min="2310" max="2310" width="27" style="175" customWidth="1"/>
    <col min="2311" max="2311" width="9.5546875" style="175" bestFit="1" customWidth="1"/>
    <col min="2312" max="2312" width="8.6640625" style="175" bestFit="1" customWidth="1"/>
    <col min="2313" max="2313" width="12.44140625" style="175" customWidth="1"/>
    <col min="2314" max="2314" width="10.44140625" style="175" customWidth="1"/>
    <col min="2315" max="2315" width="9.88671875" style="175" customWidth="1"/>
    <col min="2316" max="2316" width="9.33203125" style="175" customWidth="1"/>
    <col min="2317" max="2317" width="11.88671875" style="175" customWidth="1"/>
    <col min="2318" max="2318" width="16.6640625" style="175" customWidth="1"/>
    <col min="2319" max="2319" width="55.88671875" style="175" customWidth="1"/>
    <col min="2320" max="2560" width="11" style="175"/>
    <col min="2561" max="2561" width="5.33203125" style="175" customWidth="1"/>
    <col min="2562" max="2563" width="10.6640625" style="175" customWidth="1"/>
    <col min="2564" max="2565" width="9.88671875" style="175" customWidth="1"/>
    <col min="2566" max="2566" width="27" style="175" customWidth="1"/>
    <col min="2567" max="2567" width="9.5546875" style="175" bestFit="1" customWidth="1"/>
    <col min="2568" max="2568" width="8.6640625" style="175" bestFit="1" customWidth="1"/>
    <col min="2569" max="2569" width="12.44140625" style="175" customWidth="1"/>
    <col min="2570" max="2570" width="10.44140625" style="175" customWidth="1"/>
    <col min="2571" max="2571" width="9.88671875" style="175" customWidth="1"/>
    <col min="2572" max="2572" width="9.33203125" style="175" customWidth="1"/>
    <col min="2573" max="2573" width="11.88671875" style="175" customWidth="1"/>
    <col min="2574" max="2574" width="16.6640625" style="175" customWidth="1"/>
    <col min="2575" max="2575" width="55.88671875" style="175" customWidth="1"/>
    <col min="2576" max="2816" width="11" style="175"/>
    <col min="2817" max="2817" width="5.33203125" style="175" customWidth="1"/>
    <col min="2818" max="2819" width="10.6640625" style="175" customWidth="1"/>
    <col min="2820" max="2821" width="9.88671875" style="175" customWidth="1"/>
    <col min="2822" max="2822" width="27" style="175" customWidth="1"/>
    <col min="2823" max="2823" width="9.5546875" style="175" bestFit="1" customWidth="1"/>
    <col min="2824" max="2824" width="8.6640625" style="175" bestFit="1" customWidth="1"/>
    <col min="2825" max="2825" width="12.44140625" style="175" customWidth="1"/>
    <col min="2826" max="2826" width="10.44140625" style="175" customWidth="1"/>
    <col min="2827" max="2827" width="9.88671875" style="175" customWidth="1"/>
    <col min="2828" max="2828" width="9.33203125" style="175" customWidth="1"/>
    <col min="2829" max="2829" width="11.88671875" style="175" customWidth="1"/>
    <col min="2830" max="2830" width="16.6640625" style="175" customWidth="1"/>
    <col min="2831" max="2831" width="55.88671875" style="175" customWidth="1"/>
    <col min="2832" max="3072" width="11" style="175"/>
    <col min="3073" max="3073" width="5.33203125" style="175" customWidth="1"/>
    <col min="3074" max="3075" width="10.6640625" style="175" customWidth="1"/>
    <col min="3076" max="3077" width="9.88671875" style="175" customWidth="1"/>
    <col min="3078" max="3078" width="27" style="175" customWidth="1"/>
    <col min="3079" max="3079" width="9.5546875" style="175" bestFit="1" customWidth="1"/>
    <col min="3080" max="3080" width="8.6640625" style="175" bestFit="1" customWidth="1"/>
    <col min="3081" max="3081" width="12.44140625" style="175" customWidth="1"/>
    <col min="3082" max="3082" width="10.44140625" style="175" customWidth="1"/>
    <col min="3083" max="3083" width="9.88671875" style="175" customWidth="1"/>
    <col min="3084" max="3084" width="9.33203125" style="175" customWidth="1"/>
    <col min="3085" max="3085" width="11.88671875" style="175" customWidth="1"/>
    <col min="3086" max="3086" width="16.6640625" style="175" customWidth="1"/>
    <col min="3087" max="3087" width="55.88671875" style="175" customWidth="1"/>
    <col min="3088" max="3328" width="11" style="175"/>
    <col min="3329" max="3329" width="5.33203125" style="175" customWidth="1"/>
    <col min="3330" max="3331" width="10.6640625" style="175" customWidth="1"/>
    <col min="3332" max="3333" width="9.88671875" style="175" customWidth="1"/>
    <col min="3334" max="3334" width="27" style="175" customWidth="1"/>
    <col min="3335" max="3335" width="9.5546875" style="175" bestFit="1" customWidth="1"/>
    <col min="3336" max="3336" width="8.6640625" style="175" bestFit="1" customWidth="1"/>
    <col min="3337" max="3337" width="12.44140625" style="175" customWidth="1"/>
    <col min="3338" max="3338" width="10.44140625" style="175" customWidth="1"/>
    <col min="3339" max="3339" width="9.88671875" style="175" customWidth="1"/>
    <col min="3340" max="3340" width="9.33203125" style="175" customWidth="1"/>
    <col min="3341" max="3341" width="11.88671875" style="175" customWidth="1"/>
    <col min="3342" max="3342" width="16.6640625" style="175" customWidth="1"/>
    <col min="3343" max="3343" width="55.88671875" style="175" customWidth="1"/>
    <col min="3344" max="3584" width="11" style="175"/>
    <col min="3585" max="3585" width="5.33203125" style="175" customWidth="1"/>
    <col min="3586" max="3587" width="10.6640625" style="175" customWidth="1"/>
    <col min="3588" max="3589" width="9.88671875" style="175" customWidth="1"/>
    <col min="3590" max="3590" width="27" style="175" customWidth="1"/>
    <col min="3591" max="3591" width="9.5546875" style="175" bestFit="1" customWidth="1"/>
    <col min="3592" max="3592" width="8.6640625" style="175" bestFit="1" customWidth="1"/>
    <col min="3593" max="3593" width="12.44140625" style="175" customWidth="1"/>
    <col min="3594" max="3594" width="10.44140625" style="175" customWidth="1"/>
    <col min="3595" max="3595" width="9.88671875" style="175" customWidth="1"/>
    <col min="3596" max="3596" width="9.33203125" style="175" customWidth="1"/>
    <col min="3597" max="3597" width="11.88671875" style="175" customWidth="1"/>
    <col min="3598" max="3598" width="16.6640625" style="175" customWidth="1"/>
    <col min="3599" max="3599" width="55.88671875" style="175" customWidth="1"/>
    <col min="3600" max="3840" width="11" style="175"/>
    <col min="3841" max="3841" width="5.33203125" style="175" customWidth="1"/>
    <col min="3842" max="3843" width="10.6640625" style="175" customWidth="1"/>
    <col min="3844" max="3845" width="9.88671875" style="175" customWidth="1"/>
    <col min="3846" max="3846" width="27" style="175" customWidth="1"/>
    <col min="3847" max="3847" width="9.5546875" style="175" bestFit="1" customWidth="1"/>
    <col min="3848" max="3848" width="8.6640625" style="175" bestFit="1" customWidth="1"/>
    <col min="3849" max="3849" width="12.44140625" style="175" customWidth="1"/>
    <col min="3850" max="3850" width="10.44140625" style="175" customWidth="1"/>
    <col min="3851" max="3851" width="9.88671875" style="175" customWidth="1"/>
    <col min="3852" max="3852" width="9.33203125" style="175" customWidth="1"/>
    <col min="3853" max="3853" width="11.88671875" style="175" customWidth="1"/>
    <col min="3854" max="3854" width="16.6640625" style="175" customWidth="1"/>
    <col min="3855" max="3855" width="55.88671875" style="175" customWidth="1"/>
    <col min="3856" max="4096" width="11" style="175"/>
    <col min="4097" max="4097" width="5.33203125" style="175" customWidth="1"/>
    <col min="4098" max="4099" width="10.6640625" style="175" customWidth="1"/>
    <col min="4100" max="4101" width="9.88671875" style="175" customWidth="1"/>
    <col min="4102" max="4102" width="27" style="175" customWidth="1"/>
    <col min="4103" max="4103" width="9.5546875" style="175" bestFit="1" customWidth="1"/>
    <col min="4104" max="4104" width="8.6640625" style="175" bestFit="1" customWidth="1"/>
    <col min="4105" max="4105" width="12.44140625" style="175" customWidth="1"/>
    <col min="4106" max="4106" width="10.44140625" style="175" customWidth="1"/>
    <col min="4107" max="4107" width="9.88671875" style="175" customWidth="1"/>
    <col min="4108" max="4108" width="9.33203125" style="175" customWidth="1"/>
    <col min="4109" max="4109" width="11.88671875" style="175" customWidth="1"/>
    <col min="4110" max="4110" width="16.6640625" style="175" customWidth="1"/>
    <col min="4111" max="4111" width="55.88671875" style="175" customWidth="1"/>
    <col min="4112" max="4352" width="11" style="175"/>
    <col min="4353" max="4353" width="5.33203125" style="175" customWidth="1"/>
    <col min="4354" max="4355" width="10.6640625" style="175" customWidth="1"/>
    <col min="4356" max="4357" width="9.88671875" style="175" customWidth="1"/>
    <col min="4358" max="4358" width="27" style="175" customWidth="1"/>
    <col min="4359" max="4359" width="9.5546875" style="175" bestFit="1" customWidth="1"/>
    <col min="4360" max="4360" width="8.6640625" style="175" bestFit="1" customWidth="1"/>
    <col min="4361" max="4361" width="12.44140625" style="175" customWidth="1"/>
    <col min="4362" max="4362" width="10.44140625" style="175" customWidth="1"/>
    <col min="4363" max="4363" width="9.88671875" style="175" customWidth="1"/>
    <col min="4364" max="4364" width="9.33203125" style="175" customWidth="1"/>
    <col min="4365" max="4365" width="11.88671875" style="175" customWidth="1"/>
    <col min="4366" max="4366" width="16.6640625" style="175" customWidth="1"/>
    <col min="4367" max="4367" width="55.88671875" style="175" customWidth="1"/>
    <col min="4368" max="4608" width="11" style="175"/>
    <col min="4609" max="4609" width="5.33203125" style="175" customWidth="1"/>
    <col min="4610" max="4611" width="10.6640625" style="175" customWidth="1"/>
    <col min="4612" max="4613" width="9.88671875" style="175" customWidth="1"/>
    <col min="4614" max="4614" width="27" style="175" customWidth="1"/>
    <col min="4615" max="4615" width="9.5546875" style="175" bestFit="1" customWidth="1"/>
    <col min="4616" max="4616" width="8.6640625" style="175" bestFit="1" customWidth="1"/>
    <col min="4617" max="4617" width="12.44140625" style="175" customWidth="1"/>
    <col min="4618" max="4618" width="10.44140625" style="175" customWidth="1"/>
    <col min="4619" max="4619" width="9.88671875" style="175" customWidth="1"/>
    <col min="4620" max="4620" width="9.33203125" style="175" customWidth="1"/>
    <col min="4621" max="4621" width="11.88671875" style="175" customWidth="1"/>
    <col min="4622" max="4622" width="16.6640625" style="175" customWidth="1"/>
    <col min="4623" max="4623" width="55.88671875" style="175" customWidth="1"/>
    <col min="4624" max="4864" width="11" style="175"/>
    <col min="4865" max="4865" width="5.33203125" style="175" customWidth="1"/>
    <col min="4866" max="4867" width="10.6640625" style="175" customWidth="1"/>
    <col min="4868" max="4869" width="9.88671875" style="175" customWidth="1"/>
    <col min="4870" max="4870" width="27" style="175" customWidth="1"/>
    <col min="4871" max="4871" width="9.5546875" style="175" bestFit="1" customWidth="1"/>
    <col min="4872" max="4872" width="8.6640625" style="175" bestFit="1" customWidth="1"/>
    <col min="4873" max="4873" width="12.44140625" style="175" customWidth="1"/>
    <col min="4874" max="4874" width="10.44140625" style="175" customWidth="1"/>
    <col min="4875" max="4875" width="9.88671875" style="175" customWidth="1"/>
    <col min="4876" max="4876" width="9.33203125" style="175" customWidth="1"/>
    <col min="4877" max="4877" width="11.88671875" style="175" customWidth="1"/>
    <col min="4878" max="4878" width="16.6640625" style="175" customWidth="1"/>
    <col min="4879" max="4879" width="55.88671875" style="175" customWidth="1"/>
    <col min="4880" max="5120" width="11" style="175"/>
    <col min="5121" max="5121" width="5.33203125" style="175" customWidth="1"/>
    <col min="5122" max="5123" width="10.6640625" style="175" customWidth="1"/>
    <col min="5124" max="5125" width="9.88671875" style="175" customWidth="1"/>
    <col min="5126" max="5126" width="27" style="175" customWidth="1"/>
    <col min="5127" max="5127" width="9.5546875" style="175" bestFit="1" customWidth="1"/>
    <col min="5128" max="5128" width="8.6640625" style="175" bestFit="1" customWidth="1"/>
    <col min="5129" max="5129" width="12.44140625" style="175" customWidth="1"/>
    <col min="5130" max="5130" width="10.44140625" style="175" customWidth="1"/>
    <col min="5131" max="5131" width="9.88671875" style="175" customWidth="1"/>
    <col min="5132" max="5132" width="9.33203125" style="175" customWidth="1"/>
    <col min="5133" max="5133" width="11.88671875" style="175" customWidth="1"/>
    <col min="5134" max="5134" width="16.6640625" style="175" customWidth="1"/>
    <col min="5135" max="5135" width="55.88671875" style="175" customWidth="1"/>
    <col min="5136" max="5376" width="11" style="175"/>
    <col min="5377" max="5377" width="5.33203125" style="175" customWidth="1"/>
    <col min="5378" max="5379" width="10.6640625" style="175" customWidth="1"/>
    <col min="5380" max="5381" width="9.88671875" style="175" customWidth="1"/>
    <col min="5382" max="5382" width="27" style="175" customWidth="1"/>
    <col min="5383" max="5383" width="9.5546875" style="175" bestFit="1" customWidth="1"/>
    <col min="5384" max="5384" width="8.6640625" style="175" bestFit="1" customWidth="1"/>
    <col min="5385" max="5385" width="12.44140625" style="175" customWidth="1"/>
    <col min="5386" max="5386" width="10.44140625" style="175" customWidth="1"/>
    <col min="5387" max="5387" width="9.88671875" style="175" customWidth="1"/>
    <col min="5388" max="5388" width="9.33203125" style="175" customWidth="1"/>
    <col min="5389" max="5389" width="11.88671875" style="175" customWidth="1"/>
    <col min="5390" max="5390" width="16.6640625" style="175" customWidth="1"/>
    <col min="5391" max="5391" width="55.88671875" style="175" customWidth="1"/>
    <col min="5392" max="5632" width="11" style="175"/>
    <col min="5633" max="5633" width="5.33203125" style="175" customWidth="1"/>
    <col min="5634" max="5635" width="10.6640625" style="175" customWidth="1"/>
    <col min="5636" max="5637" width="9.88671875" style="175" customWidth="1"/>
    <col min="5638" max="5638" width="27" style="175" customWidth="1"/>
    <col min="5639" max="5639" width="9.5546875" style="175" bestFit="1" customWidth="1"/>
    <col min="5640" max="5640" width="8.6640625" style="175" bestFit="1" customWidth="1"/>
    <col min="5641" max="5641" width="12.44140625" style="175" customWidth="1"/>
    <col min="5642" max="5642" width="10.44140625" style="175" customWidth="1"/>
    <col min="5643" max="5643" width="9.88671875" style="175" customWidth="1"/>
    <col min="5644" max="5644" width="9.33203125" style="175" customWidth="1"/>
    <col min="5645" max="5645" width="11.88671875" style="175" customWidth="1"/>
    <col min="5646" max="5646" width="16.6640625" style="175" customWidth="1"/>
    <col min="5647" max="5647" width="55.88671875" style="175" customWidth="1"/>
    <col min="5648" max="5888" width="11" style="175"/>
    <col min="5889" max="5889" width="5.33203125" style="175" customWidth="1"/>
    <col min="5890" max="5891" width="10.6640625" style="175" customWidth="1"/>
    <col min="5892" max="5893" width="9.88671875" style="175" customWidth="1"/>
    <col min="5894" max="5894" width="27" style="175" customWidth="1"/>
    <col min="5895" max="5895" width="9.5546875" style="175" bestFit="1" customWidth="1"/>
    <col min="5896" max="5896" width="8.6640625" style="175" bestFit="1" customWidth="1"/>
    <col min="5897" max="5897" width="12.44140625" style="175" customWidth="1"/>
    <col min="5898" max="5898" width="10.44140625" style="175" customWidth="1"/>
    <col min="5899" max="5899" width="9.88671875" style="175" customWidth="1"/>
    <col min="5900" max="5900" width="9.33203125" style="175" customWidth="1"/>
    <col min="5901" max="5901" width="11.88671875" style="175" customWidth="1"/>
    <col min="5902" max="5902" width="16.6640625" style="175" customWidth="1"/>
    <col min="5903" max="5903" width="55.88671875" style="175" customWidth="1"/>
    <col min="5904" max="6144" width="11" style="175"/>
    <col min="6145" max="6145" width="5.33203125" style="175" customWidth="1"/>
    <col min="6146" max="6147" width="10.6640625" style="175" customWidth="1"/>
    <col min="6148" max="6149" width="9.88671875" style="175" customWidth="1"/>
    <col min="6150" max="6150" width="27" style="175" customWidth="1"/>
    <col min="6151" max="6151" width="9.5546875" style="175" bestFit="1" customWidth="1"/>
    <col min="6152" max="6152" width="8.6640625" style="175" bestFit="1" customWidth="1"/>
    <col min="6153" max="6153" width="12.44140625" style="175" customWidth="1"/>
    <col min="6154" max="6154" width="10.44140625" style="175" customWidth="1"/>
    <col min="6155" max="6155" width="9.88671875" style="175" customWidth="1"/>
    <col min="6156" max="6156" width="9.33203125" style="175" customWidth="1"/>
    <col min="6157" max="6157" width="11.88671875" style="175" customWidth="1"/>
    <col min="6158" max="6158" width="16.6640625" style="175" customWidth="1"/>
    <col min="6159" max="6159" width="55.88671875" style="175" customWidth="1"/>
    <col min="6160" max="6400" width="11" style="175"/>
    <col min="6401" max="6401" width="5.33203125" style="175" customWidth="1"/>
    <col min="6402" max="6403" width="10.6640625" style="175" customWidth="1"/>
    <col min="6404" max="6405" width="9.88671875" style="175" customWidth="1"/>
    <col min="6406" max="6406" width="27" style="175" customWidth="1"/>
    <col min="6407" max="6407" width="9.5546875" style="175" bestFit="1" customWidth="1"/>
    <col min="6408" max="6408" width="8.6640625" style="175" bestFit="1" customWidth="1"/>
    <col min="6409" max="6409" width="12.44140625" style="175" customWidth="1"/>
    <col min="6410" max="6410" width="10.44140625" style="175" customWidth="1"/>
    <col min="6411" max="6411" width="9.88671875" style="175" customWidth="1"/>
    <col min="6412" max="6412" width="9.33203125" style="175" customWidth="1"/>
    <col min="6413" max="6413" width="11.88671875" style="175" customWidth="1"/>
    <col min="6414" max="6414" width="16.6640625" style="175" customWidth="1"/>
    <col min="6415" max="6415" width="55.88671875" style="175" customWidth="1"/>
    <col min="6416" max="6656" width="11" style="175"/>
    <col min="6657" max="6657" width="5.33203125" style="175" customWidth="1"/>
    <col min="6658" max="6659" width="10.6640625" style="175" customWidth="1"/>
    <col min="6660" max="6661" width="9.88671875" style="175" customWidth="1"/>
    <col min="6662" max="6662" width="27" style="175" customWidth="1"/>
    <col min="6663" max="6663" width="9.5546875" style="175" bestFit="1" customWidth="1"/>
    <col min="6664" max="6664" width="8.6640625" style="175" bestFit="1" customWidth="1"/>
    <col min="6665" max="6665" width="12.44140625" style="175" customWidth="1"/>
    <col min="6666" max="6666" width="10.44140625" style="175" customWidth="1"/>
    <col min="6667" max="6667" width="9.88671875" style="175" customWidth="1"/>
    <col min="6668" max="6668" width="9.33203125" style="175" customWidth="1"/>
    <col min="6669" max="6669" width="11.88671875" style="175" customWidth="1"/>
    <col min="6670" max="6670" width="16.6640625" style="175" customWidth="1"/>
    <col min="6671" max="6671" width="55.88671875" style="175" customWidth="1"/>
    <col min="6672" max="6912" width="11" style="175"/>
    <col min="6913" max="6913" width="5.33203125" style="175" customWidth="1"/>
    <col min="6914" max="6915" width="10.6640625" style="175" customWidth="1"/>
    <col min="6916" max="6917" width="9.88671875" style="175" customWidth="1"/>
    <col min="6918" max="6918" width="27" style="175" customWidth="1"/>
    <col min="6919" max="6919" width="9.5546875" style="175" bestFit="1" customWidth="1"/>
    <col min="6920" max="6920" width="8.6640625" style="175" bestFit="1" customWidth="1"/>
    <col min="6921" max="6921" width="12.44140625" style="175" customWidth="1"/>
    <col min="6922" max="6922" width="10.44140625" style="175" customWidth="1"/>
    <col min="6923" max="6923" width="9.88671875" style="175" customWidth="1"/>
    <col min="6924" max="6924" width="9.33203125" style="175" customWidth="1"/>
    <col min="6925" max="6925" width="11.88671875" style="175" customWidth="1"/>
    <col min="6926" max="6926" width="16.6640625" style="175" customWidth="1"/>
    <col min="6927" max="6927" width="55.88671875" style="175" customWidth="1"/>
    <col min="6928" max="7168" width="11" style="175"/>
    <col min="7169" max="7169" width="5.33203125" style="175" customWidth="1"/>
    <col min="7170" max="7171" width="10.6640625" style="175" customWidth="1"/>
    <col min="7172" max="7173" width="9.88671875" style="175" customWidth="1"/>
    <col min="7174" max="7174" width="27" style="175" customWidth="1"/>
    <col min="7175" max="7175" width="9.5546875" style="175" bestFit="1" customWidth="1"/>
    <col min="7176" max="7176" width="8.6640625" style="175" bestFit="1" customWidth="1"/>
    <col min="7177" max="7177" width="12.44140625" style="175" customWidth="1"/>
    <col min="7178" max="7178" width="10.44140625" style="175" customWidth="1"/>
    <col min="7179" max="7179" width="9.88671875" style="175" customWidth="1"/>
    <col min="7180" max="7180" width="9.33203125" style="175" customWidth="1"/>
    <col min="7181" max="7181" width="11.88671875" style="175" customWidth="1"/>
    <col min="7182" max="7182" width="16.6640625" style="175" customWidth="1"/>
    <col min="7183" max="7183" width="55.88671875" style="175" customWidth="1"/>
    <col min="7184" max="7424" width="11" style="175"/>
    <col min="7425" max="7425" width="5.33203125" style="175" customWidth="1"/>
    <col min="7426" max="7427" width="10.6640625" style="175" customWidth="1"/>
    <col min="7428" max="7429" width="9.88671875" style="175" customWidth="1"/>
    <col min="7430" max="7430" width="27" style="175" customWidth="1"/>
    <col min="7431" max="7431" width="9.5546875" style="175" bestFit="1" customWidth="1"/>
    <col min="7432" max="7432" width="8.6640625" style="175" bestFit="1" customWidth="1"/>
    <col min="7433" max="7433" width="12.44140625" style="175" customWidth="1"/>
    <col min="7434" max="7434" width="10.44140625" style="175" customWidth="1"/>
    <col min="7435" max="7435" width="9.88671875" style="175" customWidth="1"/>
    <col min="7436" max="7436" width="9.33203125" style="175" customWidth="1"/>
    <col min="7437" max="7437" width="11.88671875" style="175" customWidth="1"/>
    <col min="7438" max="7438" width="16.6640625" style="175" customWidth="1"/>
    <col min="7439" max="7439" width="55.88671875" style="175" customWidth="1"/>
    <col min="7440" max="7680" width="11" style="175"/>
    <col min="7681" max="7681" width="5.33203125" style="175" customWidth="1"/>
    <col min="7682" max="7683" width="10.6640625" style="175" customWidth="1"/>
    <col min="7684" max="7685" width="9.88671875" style="175" customWidth="1"/>
    <col min="7686" max="7686" width="27" style="175" customWidth="1"/>
    <col min="7687" max="7687" width="9.5546875" style="175" bestFit="1" customWidth="1"/>
    <col min="7688" max="7688" width="8.6640625" style="175" bestFit="1" customWidth="1"/>
    <col min="7689" max="7689" width="12.44140625" style="175" customWidth="1"/>
    <col min="7690" max="7690" width="10.44140625" style="175" customWidth="1"/>
    <col min="7691" max="7691" width="9.88671875" style="175" customWidth="1"/>
    <col min="7692" max="7692" width="9.33203125" style="175" customWidth="1"/>
    <col min="7693" max="7693" width="11.88671875" style="175" customWidth="1"/>
    <col min="7694" max="7694" width="16.6640625" style="175" customWidth="1"/>
    <col min="7695" max="7695" width="55.88671875" style="175" customWidth="1"/>
    <col min="7696" max="7936" width="11" style="175"/>
    <col min="7937" max="7937" width="5.33203125" style="175" customWidth="1"/>
    <col min="7938" max="7939" width="10.6640625" style="175" customWidth="1"/>
    <col min="7940" max="7941" width="9.88671875" style="175" customWidth="1"/>
    <col min="7942" max="7942" width="27" style="175" customWidth="1"/>
    <col min="7943" max="7943" width="9.5546875" style="175" bestFit="1" customWidth="1"/>
    <col min="7944" max="7944" width="8.6640625" style="175" bestFit="1" customWidth="1"/>
    <col min="7945" max="7945" width="12.44140625" style="175" customWidth="1"/>
    <col min="7946" max="7946" width="10.44140625" style="175" customWidth="1"/>
    <col min="7947" max="7947" width="9.88671875" style="175" customWidth="1"/>
    <col min="7948" max="7948" width="9.33203125" style="175" customWidth="1"/>
    <col min="7949" max="7949" width="11.88671875" style="175" customWidth="1"/>
    <col min="7950" max="7950" width="16.6640625" style="175" customWidth="1"/>
    <col min="7951" max="7951" width="55.88671875" style="175" customWidth="1"/>
    <col min="7952" max="8192" width="11" style="175"/>
    <col min="8193" max="8193" width="5.33203125" style="175" customWidth="1"/>
    <col min="8194" max="8195" width="10.6640625" style="175" customWidth="1"/>
    <col min="8196" max="8197" width="9.88671875" style="175" customWidth="1"/>
    <col min="8198" max="8198" width="27" style="175" customWidth="1"/>
    <col min="8199" max="8199" width="9.5546875" style="175" bestFit="1" customWidth="1"/>
    <col min="8200" max="8200" width="8.6640625" style="175" bestFit="1" customWidth="1"/>
    <col min="8201" max="8201" width="12.44140625" style="175" customWidth="1"/>
    <col min="8202" max="8202" width="10.44140625" style="175" customWidth="1"/>
    <col min="8203" max="8203" width="9.88671875" style="175" customWidth="1"/>
    <col min="8204" max="8204" width="9.33203125" style="175" customWidth="1"/>
    <col min="8205" max="8205" width="11.88671875" style="175" customWidth="1"/>
    <col min="8206" max="8206" width="16.6640625" style="175" customWidth="1"/>
    <col min="8207" max="8207" width="55.88671875" style="175" customWidth="1"/>
    <col min="8208" max="8448" width="11" style="175"/>
    <col min="8449" max="8449" width="5.33203125" style="175" customWidth="1"/>
    <col min="8450" max="8451" width="10.6640625" style="175" customWidth="1"/>
    <col min="8452" max="8453" width="9.88671875" style="175" customWidth="1"/>
    <col min="8454" max="8454" width="27" style="175" customWidth="1"/>
    <col min="8455" max="8455" width="9.5546875" style="175" bestFit="1" customWidth="1"/>
    <col min="8456" max="8456" width="8.6640625" style="175" bestFit="1" customWidth="1"/>
    <col min="8457" max="8457" width="12.44140625" style="175" customWidth="1"/>
    <col min="8458" max="8458" width="10.44140625" style="175" customWidth="1"/>
    <col min="8459" max="8459" width="9.88671875" style="175" customWidth="1"/>
    <col min="8460" max="8460" width="9.33203125" style="175" customWidth="1"/>
    <col min="8461" max="8461" width="11.88671875" style="175" customWidth="1"/>
    <col min="8462" max="8462" width="16.6640625" style="175" customWidth="1"/>
    <col min="8463" max="8463" width="55.88671875" style="175" customWidth="1"/>
    <col min="8464" max="8704" width="11" style="175"/>
    <col min="8705" max="8705" width="5.33203125" style="175" customWidth="1"/>
    <col min="8706" max="8707" width="10.6640625" style="175" customWidth="1"/>
    <col min="8708" max="8709" width="9.88671875" style="175" customWidth="1"/>
    <col min="8710" max="8710" width="27" style="175" customWidth="1"/>
    <col min="8711" max="8711" width="9.5546875" style="175" bestFit="1" customWidth="1"/>
    <col min="8712" max="8712" width="8.6640625" style="175" bestFit="1" customWidth="1"/>
    <col min="8713" max="8713" width="12.44140625" style="175" customWidth="1"/>
    <col min="8714" max="8714" width="10.44140625" style="175" customWidth="1"/>
    <col min="8715" max="8715" width="9.88671875" style="175" customWidth="1"/>
    <col min="8716" max="8716" width="9.33203125" style="175" customWidth="1"/>
    <col min="8717" max="8717" width="11.88671875" style="175" customWidth="1"/>
    <col min="8718" max="8718" width="16.6640625" style="175" customWidth="1"/>
    <col min="8719" max="8719" width="55.88671875" style="175" customWidth="1"/>
    <col min="8720" max="8960" width="11" style="175"/>
    <col min="8961" max="8961" width="5.33203125" style="175" customWidth="1"/>
    <col min="8962" max="8963" width="10.6640625" style="175" customWidth="1"/>
    <col min="8964" max="8965" width="9.88671875" style="175" customWidth="1"/>
    <col min="8966" max="8966" width="27" style="175" customWidth="1"/>
    <col min="8967" max="8967" width="9.5546875" style="175" bestFit="1" customWidth="1"/>
    <col min="8968" max="8968" width="8.6640625" style="175" bestFit="1" customWidth="1"/>
    <col min="8969" max="8969" width="12.44140625" style="175" customWidth="1"/>
    <col min="8970" max="8970" width="10.44140625" style="175" customWidth="1"/>
    <col min="8971" max="8971" width="9.88671875" style="175" customWidth="1"/>
    <col min="8972" max="8972" width="9.33203125" style="175" customWidth="1"/>
    <col min="8973" max="8973" width="11.88671875" style="175" customWidth="1"/>
    <col min="8974" max="8974" width="16.6640625" style="175" customWidth="1"/>
    <col min="8975" max="8975" width="55.88671875" style="175" customWidth="1"/>
    <col min="8976" max="9216" width="11" style="175"/>
    <col min="9217" max="9217" width="5.33203125" style="175" customWidth="1"/>
    <col min="9218" max="9219" width="10.6640625" style="175" customWidth="1"/>
    <col min="9220" max="9221" width="9.88671875" style="175" customWidth="1"/>
    <col min="9222" max="9222" width="27" style="175" customWidth="1"/>
    <col min="9223" max="9223" width="9.5546875" style="175" bestFit="1" customWidth="1"/>
    <col min="9224" max="9224" width="8.6640625" style="175" bestFit="1" customWidth="1"/>
    <col min="9225" max="9225" width="12.44140625" style="175" customWidth="1"/>
    <col min="9226" max="9226" width="10.44140625" style="175" customWidth="1"/>
    <col min="9227" max="9227" width="9.88671875" style="175" customWidth="1"/>
    <col min="9228" max="9228" width="9.33203125" style="175" customWidth="1"/>
    <col min="9229" max="9229" width="11.88671875" style="175" customWidth="1"/>
    <col min="9230" max="9230" width="16.6640625" style="175" customWidth="1"/>
    <col min="9231" max="9231" width="55.88671875" style="175" customWidth="1"/>
    <col min="9232" max="9472" width="11" style="175"/>
    <col min="9473" max="9473" width="5.33203125" style="175" customWidth="1"/>
    <col min="9474" max="9475" width="10.6640625" style="175" customWidth="1"/>
    <col min="9476" max="9477" width="9.88671875" style="175" customWidth="1"/>
    <col min="9478" max="9478" width="27" style="175" customWidth="1"/>
    <col min="9479" max="9479" width="9.5546875" style="175" bestFit="1" customWidth="1"/>
    <col min="9480" max="9480" width="8.6640625" style="175" bestFit="1" customWidth="1"/>
    <col min="9481" max="9481" width="12.44140625" style="175" customWidth="1"/>
    <col min="9482" max="9482" width="10.44140625" style="175" customWidth="1"/>
    <col min="9483" max="9483" width="9.88671875" style="175" customWidth="1"/>
    <col min="9484" max="9484" width="9.33203125" style="175" customWidth="1"/>
    <col min="9485" max="9485" width="11.88671875" style="175" customWidth="1"/>
    <col min="9486" max="9486" width="16.6640625" style="175" customWidth="1"/>
    <col min="9487" max="9487" width="55.88671875" style="175" customWidth="1"/>
    <col min="9488" max="9728" width="11" style="175"/>
    <col min="9729" max="9729" width="5.33203125" style="175" customWidth="1"/>
    <col min="9730" max="9731" width="10.6640625" style="175" customWidth="1"/>
    <col min="9732" max="9733" width="9.88671875" style="175" customWidth="1"/>
    <col min="9734" max="9734" width="27" style="175" customWidth="1"/>
    <col min="9735" max="9735" width="9.5546875" style="175" bestFit="1" customWidth="1"/>
    <col min="9736" max="9736" width="8.6640625" style="175" bestFit="1" customWidth="1"/>
    <col min="9737" max="9737" width="12.44140625" style="175" customWidth="1"/>
    <col min="9738" max="9738" width="10.44140625" style="175" customWidth="1"/>
    <col min="9739" max="9739" width="9.88671875" style="175" customWidth="1"/>
    <col min="9740" max="9740" width="9.33203125" style="175" customWidth="1"/>
    <col min="9741" max="9741" width="11.88671875" style="175" customWidth="1"/>
    <col min="9742" max="9742" width="16.6640625" style="175" customWidth="1"/>
    <col min="9743" max="9743" width="55.88671875" style="175" customWidth="1"/>
    <col min="9744" max="9984" width="11" style="175"/>
    <col min="9985" max="9985" width="5.33203125" style="175" customWidth="1"/>
    <col min="9986" max="9987" width="10.6640625" style="175" customWidth="1"/>
    <col min="9988" max="9989" width="9.88671875" style="175" customWidth="1"/>
    <col min="9990" max="9990" width="27" style="175" customWidth="1"/>
    <col min="9991" max="9991" width="9.5546875" style="175" bestFit="1" customWidth="1"/>
    <col min="9992" max="9992" width="8.6640625" style="175" bestFit="1" customWidth="1"/>
    <col min="9993" max="9993" width="12.44140625" style="175" customWidth="1"/>
    <col min="9994" max="9994" width="10.44140625" style="175" customWidth="1"/>
    <col min="9995" max="9995" width="9.88671875" style="175" customWidth="1"/>
    <col min="9996" max="9996" width="9.33203125" style="175" customWidth="1"/>
    <col min="9997" max="9997" width="11.88671875" style="175" customWidth="1"/>
    <col min="9998" max="9998" width="16.6640625" style="175" customWidth="1"/>
    <col min="9999" max="9999" width="55.88671875" style="175" customWidth="1"/>
    <col min="10000" max="10240" width="11" style="175"/>
    <col min="10241" max="10241" width="5.33203125" style="175" customWidth="1"/>
    <col min="10242" max="10243" width="10.6640625" style="175" customWidth="1"/>
    <col min="10244" max="10245" width="9.88671875" style="175" customWidth="1"/>
    <col min="10246" max="10246" width="27" style="175" customWidth="1"/>
    <col min="10247" max="10247" width="9.5546875" style="175" bestFit="1" customWidth="1"/>
    <col min="10248" max="10248" width="8.6640625" style="175" bestFit="1" customWidth="1"/>
    <col min="10249" max="10249" width="12.44140625" style="175" customWidth="1"/>
    <col min="10250" max="10250" width="10.44140625" style="175" customWidth="1"/>
    <col min="10251" max="10251" width="9.88671875" style="175" customWidth="1"/>
    <col min="10252" max="10252" width="9.33203125" style="175" customWidth="1"/>
    <col min="10253" max="10253" width="11.88671875" style="175" customWidth="1"/>
    <col min="10254" max="10254" width="16.6640625" style="175" customWidth="1"/>
    <col min="10255" max="10255" width="55.88671875" style="175" customWidth="1"/>
    <col min="10256" max="10496" width="11" style="175"/>
    <col min="10497" max="10497" width="5.33203125" style="175" customWidth="1"/>
    <col min="10498" max="10499" width="10.6640625" style="175" customWidth="1"/>
    <col min="10500" max="10501" width="9.88671875" style="175" customWidth="1"/>
    <col min="10502" max="10502" width="27" style="175" customWidth="1"/>
    <col min="10503" max="10503" width="9.5546875" style="175" bestFit="1" customWidth="1"/>
    <col min="10504" max="10504" width="8.6640625" style="175" bestFit="1" customWidth="1"/>
    <col min="10505" max="10505" width="12.44140625" style="175" customWidth="1"/>
    <col min="10506" max="10506" width="10.44140625" style="175" customWidth="1"/>
    <col min="10507" max="10507" width="9.88671875" style="175" customWidth="1"/>
    <col min="10508" max="10508" width="9.33203125" style="175" customWidth="1"/>
    <col min="10509" max="10509" width="11.88671875" style="175" customWidth="1"/>
    <col min="10510" max="10510" width="16.6640625" style="175" customWidth="1"/>
    <col min="10511" max="10511" width="55.88671875" style="175" customWidth="1"/>
    <col min="10512" max="10752" width="11" style="175"/>
    <col min="10753" max="10753" width="5.33203125" style="175" customWidth="1"/>
    <col min="10754" max="10755" width="10.6640625" style="175" customWidth="1"/>
    <col min="10756" max="10757" width="9.88671875" style="175" customWidth="1"/>
    <col min="10758" max="10758" width="27" style="175" customWidth="1"/>
    <col min="10759" max="10759" width="9.5546875" style="175" bestFit="1" customWidth="1"/>
    <col min="10760" max="10760" width="8.6640625" style="175" bestFit="1" customWidth="1"/>
    <col min="10761" max="10761" width="12.44140625" style="175" customWidth="1"/>
    <col min="10762" max="10762" width="10.44140625" style="175" customWidth="1"/>
    <col min="10763" max="10763" width="9.88671875" style="175" customWidth="1"/>
    <col min="10764" max="10764" width="9.33203125" style="175" customWidth="1"/>
    <col min="10765" max="10765" width="11.88671875" style="175" customWidth="1"/>
    <col min="10766" max="10766" width="16.6640625" style="175" customWidth="1"/>
    <col min="10767" max="10767" width="55.88671875" style="175" customWidth="1"/>
    <col min="10768" max="11008" width="11" style="175"/>
    <col min="11009" max="11009" width="5.33203125" style="175" customWidth="1"/>
    <col min="11010" max="11011" width="10.6640625" style="175" customWidth="1"/>
    <col min="11012" max="11013" width="9.88671875" style="175" customWidth="1"/>
    <col min="11014" max="11014" width="27" style="175" customWidth="1"/>
    <col min="11015" max="11015" width="9.5546875" style="175" bestFit="1" customWidth="1"/>
    <col min="11016" max="11016" width="8.6640625" style="175" bestFit="1" customWidth="1"/>
    <col min="11017" max="11017" width="12.44140625" style="175" customWidth="1"/>
    <col min="11018" max="11018" width="10.44140625" style="175" customWidth="1"/>
    <col min="11019" max="11019" width="9.88671875" style="175" customWidth="1"/>
    <col min="11020" max="11020" width="9.33203125" style="175" customWidth="1"/>
    <col min="11021" max="11021" width="11.88671875" style="175" customWidth="1"/>
    <col min="11022" max="11022" width="16.6640625" style="175" customWidth="1"/>
    <col min="11023" max="11023" width="55.88671875" style="175" customWidth="1"/>
    <col min="11024" max="11264" width="11" style="175"/>
    <col min="11265" max="11265" width="5.33203125" style="175" customWidth="1"/>
    <col min="11266" max="11267" width="10.6640625" style="175" customWidth="1"/>
    <col min="11268" max="11269" width="9.88671875" style="175" customWidth="1"/>
    <col min="11270" max="11270" width="27" style="175" customWidth="1"/>
    <col min="11271" max="11271" width="9.5546875" style="175" bestFit="1" customWidth="1"/>
    <col min="11272" max="11272" width="8.6640625" style="175" bestFit="1" customWidth="1"/>
    <col min="11273" max="11273" width="12.44140625" style="175" customWidth="1"/>
    <col min="11274" max="11274" width="10.44140625" style="175" customWidth="1"/>
    <col min="11275" max="11275" width="9.88671875" style="175" customWidth="1"/>
    <col min="11276" max="11276" width="9.33203125" style="175" customWidth="1"/>
    <col min="11277" max="11277" width="11.88671875" style="175" customWidth="1"/>
    <col min="11278" max="11278" width="16.6640625" style="175" customWidth="1"/>
    <col min="11279" max="11279" width="55.88671875" style="175" customWidth="1"/>
    <col min="11280" max="11520" width="11" style="175"/>
    <col min="11521" max="11521" width="5.33203125" style="175" customWidth="1"/>
    <col min="11522" max="11523" width="10.6640625" style="175" customWidth="1"/>
    <col min="11524" max="11525" width="9.88671875" style="175" customWidth="1"/>
    <col min="11526" max="11526" width="27" style="175" customWidth="1"/>
    <col min="11527" max="11527" width="9.5546875" style="175" bestFit="1" customWidth="1"/>
    <col min="11528" max="11528" width="8.6640625" style="175" bestFit="1" customWidth="1"/>
    <col min="11529" max="11529" width="12.44140625" style="175" customWidth="1"/>
    <col min="11530" max="11530" width="10.44140625" style="175" customWidth="1"/>
    <col min="11531" max="11531" width="9.88671875" style="175" customWidth="1"/>
    <col min="11532" max="11532" width="9.33203125" style="175" customWidth="1"/>
    <col min="11533" max="11533" width="11.88671875" style="175" customWidth="1"/>
    <col min="11534" max="11534" width="16.6640625" style="175" customWidth="1"/>
    <col min="11535" max="11535" width="55.88671875" style="175" customWidth="1"/>
    <col min="11536" max="11776" width="11" style="175"/>
    <col min="11777" max="11777" width="5.33203125" style="175" customWidth="1"/>
    <col min="11778" max="11779" width="10.6640625" style="175" customWidth="1"/>
    <col min="11780" max="11781" width="9.88671875" style="175" customWidth="1"/>
    <col min="11782" max="11782" width="27" style="175" customWidth="1"/>
    <col min="11783" max="11783" width="9.5546875" style="175" bestFit="1" customWidth="1"/>
    <col min="11784" max="11784" width="8.6640625" style="175" bestFit="1" customWidth="1"/>
    <col min="11785" max="11785" width="12.44140625" style="175" customWidth="1"/>
    <col min="11786" max="11786" width="10.44140625" style="175" customWidth="1"/>
    <col min="11787" max="11787" width="9.88671875" style="175" customWidth="1"/>
    <col min="11788" max="11788" width="9.33203125" style="175" customWidth="1"/>
    <col min="11789" max="11789" width="11.88671875" style="175" customWidth="1"/>
    <col min="11790" max="11790" width="16.6640625" style="175" customWidth="1"/>
    <col min="11791" max="11791" width="55.88671875" style="175" customWidth="1"/>
    <col min="11792" max="12032" width="11" style="175"/>
    <col min="12033" max="12033" width="5.33203125" style="175" customWidth="1"/>
    <col min="12034" max="12035" width="10.6640625" style="175" customWidth="1"/>
    <col min="12036" max="12037" width="9.88671875" style="175" customWidth="1"/>
    <col min="12038" max="12038" width="27" style="175" customWidth="1"/>
    <col min="12039" max="12039" width="9.5546875" style="175" bestFit="1" customWidth="1"/>
    <col min="12040" max="12040" width="8.6640625" style="175" bestFit="1" customWidth="1"/>
    <col min="12041" max="12041" width="12.44140625" style="175" customWidth="1"/>
    <col min="12042" max="12042" width="10.44140625" style="175" customWidth="1"/>
    <col min="12043" max="12043" width="9.88671875" style="175" customWidth="1"/>
    <col min="12044" max="12044" width="9.33203125" style="175" customWidth="1"/>
    <col min="12045" max="12045" width="11.88671875" style="175" customWidth="1"/>
    <col min="12046" max="12046" width="16.6640625" style="175" customWidth="1"/>
    <col min="12047" max="12047" width="55.88671875" style="175" customWidth="1"/>
    <col min="12048" max="12288" width="11" style="175"/>
    <col min="12289" max="12289" width="5.33203125" style="175" customWidth="1"/>
    <col min="12290" max="12291" width="10.6640625" style="175" customWidth="1"/>
    <col min="12292" max="12293" width="9.88671875" style="175" customWidth="1"/>
    <col min="12294" max="12294" width="27" style="175" customWidth="1"/>
    <col min="12295" max="12295" width="9.5546875" style="175" bestFit="1" customWidth="1"/>
    <col min="12296" max="12296" width="8.6640625" style="175" bestFit="1" customWidth="1"/>
    <col min="12297" max="12297" width="12.44140625" style="175" customWidth="1"/>
    <col min="12298" max="12298" width="10.44140625" style="175" customWidth="1"/>
    <col min="12299" max="12299" width="9.88671875" style="175" customWidth="1"/>
    <col min="12300" max="12300" width="9.33203125" style="175" customWidth="1"/>
    <col min="12301" max="12301" width="11.88671875" style="175" customWidth="1"/>
    <col min="12302" max="12302" width="16.6640625" style="175" customWidth="1"/>
    <col min="12303" max="12303" width="55.88671875" style="175" customWidth="1"/>
    <col min="12304" max="12544" width="11" style="175"/>
    <col min="12545" max="12545" width="5.33203125" style="175" customWidth="1"/>
    <col min="12546" max="12547" width="10.6640625" style="175" customWidth="1"/>
    <col min="12548" max="12549" width="9.88671875" style="175" customWidth="1"/>
    <col min="12550" max="12550" width="27" style="175" customWidth="1"/>
    <col min="12551" max="12551" width="9.5546875" style="175" bestFit="1" customWidth="1"/>
    <col min="12552" max="12552" width="8.6640625" style="175" bestFit="1" customWidth="1"/>
    <col min="12553" max="12553" width="12.44140625" style="175" customWidth="1"/>
    <col min="12554" max="12554" width="10.44140625" style="175" customWidth="1"/>
    <col min="12555" max="12555" width="9.88671875" style="175" customWidth="1"/>
    <col min="12556" max="12556" width="9.33203125" style="175" customWidth="1"/>
    <col min="12557" max="12557" width="11.88671875" style="175" customWidth="1"/>
    <col min="12558" max="12558" width="16.6640625" style="175" customWidth="1"/>
    <col min="12559" max="12559" width="55.88671875" style="175" customWidth="1"/>
    <col min="12560" max="12800" width="11" style="175"/>
    <col min="12801" max="12801" width="5.33203125" style="175" customWidth="1"/>
    <col min="12802" max="12803" width="10.6640625" style="175" customWidth="1"/>
    <col min="12804" max="12805" width="9.88671875" style="175" customWidth="1"/>
    <col min="12806" max="12806" width="27" style="175" customWidth="1"/>
    <col min="12807" max="12807" width="9.5546875" style="175" bestFit="1" customWidth="1"/>
    <col min="12808" max="12808" width="8.6640625" style="175" bestFit="1" customWidth="1"/>
    <col min="12809" max="12809" width="12.44140625" style="175" customWidth="1"/>
    <col min="12810" max="12810" width="10.44140625" style="175" customWidth="1"/>
    <col min="12811" max="12811" width="9.88671875" style="175" customWidth="1"/>
    <col min="12812" max="12812" width="9.33203125" style="175" customWidth="1"/>
    <col min="12813" max="12813" width="11.88671875" style="175" customWidth="1"/>
    <col min="12814" max="12814" width="16.6640625" style="175" customWidth="1"/>
    <col min="12815" max="12815" width="55.88671875" style="175" customWidth="1"/>
    <col min="12816" max="13056" width="11" style="175"/>
    <col min="13057" max="13057" width="5.33203125" style="175" customWidth="1"/>
    <col min="13058" max="13059" width="10.6640625" style="175" customWidth="1"/>
    <col min="13060" max="13061" width="9.88671875" style="175" customWidth="1"/>
    <col min="13062" max="13062" width="27" style="175" customWidth="1"/>
    <col min="13063" max="13063" width="9.5546875" style="175" bestFit="1" customWidth="1"/>
    <col min="13064" max="13064" width="8.6640625" style="175" bestFit="1" customWidth="1"/>
    <col min="13065" max="13065" width="12.44140625" style="175" customWidth="1"/>
    <col min="13066" max="13066" width="10.44140625" style="175" customWidth="1"/>
    <col min="13067" max="13067" width="9.88671875" style="175" customWidth="1"/>
    <col min="13068" max="13068" width="9.33203125" style="175" customWidth="1"/>
    <col min="13069" max="13069" width="11.88671875" style="175" customWidth="1"/>
    <col min="13070" max="13070" width="16.6640625" style="175" customWidth="1"/>
    <col min="13071" max="13071" width="55.88671875" style="175" customWidth="1"/>
    <col min="13072" max="13312" width="11" style="175"/>
    <col min="13313" max="13313" width="5.33203125" style="175" customWidth="1"/>
    <col min="13314" max="13315" width="10.6640625" style="175" customWidth="1"/>
    <col min="13316" max="13317" width="9.88671875" style="175" customWidth="1"/>
    <col min="13318" max="13318" width="27" style="175" customWidth="1"/>
    <col min="13319" max="13319" width="9.5546875" style="175" bestFit="1" customWidth="1"/>
    <col min="13320" max="13320" width="8.6640625" style="175" bestFit="1" customWidth="1"/>
    <col min="13321" max="13321" width="12.44140625" style="175" customWidth="1"/>
    <col min="13322" max="13322" width="10.44140625" style="175" customWidth="1"/>
    <col min="13323" max="13323" width="9.88671875" style="175" customWidth="1"/>
    <col min="13324" max="13324" width="9.33203125" style="175" customWidth="1"/>
    <col min="13325" max="13325" width="11.88671875" style="175" customWidth="1"/>
    <col min="13326" max="13326" width="16.6640625" style="175" customWidth="1"/>
    <col min="13327" max="13327" width="55.88671875" style="175" customWidth="1"/>
    <col min="13328" max="13568" width="11" style="175"/>
    <col min="13569" max="13569" width="5.33203125" style="175" customWidth="1"/>
    <col min="13570" max="13571" width="10.6640625" style="175" customWidth="1"/>
    <col min="13572" max="13573" width="9.88671875" style="175" customWidth="1"/>
    <col min="13574" max="13574" width="27" style="175" customWidth="1"/>
    <col min="13575" max="13575" width="9.5546875" style="175" bestFit="1" customWidth="1"/>
    <col min="13576" max="13576" width="8.6640625" style="175" bestFit="1" customWidth="1"/>
    <col min="13577" max="13577" width="12.44140625" style="175" customWidth="1"/>
    <col min="13578" max="13578" width="10.44140625" style="175" customWidth="1"/>
    <col min="13579" max="13579" width="9.88671875" style="175" customWidth="1"/>
    <col min="13580" max="13580" width="9.33203125" style="175" customWidth="1"/>
    <col min="13581" max="13581" width="11.88671875" style="175" customWidth="1"/>
    <col min="13582" max="13582" width="16.6640625" style="175" customWidth="1"/>
    <col min="13583" max="13583" width="55.88671875" style="175" customWidth="1"/>
    <col min="13584" max="13824" width="11" style="175"/>
    <col min="13825" max="13825" width="5.33203125" style="175" customWidth="1"/>
    <col min="13826" max="13827" width="10.6640625" style="175" customWidth="1"/>
    <col min="13828" max="13829" width="9.88671875" style="175" customWidth="1"/>
    <col min="13830" max="13830" width="27" style="175" customWidth="1"/>
    <col min="13831" max="13831" width="9.5546875" style="175" bestFit="1" customWidth="1"/>
    <col min="13832" max="13832" width="8.6640625" style="175" bestFit="1" customWidth="1"/>
    <col min="13833" max="13833" width="12.44140625" style="175" customWidth="1"/>
    <col min="13834" max="13834" width="10.44140625" style="175" customWidth="1"/>
    <col min="13835" max="13835" width="9.88671875" style="175" customWidth="1"/>
    <col min="13836" max="13836" width="9.33203125" style="175" customWidth="1"/>
    <col min="13837" max="13837" width="11.88671875" style="175" customWidth="1"/>
    <col min="13838" max="13838" width="16.6640625" style="175" customWidth="1"/>
    <col min="13839" max="13839" width="55.88671875" style="175" customWidth="1"/>
    <col min="13840" max="14080" width="11" style="175"/>
    <col min="14081" max="14081" width="5.33203125" style="175" customWidth="1"/>
    <col min="14082" max="14083" width="10.6640625" style="175" customWidth="1"/>
    <col min="14084" max="14085" width="9.88671875" style="175" customWidth="1"/>
    <col min="14086" max="14086" width="27" style="175" customWidth="1"/>
    <col min="14087" max="14087" width="9.5546875" style="175" bestFit="1" customWidth="1"/>
    <col min="14088" max="14088" width="8.6640625" style="175" bestFit="1" customWidth="1"/>
    <col min="14089" max="14089" width="12.44140625" style="175" customWidth="1"/>
    <col min="14090" max="14090" width="10.44140625" style="175" customWidth="1"/>
    <col min="14091" max="14091" width="9.88671875" style="175" customWidth="1"/>
    <col min="14092" max="14092" width="9.33203125" style="175" customWidth="1"/>
    <col min="14093" max="14093" width="11.88671875" style="175" customWidth="1"/>
    <col min="14094" max="14094" width="16.6640625" style="175" customWidth="1"/>
    <col min="14095" max="14095" width="55.88671875" style="175" customWidth="1"/>
    <col min="14096" max="14336" width="11" style="175"/>
    <col min="14337" max="14337" width="5.33203125" style="175" customWidth="1"/>
    <col min="14338" max="14339" width="10.6640625" style="175" customWidth="1"/>
    <col min="14340" max="14341" width="9.88671875" style="175" customWidth="1"/>
    <col min="14342" max="14342" width="27" style="175" customWidth="1"/>
    <col min="14343" max="14343" width="9.5546875" style="175" bestFit="1" customWidth="1"/>
    <col min="14344" max="14344" width="8.6640625" style="175" bestFit="1" customWidth="1"/>
    <col min="14345" max="14345" width="12.44140625" style="175" customWidth="1"/>
    <col min="14346" max="14346" width="10.44140625" style="175" customWidth="1"/>
    <col min="14347" max="14347" width="9.88671875" style="175" customWidth="1"/>
    <col min="14348" max="14348" width="9.33203125" style="175" customWidth="1"/>
    <col min="14349" max="14349" width="11.88671875" style="175" customWidth="1"/>
    <col min="14350" max="14350" width="16.6640625" style="175" customWidth="1"/>
    <col min="14351" max="14351" width="55.88671875" style="175" customWidth="1"/>
    <col min="14352" max="14592" width="11" style="175"/>
    <col min="14593" max="14593" width="5.33203125" style="175" customWidth="1"/>
    <col min="14594" max="14595" width="10.6640625" style="175" customWidth="1"/>
    <col min="14596" max="14597" width="9.88671875" style="175" customWidth="1"/>
    <col min="14598" max="14598" width="27" style="175" customWidth="1"/>
    <col min="14599" max="14599" width="9.5546875" style="175" bestFit="1" customWidth="1"/>
    <col min="14600" max="14600" width="8.6640625" style="175" bestFit="1" customWidth="1"/>
    <col min="14601" max="14601" width="12.44140625" style="175" customWidth="1"/>
    <col min="14602" max="14602" width="10.44140625" style="175" customWidth="1"/>
    <col min="14603" max="14603" width="9.88671875" style="175" customWidth="1"/>
    <col min="14604" max="14604" width="9.33203125" style="175" customWidth="1"/>
    <col min="14605" max="14605" width="11.88671875" style="175" customWidth="1"/>
    <col min="14606" max="14606" width="16.6640625" style="175" customWidth="1"/>
    <col min="14607" max="14607" width="55.88671875" style="175" customWidth="1"/>
    <col min="14608" max="14848" width="11" style="175"/>
    <col min="14849" max="14849" width="5.33203125" style="175" customWidth="1"/>
    <col min="14850" max="14851" width="10.6640625" style="175" customWidth="1"/>
    <col min="14852" max="14853" width="9.88671875" style="175" customWidth="1"/>
    <col min="14854" max="14854" width="27" style="175" customWidth="1"/>
    <col min="14855" max="14855" width="9.5546875" style="175" bestFit="1" customWidth="1"/>
    <col min="14856" max="14856" width="8.6640625" style="175" bestFit="1" customWidth="1"/>
    <col min="14857" max="14857" width="12.44140625" style="175" customWidth="1"/>
    <col min="14858" max="14858" width="10.44140625" style="175" customWidth="1"/>
    <col min="14859" max="14859" width="9.88671875" style="175" customWidth="1"/>
    <col min="14860" max="14860" width="9.33203125" style="175" customWidth="1"/>
    <col min="14861" max="14861" width="11.88671875" style="175" customWidth="1"/>
    <col min="14862" max="14862" width="16.6640625" style="175" customWidth="1"/>
    <col min="14863" max="14863" width="55.88671875" style="175" customWidth="1"/>
    <col min="14864" max="15104" width="11" style="175"/>
    <col min="15105" max="15105" width="5.33203125" style="175" customWidth="1"/>
    <col min="15106" max="15107" width="10.6640625" style="175" customWidth="1"/>
    <col min="15108" max="15109" width="9.88671875" style="175" customWidth="1"/>
    <col min="15110" max="15110" width="27" style="175" customWidth="1"/>
    <col min="15111" max="15111" width="9.5546875" style="175" bestFit="1" customWidth="1"/>
    <col min="15112" max="15112" width="8.6640625" style="175" bestFit="1" customWidth="1"/>
    <col min="15113" max="15113" width="12.44140625" style="175" customWidth="1"/>
    <col min="15114" max="15114" width="10.44140625" style="175" customWidth="1"/>
    <col min="15115" max="15115" width="9.88671875" style="175" customWidth="1"/>
    <col min="15116" max="15116" width="9.33203125" style="175" customWidth="1"/>
    <col min="15117" max="15117" width="11.88671875" style="175" customWidth="1"/>
    <col min="15118" max="15118" width="16.6640625" style="175" customWidth="1"/>
    <col min="15119" max="15119" width="55.88671875" style="175" customWidth="1"/>
    <col min="15120" max="15360" width="11" style="175"/>
    <col min="15361" max="15361" width="5.33203125" style="175" customWidth="1"/>
    <col min="15362" max="15363" width="10.6640625" style="175" customWidth="1"/>
    <col min="15364" max="15365" width="9.88671875" style="175" customWidth="1"/>
    <col min="15366" max="15366" width="27" style="175" customWidth="1"/>
    <col min="15367" max="15367" width="9.5546875" style="175" bestFit="1" customWidth="1"/>
    <col min="15368" max="15368" width="8.6640625" style="175" bestFit="1" customWidth="1"/>
    <col min="15369" max="15369" width="12.44140625" style="175" customWidth="1"/>
    <col min="15370" max="15370" width="10.44140625" style="175" customWidth="1"/>
    <col min="15371" max="15371" width="9.88671875" style="175" customWidth="1"/>
    <col min="15372" max="15372" width="9.33203125" style="175" customWidth="1"/>
    <col min="15373" max="15373" width="11.88671875" style="175" customWidth="1"/>
    <col min="15374" max="15374" width="16.6640625" style="175" customWidth="1"/>
    <col min="15375" max="15375" width="55.88671875" style="175" customWidth="1"/>
    <col min="15376" max="15616" width="11" style="175"/>
    <col min="15617" max="15617" width="5.33203125" style="175" customWidth="1"/>
    <col min="15618" max="15619" width="10.6640625" style="175" customWidth="1"/>
    <col min="15620" max="15621" width="9.88671875" style="175" customWidth="1"/>
    <col min="15622" max="15622" width="27" style="175" customWidth="1"/>
    <col min="15623" max="15623" width="9.5546875" style="175" bestFit="1" customWidth="1"/>
    <col min="15624" max="15624" width="8.6640625" style="175" bestFit="1" customWidth="1"/>
    <col min="15625" max="15625" width="12.44140625" style="175" customWidth="1"/>
    <col min="15626" max="15626" width="10.44140625" style="175" customWidth="1"/>
    <col min="15627" max="15627" width="9.88671875" style="175" customWidth="1"/>
    <col min="15628" max="15628" width="9.33203125" style="175" customWidth="1"/>
    <col min="15629" max="15629" width="11.88671875" style="175" customWidth="1"/>
    <col min="15630" max="15630" width="16.6640625" style="175" customWidth="1"/>
    <col min="15631" max="15631" width="55.88671875" style="175" customWidth="1"/>
    <col min="15632" max="15872" width="11" style="175"/>
    <col min="15873" max="15873" width="5.33203125" style="175" customWidth="1"/>
    <col min="15874" max="15875" width="10.6640625" style="175" customWidth="1"/>
    <col min="15876" max="15877" width="9.88671875" style="175" customWidth="1"/>
    <col min="15878" max="15878" width="27" style="175" customWidth="1"/>
    <col min="15879" max="15879" width="9.5546875" style="175" bestFit="1" customWidth="1"/>
    <col min="15880" max="15880" width="8.6640625" style="175" bestFit="1" customWidth="1"/>
    <col min="15881" max="15881" width="12.44140625" style="175" customWidth="1"/>
    <col min="15882" max="15882" width="10.44140625" style="175" customWidth="1"/>
    <col min="15883" max="15883" width="9.88671875" style="175" customWidth="1"/>
    <col min="15884" max="15884" width="9.33203125" style="175" customWidth="1"/>
    <col min="15885" max="15885" width="11.88671875" style="175" customWidth="1"/>
    <col min="15886" max="15886" width="16.6640625" style="175" customWidth="1"/>
    <col min="15887" max="15887" width="55.88671875" style="175" customWidth="1"/>
    <col min="15888" max="16128" width="11" style="175"/>
    <col min="16129" max="16129" width="5.33203125" style="175" customWidth="1"/>
    <col min="16130" max="16131" width="10.6640625" style="175" customWidth="1"/>
    <col min="16132" max="16133" width="9.88671875" style="175" customWidth="1"/>
    <col min="16134" max="16134" width="27" style="175" customWidth="1"/>
    <col min="16135" max="16135" width="9.5546875" style="175" bestFit="1" customWidth="1"/>
    <col min="16136" max="16136" width="8.6640625" style="175" bestFit="1" customWidth="1"/>
    <col min="16137" max="16137" width="12.44140625" style="175" customWidth="1"/>
    <col min="16138" max="16138" width="10.44140625" style="175" customWidth="1"/>
    <col min="16139" max="16139" width="9.88671875" style="175" customWidth="1"/>
    <col min="16140" max="16140" width="9.33203125" style="175" customWidth="1"/>
    <col min="16141" max="16141" width="11.88671875" style="175" customWidth="1"/>
    <col min="16142" max="16142" width="16.6640625" style="175" customWidth="1"/>
    <col min="16143" max="16143" width="55.88671875" style="175" customWidth="1"/>
    <col min="16144" max="16384" width="11" style="175"/>
  </cols>
  <sheetData>
    <row r="1" spans="1:15" ht="13.8" x14ac:dyDescent="0.3">
      <c r="B1" s="175"/>
      <c r="C1" s="175"/>
      <c r="D1" s="175"/>
      <c r="E1" s="175"/>
      <c r="N1" s="35" t="s">
        <v>141</v>
      </c>
    </row>
    <row r="2" spans="1:15" ht="13.8" x14ac:dyDescent="0.3">
      <c r="B2" s="175"/>
      <c r="C2" s="175"/>
      <c r="N2" s="37" t="s">
        <v>162</v>
      </c>
    </row>
    <row r="3" spans="1:15" s="185" customFormat="1" ht="20.100000000000001" customHeight="1" x14ac:dyDescent="0.35">
      <c r="A3" s="179"/>
      <c r="B3" s="180" t="s">
        <v>607</v>
      </c>
      <c r="C3" s="180"/>
      <c r="D3" s="178" t="s">
        <v>608</v>
      </c>
      <c r="E3" s="178" t="s">
        <v>609</v>
      </c>
      <c r="F3" s="181"/>
      <c r="G3" s="182" t="s">
        <v>610</v>
      </c>
      <c r="H3" s="182" t="s">
        <v>611</v>
      </c>
      <c r="I3" s="183" t="s">
        <v>612</v>
      </c>
      <c r="J3" s="184" t="s">
        <v>449</v>
      </c>
      <c r="K3" s="184" t="s">
        <v>449</v>
      </c>
      <c r="L3" s="182" t="s">
        <v>610</v>
      </c>
      <c r="M3" s="183" t="s">
        <v>613</v>
      </c>
      <c r="N3" s="175"/>
      <c r="O3" s="40"/>
    </row>
    <row r="4" spans="1:15" s="185" customFormat="1" ht="20.100000000000001" customHeight="1" x14ac:dyDescent="0.35">
      <c r="A4" s="179"/>
      <c r="B4" s="186" t="s">
        <v>614</v>
      </c>
      <c r="C4" s="186" t="s">
        <v>615</v>
      </c>
      <c r="D4" s="187" t="s">
        <v>616</v>
      </c>
      <c r="E4" s="187" t="s">
        <v>616</v>
      </c>
      <c r="F4" s="181" t="s">
        <v>617</v>
      </c>
      <c r="G4" s="181" t="s">
        <v>618</v>
      </c>
      <c r="H4" s="181" t="s">
        <v>619</v>
      </c>
      <c r="I4" s="188" t="s">
        <v>620</v>
      </c>
      <c r="J4" s="189" t="s">
        <v>621</v>
      </c>
      <c r="K4" s="189" t="s">
        <v>622</v>
      </c>
      <c r="L4" s="189" t="s">
        <v>623</v>
      </c>
      <c r="M4" s="188" t="s">
        <v>620</v>
      </c>
      <c r="N4" s="175"/>
      <c r="O4" s="40"/>
    </row>
    <row r="5" spans="1:15" ht="13.2" x14ac:dyDescent="0.25">
      <c r="A5" s="190" t="s">
        <v>624</v>
      </c>
      <c r="O5" s="40"/>
    </row>
    <row r="6" spans="1:15" ht="13.2" x14ac:dyDescent="0.25">
      <c r="A6" s="192">
        <v>1</v>
      </c>
      <c r="B6" s="193" t="s">
        <v>625</v>
      </c>
      <c r="C6" s="193"/>
      <c r="D6" s="194" t="s">
        <v>626</v>
      </c>
      <c r="E6" s="194" t="s">
        <v>627</v>
      </c>
      <c r="F6" s="175" t="s">
        <v>628</v>
      </c>
      <c r="G6" s="195">
        <v>1</v>
      </c>
      <c r="I6" s="196">
        <v>7000</v>
      </c>
      <c r="M6" s="176">
        <f t="shared" ref="M6:M11" si="0">I6+J6-K6-L6</f>
        <v>7000</v>
      </c>
      <c r="O6" s="40"/>
    </row>
    <row r="7" spans="1:15" ht="13.2" x14ac:dyDescent="0.25">
      <c r="A7" s="192">
        <v>1</v>
      </c>
      <c r="B7" s="193">
        <v>10068393</v>
      </c>
      <c r="C7" s="193" t="s">
        <v>629</v>
      </c>
      <c r="D7" s="194">
        <v>43602</v>
      </c>
      <c r="E7" s="194">
        <v>45505</v>
      </c>
      <c r="F7" s="175" t="s">
        <v>630</v>
      </c>
      <c r="G7" s="195">
        <v>1</v>
      </c>
      <c r="I7" s="196">
        <v>85668.91</v>
      </c>
      <c r="J7" s="197"/>
      <c r="K7" s="176">
        <f>13326.2+16624.55+13507.96</f>
        <v>43458.71</v>
      </c>
      <c r="M7" s="176">
        <f t="shared" si="0"/>
        <v>42210.200000000004</v>
      </c>
      <c r="O7" s="40"/>
    </row>
    <row r="8" spans="1:15" ht="13.2" x14ac:dyDescent="0.25">
      <c r="A8" s="192">
        <v>1</v>
      </c>
      <c r="B8" s="193">
        <v>10080425</v>
      </c>
      <c r="C8" s="193" t="s">
        <v>631</v>
      </c>
      <c r="D8" s="194">
        <v>44027</v>
      </c>
      <c r="E8" s="194">
        <v>47679</v>
      </c>
      <c r="F8" s="175" t="s">
        <v>632</v>
      </c>
      <c r="G8" s="195">
        <v>1</v>
      </c>
      <c r="I8" s="196">
        <v>3350</v>
      </c>
      <c r="J8" s="197"/>
      <c r="M8" s="176">
        <f t="shared" si="0"/>
        <v>3350</v>
      </c>
      <c r="O8" s="40"/>
    </row>
    <row r="9" spans="1:15" ht="13.2" x14ac:dyDescent="0.25">
      <c r="A9" s="192">
        <v>2</v>
      </c>
      <c r="B9" s="193"/>
      <c r="C9" s="193"/>
      <c r="D9" s="194"/>
      <c r="E9" s="194"/>
      <c r="F9" s="190" t="s">
        <v>633</v>
      </c>
      <c r="G9" s="195">
        <v>1</v>
      </c>
      <c r="I9" s="196"/>
      <c r="J9" s="197">
        <v>300000</v>
      </c>
      <c r="M9" s="176">
        <f t="shared" si="0"/>
        <v>300000</v>
      </c>
      <c r="O9" s="40"/>
    </row>
    <row r="10" spans="1:15" ht="13.2" x14ac:dyDescent="0.25">
      <c r="A10" s="192">
        <v>2</v>
      </c>
      <c r="B10" s="193"/>
      <c r="C10" s="193"/>
      <c r="D10" s="194"/>
      <c r="E10" s="194"/>
      <c r="F10" s="190" t="s">
        <v>634</v>
      </c>
      <c r="G10" s="195">
        <v>1</v>
      </c>
      <c r="I10" s="196"/>
      <c r="J10" s="197">
        <v>85500</v>
      </c>
      <c r="M10" s="176">
        <f t="shared" si="0"/>
        <v>85500</v>
      </c>
      <c r="O10" s="40"/>
    </row>
    <row r="11" spans="1:15" ht="13.2" x14ac:dyDescent="0.25">
      <c r="A11" s="192">
        <v>3</v>
      </c>
      <c r="B11" s="193">
        <v>10069041</v>
      </c>
      <c r="C11" s="193" t="s">
        <v>635</v>
      </c>
      <c r="D11" s="194">
        <v>43656</v>
      </c>
      <c r="E11" s="194" t="s">
        <v>636</v>
      </c>
      <c r="F11" s="175" t="s">
        <v>637</v>
      </c>
      <c r="G11" s="195">
        <v>1</v>
      </c>
      <c r="I11" s="196">
        <v>5500</v>
      </c>
      <c r="J11" s="197"/>
      <c r="M11" s="176">
        <f t="shared" si="0"/>
        <v>5500</v>
      </c>
      <c r="O11" s="40"/>
    </row>
    <row r="12" spans="1:15" x14ac:dyDescent="0.2">
      <c r="A12" s="198">
        <v>7</v>
      </c>
      <c r="B12" s="193" t="s">
        <v>638</v>
      </c>
      <c r="C12" s="193"/>
      <c r="D12" s="194" t="s">
        <v>639</v>
      </c>
      <c r="E12" s="194" t="s">
        <v>640</v>
      </c>
      <c r="F12" s="190" t="s">
        <v>641</v>
      </c>
      <c r="G12" s="195">
        <v>1</v>
      </c>
      <c r="H12" s="195"/>
      <c r="I12" s="176">
        <v>3500</v>
      </c>
      <c r="J12" s="199"/>
      <c r="K12" s="199"/>
      <c r="L12" s="199"/>
      <c r="M12" s="176">
        <f>I12+J12-L12</f>
        <v>3500</v>
      </c>
    </row>
    <row r="13" spans="1:15" x14ac:dyDescent="0.2">
      <c r="A13" s="198">
        <v>7</v>
      </c>
      <c r="B13" s="193">
        <v>10082603</v>
      </c>
      <c r="C13" s="193" t="s">
        <v>642</v>
      </c>
      <c r="D13" s="194">
        <v>44089</v>
      </c>
      <c r="E13" s="194">
        <v>47741</v>
      </c>
      <c r="F13" s="190" t="s">
        <v>643</v>
      </c>
      <c r="G13" s="195">
        <v>1</v>
      </c>
      <c r="H13" s="195"/>
      <c r="I13" s="176">
        <v>470</v>
      </c>
      <c r="J13" s="200"/>
      <c r="K13" s="199"/>
      <c r="L13" s="199"/>
      <c r="M13" s="176">
        <f>I13+J13-L13</f>
        <v>470</v>
      </c>
    </row>
    <row r="14" spans="1:15" x14ac:dyDescent="0.2">
      <c r="A14" s="198">
        <v>8</v>
      </c>
      <c r="B14" s="193" t="s">
        <v>644</v>
      </c>
      <c r="C14" s="193"/>
      <c r="D14" s="178">
        <v>40753</v>
      </c>
      <c r="E14" s="194" t="s">
        <v>645</v>
      </c>
      <c r="F14" s="190" t="s">
        <v>646</v>
      </c>
      <c r="G14" s="195">
        <v>1</v>
      </c>
      <c r="H14" s="195"/>
      <c r="I14" s="176">
        <v>2270</v>
      </c>
      <c r="J14" s="199"/>
      <c r="K14" s="199"/>
      <c r="L14" s="199"/>
      <c r="M14" s="176">
        <f>I14+J14-L14</f>
        <v>2270</v>
      </c>
    </row>
    <row r="15" spans="1:15" x14ac:dyDescent="0.2">
      <c r="A15" s="198">
        <v>8</v>
      </c>
      <c r="B15" s="193" t="s">
        <v>647</v>
      </c>
      <c r="C15" s="193"/>
      <c r="D15" s="178">
        <v>41408</v>
      </c>
      <c r="E15" s="194">
        <v>45060</v>
      </c>
      <c r="F15" s="190" t="s">
        <v>648</v>
      </c>
      <c r="G15" s="195">
        <v>1</v>
      </c>
      <c r="H15" s="195"/>
      <c r="I15" s="176">
        <v>4800</v>
      </c>
      <c r="J15" s="199"/>
      <c r="K15" s="199"/>
      <c r="L15" s="199"/>
      <c r="M15" s="176">
        <f>I15+J15-L15</f>
        <v>4800</v>
      </c>
    </row>
    <row r="16" spans="1:15" x14ac:dyDescent="0.2">
      <c r="A16" s="198">
        <v>11</v>
      </c>
      <c r="B16" s="193" t="s">
        <v>649</v>
      </c>
      <c r="C16" s="193"/>
      <c r="D16" s="194" t="s">
        <v>650</v>
      </c>
      <c r="E16" s="194" t="s">
        <v>651</v>
      </c>
      <c r="F16" s="190" t="s">
        <v>652</v>
      </c>
      <c r="G16" s="195">
        <v>1</v>
      </c>
      <c r="H16" s="195"/>
      <c r="I16" s="201">
        <v>3000</v>
      </c>
      <c r="J16" s="202"/>
      <c r="K16" s="202"/>
      <c r="L16" s="202"/>
      <c r="M16" s="201">
        <f>I16+J16-L16</f>
        <v>3000</v>
      </c>
    </row>
    <row r="17" spans="1:15" x14ac:dyDescent="0.2">
      <c r="A17" s="198"/>
      <c r="B17" s="193"/>
      <c r="C17" s="193"/>
      <c r="D17" s="194"/>
      <c r="E17" s="194"/>
      <c r="F17" s="190"/>
      <c r="G17" s="195"/>
      <c r="H17" s="195"/>
      <c r="J17" s="199"/>
      <c r="K17" s="199"/>
      <c r="L17" s="199"/>
    </row>
    <row r="18" spans="1:15" ht="11.25" customHeight="1" x14ac:dyDescent="0.2">
      <c r="A18" s="175" t="s">
        <v>653</v>
      </c>
      <c r="G18" s="195"/>
      <c r="H18" s="195"/>
      <c r="I18" s="201">
        <v>115558.91</v>
      </c>
      <c r="J18" s="201">
        <f>SUM(J6:J17)</f>
        <v>385500</v>
      </c>
      <c r="K18" s="201">
        <f>SUM(K6:K17)</f>
        <v>43458.71</v>
      </c>
      <c r="L18" s="201">
        <f>SUM(L6:L17)</f>
        <v>0</v>
      </c>
      <c r="M18" s="201">
        <f>SUM(M6:M17)</f>
        <v>457600.2</v>
      </c>
      <c r="N18" s="175" t="s">
        <v>449</v>
      </c>
      <c r="O18" s="175" t="s">
        <v>449</v>
      </c>
    </row>
    <row r="19" spans="1:15" ht="11.25" customHeight="1" x14ac:dyDescent="0.2">
      <c r="G19" s="195"/>
      <c r="H19" s="195"/>
    </row>
    <row r="20" spans="1:15" ht="11.25" customHeight="1" x14ac:dyDescent="0.2">
      <c r="G20" s="195"/>
      <c r="H20" s="195"/>
    </row>
    <row r="21" spans="1:15" ht="11.25" customHeight="1" x14ac:dyDescent="0.2">
      <c r="G21" s="195"/>
      <c r="H21" s="195"/>
    </row>
  </sheetData>
  <pageMargins left="0.7" right="0.7" top="0.75" bottom="0.75" header="0.3" footer="0.3"/>
  <pageSetup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1F64-2892-4BE6-9844-FB932C2CF021}">
  <sheetPr>
    <tabColor rgb="FF66FFFF"/>
    <pageSetUpPr fitToPage="1"/>
  </sheetPr>
  <dimension ref="A1:W65"/>
  <sheetViews>
    <sheetView topLeftCell="H37" workbookViewId="0">
      <selection activeCell="A65" sqref="A65"/>
    </sheetView>
  </sheetViews>
  <sheetFormatPr defaultColWidth="9.109375" defaultRowHeight="10.199999999999999" x14ac:dyDescent="0.2"/>
  <cols>
    <col min="1" max="1" width="26.33203125" style="73" bestFit="1" customWidth="1"/>
    <col min="2" max="2" width="9.109375" style="74" bestFit="1"/>
    <col min="3" max="13" width="10.33203125" style="74" bestFit="1" customWidth="1"/>
    <col min="14" max="14" width="9.109375" style="74" bestFit="1"/>
    <col min="15" max="15" width="10.33203125" style="74" bestFit="1" customWidth="1"/>
    <col min="16" max="16384" width="9.109375" style="73"/>
  </cols>
  <sheetData>
    <row r="1" spans="1:23" x14ac:dyDescent="0.2">
      <c r="P1" s="74"/>
      <c r="Q1" s="74"/>
      <c r="R1" s="74"/>
      <c r="S1" s="74"/>
      <c r="T1" s="74"/>
      <c r="U1" s="74"/>
      <c r="V1" s="74"/>
      <c r="W1" s="74"/>
    </row>
    <row r="2" spans="1:23" x14ac:dyDescent="0.2">
      <c r="P2" s="327" t="s">
        <v>1049</v>
      </c>
      <c r="Q2" s="74"/>
      <c r="R2" s="74"/>
    </row>
    <row r="4" spans="1:23" ht="12.6" thickBot="1" x14ac:dyDescent="0.25">
      <c r="A4" s="75" t="s">
        <v>390</v>
      </c>
      <c r="B4" s="76" t="s">
        <v>391</v>
      </c>
      <c r="C4" s="76" t="s">
        <v>392</v>
      </c>
      <c r="D4" s="76" t="s">
        <v>393</v>
      </c>
      <c r="E4" s="76" t="s">
        <v>394</v>
      </c>
      <c r="F4" s="76" t="s">
        <v>395</v>
      </c>
      <c r="G4" s="76" t="s">
        <v>396</v>
      </c>
      <c r="H4" s="76" t="s">
        <v>397</v>
      </c>
      <c r="I4" s="76" t="s">
        <v>398</v>
      </c>
      <c r="J4" s="76" t="s">
        <v>399</v>
      </c>
      <c r="K4" s="76" t="s">
        <v>400</v>
      </c>
      <c r="L4" s="76" t="s">
        <v>401</v>
      </c>
      <c r="M4" s="76" t="s">
        <v>402</v>
      </c>
      <c r="N4" s="76" t="s">
        <v>403</v>
      </c>
      <c r="O4" s="76" t="s">
        <v>404</v>
      </c>
      <c r="P4" s="319" t="s">
        <v>1050</v>
      </c>
    </row>
    <row r="5" spans="1:23" ht="10.8" thickBot="1" x14ac:dyDescent="0.25">
      <c r="A5" s="75" t="s">
        <v>405</v>
      </c>
      <c r="B5" s="77">
        <v>549558.11</v>
      </c>
      <c r="C5" s="77">
        <v>553801.37</v>
      </c>
      <c r="D5" s="77">
        <v>572421.69999999995</v>
      </c>
      <c r="E5" s="77">
        <v>671985.52</v>
      </c>
      <c r="F5" s="77">
        <v>633486.18999999994</v>
      </c>
      <c r="G5" s="77">
        <v>617948.97</v>
      </c>
      <c r="H5" s="77">
        <v>594764.22</v>
      </c>
      <c r="I5" s="77">
        <v>575294.59</v>
      </c>
      <c r="J5" s="77">
        <v>609276.77</v>
      </c>
      <c r="K5" s="77">
        <v>601154.29</v>
      </c>
      <c r="L5" s="77">
        <v>600820.81000000006</v>
      </c>
      <c r="M5" s="77">
        <v>593693.56999999995</v>
      </c>
      <c r="N5" s="77">
        <v>689562.46</v>
      </c>
      <c r="O5" s="78">
        <f t="shared" ref="O5:O7" si="0">AVERAGE(B5:N5)</f>
        <v>604905.27461538452</v>
      </c>
      <c r="P5" s="319" t="s">
        <v>997</v>
      </c>
    </row>
    <row r="6" spans="1:23" ht="10.8" thickBot="1" x14ac:dyDescent="0.25">
      <c r="A6" s="75" t="s">
        <v>406</v>
      </c>
      <c r="B6" s="77">
        <v>539870.9</v>
      </c>
      <c r="C6" s="77">
        <v>1249915.8799999999</v>
      </c>
      <c r="D6" s="77">
        <v>1637946.53</v>
      </c>
      <c r="E6" s="77">
        <v>1638107.01</v>
      </c>
      <c r="F6" s="77">
        <v>1638107.01</v>
      </c>
      <c r="G6" s="77">
        <v>1560039.01</v>
      </c>
      <c r="H6" s="77">
        <v>1560039.01</v>
      </c>
      <c r="I6" s="77">
        <v>1560039.01</v>
      </c>
      <c r="J6" s="77">
        <v>1560039.01</v>
      </c>
      <c r="K6" s="77">
        <v>875744.24</v>
      </c>
      <c r="L6" s="77">
        <v>425656.64</v>
      </c>
      <c r="M6" s="77">
        <v>401058.91</v>
      </c>
      <c r="N6" s="77">
        <v>221563.11</v>
      </c>
      <c r="O6" s="79">
        <f t="shared" si="0"/>
        <v>1143702.0207692308</v>
      </c>
    </row>
    <row r="7" spans="1:23" ht="10.8" thickBot="1" x14ac:dyDescent="0.25">
      <c r="A7" s="75" t="s">
        <v>407</v>
      </c>
      <c r="B7" s="77">
        <v>747431.76</v>
      </c>
      <c r="C7" s="77">
        <v>646352.74</v>
      </c>
      <c r="D7" s="77">
        <v>494021.78</v>
      </c>
      <c r="E7" s="77">
        <v>1470998.67</v>
      </c>
      <c r="F7" s="77">
        <v>1354672.84</v>
      </c>
      <c r="G7" s="77">
        <v>1284682.17</v>
      </c>
      <c r="H7" s="77">
        <v>2096975.05</v>
      </c>
      <c r="I7" s="77">
        <v>1228460.75</v>
      </c>
      <c r="J7" s="77">
        <v>1176704.0900000001</v>
      </c>
      <c r="K7" s="77">
        <v>1163544.02</v>
      </c>
      <c r="L7" s="77">
        <v>1163365.92</v>
      </c>
      <c r="M7" s="77">
        <v>1139548.2</v>
      </c>
      <c r="N7" s="77">
        <v>-21130.04</v>
      </c>
      <c r="O7" s="80">
        <f t="shared" si="0"/>
        <v>1072740.6115384614</v>
      </c>
    </row>
    <row r="10" spans="1:23" x14ac:dyDescent="0.2">
      <c r="N10" s="74">
        <f>SUM(N5:N7)</f>
        <v>889995.52999999991</v>
      </c>
      <c r="O10" s="74">
        <f>SUM(O5:O7)</f>
        <v>2821347.9069230766</v>
      </c>
      <c r="P10" s="260">
        <f>N10-O10</f>
        <v>-1931352.3769230768</v>
      </c>
    </row>
    <row r="13" spans="1:23" x14ac:dyDescent="0.2">
      <c r="A13" s="73" t="s">
        <v>1033</v>
      </c>
      <c r="C13" s="74">
        <f>'3 31 21 model Bal Sheet'!D109</f>
        <v>-17587574.34</v>
      </c>
    </row>
    <row r="14" spans="1:23" ht="12" x14ac:dyDescent="0.35">
      <c r="A14" s="73" t="s">
        <v>1034</v>
      </c>
      <c r="C14" s="324">
        <f>'Rate base'!H49</f>
        <v>-13179041</v>
      </c>
    </row>
    <row r="15" spans="1:23" x14ac:dyDescent="0.2">
      <c r="C15" s="74">
        <f>C13-C14</f>
        <v>-4408533.34</v>
      </c>
      <c r="P15" s="260">
        <f>C15</f>
        <v>-4408533.34</v>
      </c>
    </row>
    <row r="18" spans="1:16" x14ac:dyDescent="0.2">
      <c r="A18" s="73" t="s">
        <v>738</v>
      </c>
      <c r="C18" s="74">
        <f>'3 31 21 model Bal Sheet'!D57</f>
        <v>4648258</v>
      </c>
    </row>
    <row r="19" spans="1:16" x14ac:dyDescent="0.2">
      <c r="A19" s="73" t="s">
        <v>738</v>
      </c>
      <c r="C19" s="74">
        <f>'3 31 21 model Bal Sheet'!D112</f>
        <v>-27990732.109999999</v>
      </c>
    </row>
    <row r="20" spans="1:16" x14ac:dyDescent="0.2">
      <c r="A20" s="73" t="s">
        <v>1034</v>
      </c>
      <c r="C20" s="74">
        <f>'Rate base'!H50</f>
        <v>-29293070</v>
      </c>
    </row>
    <row r="22" spans="1:16" x14ac:dyDescent="0.2">
      <c r="C22" s="74">
        <f>C18+C19-C20</f>
        <v>5950595.8900000006</v>
      </c>
      <c r="P22" s="260">
        <f>C22</f>
        <v>5950595.8900000006</v>
      </c>
    </row>
    <row r="25" spans="1:16" x14ac:dyDescent="0.2">
      <c r="A25" s="73" t="s">
        <v>1040</v>
      </c>
      <c r="C25" s="74">
        <f>'3 31 21 model Bal Sheet'!D51</f>
        <v>2537113.94</v>
      </c>
    </row>
    <row r="26" spans="1:16" ht="12" x14ac:dyDescent="0.35">
      <c r="A26" s="73" t="s">
        <v>1034</v>
      </c>
      <c r="C26" s="324">
        <f>'Rate base'!H11</f>
        <v>1747660.73</v>
      </c>
    </row>
    <row r="27" spans="1:16" x14ac:dyDescent="0.2">
      <c r="C27" s="74">
        <f>C25-C26</f>
        <v>789453.21</v>
      </c>
      <c r="P27" s="260">
        <f>C27</f>
        <v>789453.21</v>
      </c>
    </row>
    <row r="28" spans="1:16" x14ac:dyDescent="0.2">
      <c r="P28" s="260"/>
    </row>
    <row r="29" spans="1:16" x14ac:dyDescent="0.2">
      <c r="P29" s="260"/>
    </row>
    <row r="30" spans="1:16" ht="12" x14ac:dyDescent="0.25">
      <c r="A30" s="326" t="s">
        <v>1045</v>
      </c>
      <c r="C30" s="74">
        <f>'3 31 21 model Bal Sheet'!D24</f>
        <v>2101506.75</v>
      </c>
      <c r="P30" s="260"/>
    </row>
    <row r="31" spans="1:16" ht="12" x14ac:dyDescent="0.35">
      <c r="A31" s="73" t="s">
        <v>1034</v>
      </c>
      <c r="C31" s="324">
        <v>0</v>
      </c>
      <c r="P31" s="260"/>
    </row>
    <row r="32" spans="1:16" x14ac:dyDescent="0.2">
      <c r="C32" s="74">
        <f>C30-C31</f>
        <v>2101506.75</v>
      </c>
      <c r="P32" s="260">
        <f>C32</f>
        <v>2101506.75</v>
      </c>
    </row>
    <row r="33" spans="1:16" x14ac:dyDescent="0.2">
      <c r="P33" s="260"/>
    </row>
    <row r="34" spans="1:16" x14ac:dyDescent="0.2">
      <c r="A34" s="73" t="s">
        <v>1043</v>
      </c>
      <c r="C34" s="74">
        <f>'3 31 21 model Bal Sheet'!D107</f>
        <v>-802585.38</v>
      </c>
      <c r="P34" s="260"/>
    </row>
    <row r="35" spans="1:16" ht="12" x14ac:dyDescent="0.35">
      <c r="A35" s="73" t="s">
        <v>1034</v>
      </c>
      <c r="C35" s="324">
        <v>0</v>
      </c>
      <c r="P35" s="260"/>
    </row>
    <row r="36" spans="1:16" x14ac:dyDescent="0.2">
      <c r="C36" s="74">
        <f>C34-C35</f>
        <v>-802585.38</v>
      </c>
      <c r="P36" s="260">
        <f>C36</f>
        <v>-802585.38</v>
      </c>
    </row>
    <row r="37" spans="1:16" x14ac:dyDescent="0.2">
      <c r="P37" s="260"/>
    </row>
    <row r="38" spans="1:16" x14ac:dyDescent="0.2">
      <c r="P38" s="260"/>
    </row>
    <row r="39" spans="1:16" x14ac:dyDescent="0.2">
      <c r="A39" s="73" t="s">
        <v>1044</v>
      </c>
      <c r="C39" s="74">
        <f>'3 31 21 model Bal Sheet'!D82</f>
        <v>-2599611.67</v>
      </c>
      <c r="P39" s="260"/>
    </row>
    <row r="40" spans="1:16" ht="12" x14ac:dyDescent="0.35">
      <c r="A40" s="73" t="s">
        <v>1034</v>
      </c>
      <c r="C40" s="324">
        <v>0</v>
      </c>
      <c r="P40" s="260"/>
    </row>
    <row r="41" spans="1:16" x14ac:dyDescent="0.2">
      <c r="C41" s="74">
        <f>C39-C40</f>
        <v>-2599611.67</v>
      </c>
      <c r="P41" s="260">
        <f>C41</f>
        <v>-2599611.67</v>
      </c>
    </row>
    <row r="42" spans="1:16" x14ac:dyDescent="0.2">
      <c r="P42" s="260"/>
    </row>
    <row r="43" spans="1:16" x14ac:dyDescent="0.2">
      <c r="A43" s="73" t="s">
        <v>1047</v>
      </c>
      <c r="C43" s="74">
        <f>'3 31 21 model Bal Sheet'!D59</f>
        <v>163027.34</v>
      </c>
      <c r="P43" s="260"/>
    </row>
    <row r="44" spans="1:16" ht="12" x14ac:dyDescent="0.35">
      <c r="A44" s="73" t="s">
        <v>1034</v>
      </c>
      <c r="C44" s="324">
        <v>0</v>
      </c>
      <c r="P44" s="260"/>
    </row>
    <row r="45" spans="1:16" x14ac:dyDescent="0.2">
      <c r="C45" s="74">
        <f>C43-C44</f>
        <v>163027.34</v>
      </c>
      <c r="P45" s="260">
        <f>C45</f>
        <v>163027.34</v>
      </c>
    </row>
    <row r="46" spans="1:16" x14ac:dyDescent="0.2">
      <c r="P46" s="260"/>
    </row>
    <row r="47" spans="1:16" x14ac:dyDescent="0.2">
      <c r="P47" s="260"/>
    </row>
    <row r="48" spans="1:16" x14ac:dyDescent="0.2">
      <c r="A48" s="73" t="s">
        <v>1051</v>
      </c>
      <c r="C48" s="74">
        <f>'3 31 21 model Bal Sheet'!D55</f>
        <v>10001.450000000001</v>
      </c>
      <c r="P48" s="260"/>
    </row>
    <row r="49" spans="1:16" ht="12" x14ac:dyDescent="0.35">
      <c r="A49" s="73" t="s">
        <v>1034</v>
      </c>
      <c r="C49" s="324">
        <v>0</v>
      </c>
      <c r="P49" s="260"/>
    </row>
    <row r="50" spans="1:16" x14ac:dyDescent="0.2">
      <c r="C50" s="74">
        <f>C48-C49</f>
        <v>10001.450000000001</v>
      </c>
      <c r="P50" s="260">
        <f>C50</f>
        <v>10001.450000000001</v>
      </c>
    </row>
    <row r="53" spans="1:16" x14ac:dyDescent="0.2">
      <c r="A53" s="73" t="s">
        <v>1036</v>
      </c>
      <c r="C53" s="74">
        <f>'3 31 21 model Bal Sheet'!D48</f>
        <v>8429031.2899999991</v>
      </c>
      <c r="E53" s="73" t="s">
        <v>1038</v>
      </c>
      <c r="G53" s="74">
        <f>'3 31 21 model Bal Sheet'!D102</f>
        <v>-22221715.280000001</v>
      </c>
    </row>
    <row r="54" spans="1:16" x14ac:dyDescent="0.2">
      <c r="A54" s="75" t="s">
        <v>405</v>
      </c>
      <c r="C54" s="74">
        <f>N5</f>
        <v>689562.46</v>
      </c>
      <c r="E54" s="73"/>
      <c r="G54" s="74">
        <f>'3 31 21 model Bal Sheet'!D87</f>
        <v>-8615392.2799999993</v>
      </c>
    </row>
    <row r="55" spans="1:16" x14ac:dyDescent="0.2">
      <c r="A55" s="75" t="s">
        <v>406</v>
      </c>
      <c r="C55" s="74">
        <f t="shared" ref="C55:C56" si="1">N6</f>
        <v>221563.11</v>
      </c>
      <c r="E55" s="73"/>
    </row>
    <row r="56" spans="1:16" ht="12" x14ac:dyDescent="0.35">
      <c r="A56" s="75" t="s">
        <v>407</v>
      </c>
      <c r="C56" s="324">
        <f t="shared" si="1"/>
        <v>-21130.04</v>
      </c>
      <c r="E56" s="73"/>
    </row>
    <row r="57" spans="1:16" x14ac:dyDescent="0.2">
      <c r="A57" s="73" t="s">
        <v>1037</v>
      </c>
      <c r="C57" s="74">
        <f>C53-C54-C55-C56</f>
        <v>7539035.7599999988</v>
      </c>
      <c r="E57" s="73" t="s">
        <v>1039</v>
      </c>
      <c r="G57" s="74">
        <f>G53-G54-G55-G56</f>
        <v>-13606323.000000002</v>
      </c>
    </row>
    <row r="58" spans="1:16" x14ac:dyDescent="0.2">
      <c r="C58" s="74">
        <f>-G57</f>
        <v>13606323.000000002</v>
      </c>
    </row>
    <row r="60" spans="1:16" x14ac:dyDescent="0.2">
      <c r="A60" s="73" t="s">
        <v>1046</v>
      </c>
      <c r="C60" s="74">
        <f>C57-C58</f>
        <v>-6067287.240000003</v>
      </c>
    </row>
    <row r="61" spans="1:16" ht="12" x14ac:dyDescent="0.35">
      <c r="A61" s="73" t="s">
        <v>1034</v>
      </c>
      <c r="C61" s="324">
        <f>'Rate base'!H12</f>
        <v>2000868.7136554644</v>
      </c>
    </row>
    <row r="62" spans="1:16" x14ac:dyDescent="0.2">
      <c r="C62" s="74">
        <f>C60-C61</f>
        <v>-8068155.9536554674</v>
      </c>
      <c r="P62" s="260">
        <f>C62</f>
        <v>-8068155.9536554674</v>
      </c>
    </row>
    <row r="65" spans="16:16" x14ac:dyDescent="0.2">
      <c r="P65" s="260">
        <f>SUM(P10:P62)</f>
        <v>-8795654.0805785432</v>
      </c>
    </row>
  </sheetData>
  <pageMargins left="0.7" right="0.7" top="0.75" bottom="0.75" header="0.3" footer="0.3"/>
  <pageSetup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DB71-A63F-41E3-AE56-24CEB06B4F2A}">
  <sheetPr>
    <tabColor rgb="FF66FF33"/>
    <pageSetUpPr fitToPage="1"/>
  </sheetPr>
  <dimension ref="A1:M92"/>
  <sheetViews>
    <sheetView topLeftCell="A31" zoomScale="85" zoomScaleNormal="85" workbookViewId="0">
      <selection activeCell="A97" sqref="A97"/>
    </sheetView>
  </sheetViews>
  <sheetFormatPr defaultColWidth="8.6640625" defaultRowHeight="14.4" x14ac:dyDescent="0.3"/>
  <cols>
    <col min="1" max="1" width="12.5546875" style="203" customWidth="1"/>
    <col min="2" max="2" width="47.44140625" style="203" customWidth="1"/>
    <col min="3" max="3" width="12" style="204" bestFit="1" customWidth="1"/>
    <col min="4" max="4" width="13.109375" style="204" bestFit="1" customWidth="1"/>
    <col min="5" max="5" width="14" style="204" bestFit="1" customWidth="1"/>
    <col min="6" max="6" width="3" style="204" customWidth="1"/>
    <col min="7" max="7" width="11.109375" style="204" bestFit="1" customWidth="1"/>
    <col min="8" max="8" width="13.109375" style="204" bestFit="1" customWidth="1"/>
    <col min="9" max="9" width="12.44140625" style="204" bestFit="1" customWidth="1"/>
    <col min="10" max="10" width="11.88671875" style="204" bestFit="1" customWidth="1"/>
    <col min="11" max="11" width="11.33203125" style="204" bestFit="1" customWidth="1"/>
    <col min="12" max="12" width="14.109375" style="204" bestFit="1" customWidth="1"/>
    <col min="13" max="13" width="14.5546875" style="204" bestFit="1" customWidth="1"/>
    <col min="14" max="16384" width="8.6640625" style="204"/>
  </cols>
  <sheetData>
    <row r="1" spans="1:13" x14ac:dyDescent="0.3">
      <c r="A1" s="203" t="s">
        <v>654</v>
      </c>
      <c r="C1" s="204" t="s">
        <v>655</v>
      </c>
      <c r="G1" s="204" t="s">
        <v>655</v>
      </c>
      <c r="M1" s="35" t="s">
        <v>141</v>
      </c>
    </row>
    <row r="2" spans="1:13" x14ac:dyDescent="0.3">
      <c r="A2" s="205">
        <v>44286</v>
      </c>
      <c r="D2" s="206" t="s">
        <v>656</v>
      </c>
      <c r="H2" s="206" t="s">
        <v>657</v>
      </c>
      <c r="M2" s="37" t="s">
        <v>658</v>
      </c>
    </row>
    <row r="3" spans="1:13" x14ac:dyDescent="0.3">
      <c r="A3" s="203" t="s">
        <v>659</v>
      </c>
      <c r="B3" s="203" t="s">
        <v>660</v>
      </c>
      <c r="D3" s="203" t="s">
        <v>661</v>
      </c>
      <c r="H3" s="207" t="s">
        <v>408</v>
      </c>
      <c r="L3" s="207" t="s">
        <v>662</v>
      </c>
    </row>
    <row r="4" spans="1:13" x14ac:dyDescent="0.3">
      <c r="A4" s="203" t="s">
        <v>663</v>
      </c>
      <c r="B4" s="203" t="s">
        <v>31</v>
      </c>
      <c r="C4" s="207" t="s">
        <v>142</v>
      </c>
      <c r="D4" s="207" t="s">
        <v>664</v>
      </c>
      <c r="E4" s="207" t="s">
        <v>410</v>
      </c>
      <c r="G4" s="207" t="s">
        <v>142</v>
      </c>
      <c r="H4" s="207" t="s">
        <v>664</v>
      </c>
      <c r="I4" s="207" t="s">
        <v>410</v>
      </c>
      <c r="K4" s="207" t="s">
        <v>142</v>
      </c>
      <c r="L4" s="207" t="s">
        <v>664</v>
      </c>
      <c r="M4" s="207" t="s">
        <v>410</v>
      </c>
    </row>
    <row r="5" spans="1:13" x14ac:dyDescent="0.3">
      <c r="A5" s="208">
        <v>242</v>
      </c>
      <c r="B5" s="208"/>
    </row>
    <row r="6" spans="1:13" ht="13.2" x14ac:dyDescent="0.25">
      <c r="A6" s="204" t="s">
        <v>665</v>
      </c>
      <c r="B6" s="204" t="s">
        <v>666</v>
      </c>
      <c r="C6" s="209">
        <v>0</v>
      </c>
      <c r="D6" s="209">
        <v>45917</v>
      </c>
      <c r="E6" s="209">
        <f>C6+D6</f>
        <v>45917</v>
      </c>
      <c r="G6" s="209">
        <v>0</v>
      </c>
      <c r="H6" s="209">
        <v>-5487</v>
      </c>
      <c r="I6" s="209">
        <f>G6+H6</f>
        <v>-5487</v>
      </c>
      <c r="K6" s="210">
        <f>C6+G6</f>
        <v>0</v>
      </c>
      <c r="L6" s="210">
        <f>D6+H6</f>
        <v>40430</v>
      </c>
      <c r="M6" s="210">
        <f>K6+L6</f>
        <v>40430</v>
      </c>
    </row>
    <row r="7" spans="1:13" ht="13.2" x14ac:dyDescent="0.25">
      <c r="A7" s="204" t="s">
        <v>667</v>
      </c>
      <c r="B7" s="204" t="s">
        <v>668</v>
      </c>
      <c r="C7" s="209">
        <v>0</v>
      </c>
      <c r="D7" s="209">
        <v>-152142</v>
      </c>
      <c r="E7" s="209">
        <f t="shared" ref="E7:E53" si="0">C7+D7</f>
        <v>-152142</v>
      </c>
      <c r="G7" s="209">
        <v>0</v>
      </c>
      <c r="H7" s="209">
        <v>-14866</v>
      </c>
      <c r="I7" s="209">
        <f t="shared" ref="I7:I23" si="1">G7+H7</f>
        <v>-14866</v>
      </c>
      <c r="K7" s="210">
        <f t="shared" ref="K7:L23" si="2">C7+G7</f>
        <v>0</v>
      </c>
      <c r="L7" s="210">
        <f t="shared" si="2"/>
        <v>-167008</v>
      </c>
      <c r="M7" s="210">
        <f t="shared" ref="M7:M23" si="3">K7+L7</f>
        <v>-167008</v>
      </c>
    </row>
    <row r="8" spans="1:13" ht="13.2" hidden="1" x14ac:dyDescent="0.25">
      <c r="A8" s="204" t="s">
        <v>669</v>
      </c>
      <c r="B8" s="204" t="s">
        <v>670</v>
      </c>
      <c r="C8" s="209"/>
      <c r="D8" s="209">
        <v>0</v>
      </c>
      <c r="E8" s="209">
        <f t="shared" si="0"/>
        <v>0</v>
      </c>
      <c r="G8" s="209"/>
      <c r="H8" s="209"/>
      <c r="I8" s="209">
        <f t="shared" si="1"/>
        <v>0</v>
      </c>
      <c r="K8" s="210">
        <f t="shared" si="2"/>
        <v>0</v>
      </c>
      <c r="L8" s="210">
        <f t="shared" si="2"/>
        <v>0</v>
      </c>
      <c r="M8" s="210">
        <f t="shared" si="3"/>
        <v>0</v>
      </c>
    </row>
    <row r="9" spans="1:13" ht="13.2" hidden="1" x14ac:dyDescent="0.25">
      <c r="A9" s="204" t="s">
        <v>671</v>
      </c>
      <c r="B9" s="204" t="s">
        <v>672</v>
      </c>
      <c r="C9" s="209"/>
      <c r="D9" s="209">
        <v>0</v>
      </c>
      <c r="E9" s="209">
        <f t="shared" si="0"/>
        <v>0</v>
      </c>
      <c r="G9" s="209"/>
      <c r="H9" s="209"/>
      <c r="I9" s="209">
        <f t="shared" si="1"/>
        <v>0</v>
      </c>
      <c r="K9" s="210">
        <f t="shared" si="2"/>
        <v>0</v>
      </c>
      <c r="L9" s="210">
        <f t="shared" si="2"/>
        <v>0</v>
      </c>
      <c r="M9" s="210">
        <f t="shared" si="3"/>
        <v>0</v>
      </c>
    </row>
    <row r="10" spans="1:13" ht="13.2" x14ac:dyDescent="0.25">
      <c r="A10" s="204" t="s">
        <v>673</v>
      </c>
      <c r="B10" s="204" t="s">
        <v>674</v>
      </c>
      <c r="C10" s="209"/>
      <c r="D10" s="209">
        <v>-8433</v>
      </c>
      <c r="E10" s="209">
        <f t="shared" si="0"/>
        <v>-8433</v>
      </c>
      <c r="G10" s="209"/>
      <c r="H10" s="209">
        <v>3516</v>
      </c>
      <c r="I10" s="209">
        <f t="shared" si="1"/>
        <v>3516</v>
      </c>
      <c r="K10" s="210">
        <f t="shared" si="2"/>
        <v>0</v>
      </c>
      <c r="L10" s="210">
        <f t="shared" si="2"/>
        <v>-4917</v>
      </c>
      <c r="M10" s="210">
        <f t="shared" si="3"/>
        <v>-4917</v>
      </c>
    </row>
    <row r="11" spans="1:13" ht="13.2" x14ac:dyDescent="0.25">
      <c r="A11" s="204" t="s">
        <v>675</v>
      </c>
      <c r="B11" s="204" t="s">
        <v>676</v>
      </c>
      <c r="C11" s="209">
        <v>0</v>
      </c>
      <c r="D11" s="209"/>
      <c r="E11" s="209">
        <f t="shared" si="0"/>
        <v>0</v>
      </c>
      <c r="G11" s="209">
        <v>0</v>
      </c>
      <c r="H11" s="209"/>
      <c r="I11" s="209">
        <f t="shared" si="1"/>
        <v>0</v>
      </c>
      <c r="K11" s="210">
        <f t="shared" si="2"/>
        <v>0</v>
      </c>
      <c r="L11" s="210">
        <f t="shared" si="2"/>
        <v>0</v>
      </c>
      <c r="M11" s="210">
        <f t="shared" si="3"/>
        <v>0</v>
      </c>
    </row>
    <row r="12" spans="1:13" ht="13.2" x14ac:dyDescent="0.25">
      <c r="A12" s="204"/>
      <c r="B12" s="204" t="s">
        <v>677</v>
      </c>
      <c r="C12" s="209"/>
      <c r="D12" s="209">
        <v>-88298</v>
      </c>
      <c r="E12" s="209">
        <f t="shared" si="0"/>
        <v>-88298</v>
      </c>
      <c r="G12" s="209"/>
      <c r="H12" s="209">
        <v>-1133</v>
      </c>
      <c r="I12" s="209">
        <f t="shared" si="1"/>
        <v>-1133</v>
      </c>
      <c r="K12" s="210">
        <f t="shared" si="2"/>
        <v>0</v>
      </c>
      <c r="L12" s="210">
        <f t="shared" si="2"/>
        <v>-89431</v>
      </c>
      <c r="M12" s="210">
        <f t="shared" si="3"/>
        <v>-89431</v>
      </c>
    </row>
    <row r="13" spans="1:13" ht="13.2" x14ac:dyDescent="0.25">
      <c r="A13" s="204"/>
      <c r="B13" s="204" t="s">
        <v>678</v>
      </c>
      <c r="C13" s="209">
        <v>0</v>
      </c>
      <c r="D13" s="209">
        <v>-10112</v>
      </c>
      <c r="E13" s="209">
        <f t="shared" si="0"/>
        <v>-10112</v>
      </c>
      <c r="G13" s="209">
        <v>0</v>
      </c>
      <c r="H13" s="209"/>
      <c r="I13" s="209">
        <f t="shared" si="1"/>
        <v>0</v>
      </c>
      <c r="K13" s="210">
        <f t="shared" si="2"/>
        <v>0</v>
      </c>
      <c r="L13" s="210">
        <f t="shared" si="2"/>
        <v>-10112</v>
      </c>
      <c r="M13" s="210">
        <f t="shared" si="3"/>
        <v>-10112</v>
      </c>
    </row>
    <row r="14" spans="1:13" ht="13.2" x14ac:dyDescent="0.25">
      <c r="A14" s="204"/>
      <c r="B14" s="204" t="s">
        <v>679</v>
      </c>
      <c r="C14" s="209">
        <v>0</v>
      </c>
      <c r="D14" s="209">
        <v>-1902</v>
      </c>
      <c r="E14" s="209">
        <f t="shared" si="0"/>
        <v>-1902</v>
      </c>
      <c r="G14" s="209">
        <v>0</v>
      </c>
      <c r="H14" s="209"/>
      <c r="I14" s="209">
        <f t="shared" si="1"/>
        <v>0</v>
      </c>
      <c r="K14" s="210">
        <f t="shared" si="2"/>
        <v>0</v>
      </c>
      <c r="L14" s="210">
        <f t="shared" si="2"/>
        <v>-1902</v>
      </c>
      <c r="M14" s="210">
        <f t="shared" si="3"/>
        <v>-1902</v>
      </c>
    </row>
    <row r="15" spans="1:13" x14ac:dyDescent="0.3">
      <c r="A15" s="204"/>
      <c r="B15" s="211" t="s">
        <v>680</v>
      </c>
      <c r="C15" s="209"/>
      <c r="D15" s="209"/>
      <c r="E15" s="209">
        <f t="shared" si="0"/>
        <v>0</v>
      </c>
      <c r="G15" s="209">
        <v>-82775</v>
      </c>
      <c r="H15" s="209">
        <v>0</v>
      </c>
      <c r="I15" s="209">
        <f t="shared" si="1"/>
        <v>-82775</v>
      </c>
      <c r="K15" s="210">
        <f t="shared" si="2"/>
        <v>-82775</v>
      </c>
      <c r="L15" s="210">
        <f t="shared" si="2"/>
        <v>0</v>
      </c>
      <c r="M15" s="210">
        <f t="shared" si="3"/>
        <v>-82775</v>
      </c>
    </row>
    <row r="16" spans="1:13" x14ac:dyDescent="0.3">
      <c r="A16" s="204"/>
      <c r="B16" s="211" t="s">
        <v>681</v>
      </c>
      <c r="C16" s="209"/>
      <c r="D16" s="209"/>
      <c r="E16" s="209">
        <f t="shared" si="0"/>
        <v>0</v>
      </c>
      <c r="G16" s="209">
        <v>-162607</v>
      </c>
      <c r="H16" s="209">
        <v>0</v>
      </c>
      <c r="I16" s="209">
        <f t="shared" si="1"/>
        <v>-162607</v>
      </c>
      <c r="K16" s="210">
        <f t="shared" si="2"/>
        <v>-162607</v>
      </c>
      <c r="L16" s="210">
        <f t="shared" si="2"/>
        <v>0</v>
      </c>
      <c r="M16" s="210">
        <f t="shared" si="3"/>
        <v>-162607</v>
      </c>
    </row>
    <row r="17" spans="1:13" x14ac:dyDescent="0.3">
      <c r="A17" s="204"/>
      <c r="B17" s="211" t="s">
        <v>682</v>
      </c>
      <c r="C17" s="209">
        <v>0</v>
      </c>
      <c r="D17" s="209">
        <v>-1508</v>
      </c>
      <c r="E17" s="209">
        <f t="shared" si="0"/>
        <v>-1508</v>
      </c>
      <c r="G17" s="209">
        <v>0</v>
      </c>
      <c r="H17" s="209"/>
      <c r="I17" s="209">
        <f t="shared" si="1"/>
        <v>0</v>
      </c>
      <c r="K17" s="210">
        <f t="shared" si="2"/>
        <v>0</v>
      </c>
      <c r="L17" s="210">
        <f t="shared" si="2"/>
        <v>-1508</v>
      </c>
      <c r="M17" s="210">
        <f t="shared" si="3"/>
        <v>-1508</v>
      </c>
    </row>
    <row r="18" spans="1:13" x14ac:dyDescent="0.3">
      <c r="A18" s="204"/>
      <c r="B18" s="211" t="s">
        <v>683</v>
      </c>
      <c r="C18" s="209">
        <v>0</v>
      </c>
      <c r="D18" s="209">
        <v>-7647</v>
      </c>
      <c r="E18" s="209">
        <f t="shared" si="0"/>
        <v>-7647</v>
      </c>
      <c r="G18" s="209">
        <v>0</v>
      </c>
      <c r="H18" s="209"/>
      <c r="I18" s="209">
        <f t="shared" si="1"/>
        <v>0</v>
      </c>
      <c r="K18" s="210">
        <f t="shared" si="2"/>
        <v>0</v>
      </c>
      <c r="L18" s="210">
        <f t="shared" si="2"/>
        <v>-7647</v>
      </c>
      <c r="M18" s="210">
        <f t="shared" si="3"/>
        <v>-7647</v>
      </c>
    </row>
    <row r="19" spans="1:13" ht="13.2" x14ac:dyDescent="0.25">
      <c r="A19" s="204"/>
      <c r="B19" s="204" t="s">
        <v>684</v>
      </c>
      <c r="C19" s="209"/>
      <c r="D19" s="209">
        <v>-2968</v>
      </c>
      <c r="E19" s="209">
        <f t="shared" si="0"/>
        <v>-2968</v>
      </c>
      <c r="G19" s="209"/>
      <c r="H19" s="209"/>
      <c r="I19" s="209">
        <f t="shared" si="1"/>
        <v>0</v>
      </c>
      <c r="K19" s="210">
        <f t="shared" si="2"/>
        <v>0</v>
      </c>
      <c r="L19" s="210">
        <f t="shared" si="2"/>
        <v>-2968</v>
      </c>
      <c r="M19" s="210">
        <f t="shared" si="3"/>
        <v>-2968</v>
      </c>
    </row>
    <row r="20" spans="1:13" ht="13.2" x14ac:dyDescent="0.25">
      <c r="A20" s="204"/>
      <c r="B20" s="204" t="s">
        <v>685</v>
      </c>
      <c r="C20" s="209"/>
      <c r="D20" s="209"/>
      <c r="E20" s="209">
        <f t="shared" si="0"/>
        <v>0</v>
      </c>
      <c r="G20" s="209"/>
      <c r="H20" s="209">
        <v>24035</v>
      </c>
      <c r="I20" s="209">
        <f t="shared" si="1"/>
        <v>24035</v>
      </c>
      <c r="K20" s="210">
        <f t="shared" si="2"/>
        <v>0</v>
      </c>
      <c r="L20" s="210">
        <f t="shared" si="2"/>
        <v>24035</v>
      </c>
      <c r="M20" s="210">
        <f t="shared" si="3"/>
        <v>24035</v>
      </c>
    </row>
    <row r="21" spans="1:13" ht="13.2" x14ac:dyDescent="0.25">
      <c r="A21" s="204"/>
      <c r="B21" s="204" t="s">
        <v>686</v>
      </c>
      <c r="C21" s="209"/>
      <c r="D21" s="209"/>
      <c r="E21" s="209">
        <f t="shared" si="0"/>
        <v>0</v>
      </c>
      <c r="G21" s="209"/>
      <c r="H21" s="209">
        <f>-'[39]PKY Support'!N48</f>
        <v>6449</v>
      </c>
      <c r="I21" s="209">
        <f t="shared" si="1"/>
        <v>6449</v>
      </c>
      <c r="K21" s="210">
        <f t="shared" si="2"/>
        <v>0</v>
      </c>
      <c r="L21" s="210">
        <f t="shared" si="2"/>
        <v>6449</v>
      </c>
      <c r="M21" s="210">
        <f t="shared" si="3"/>
        <v>6449</v>
      </c>
    </row>
    <row r="22" spans="1:13" ht="13.2" x14ac:dyDescent="0.25">
      <c r="A22" s="204"/>
      <c r="B22" s="204" t="s">
        <v>687</v>
      </c>
      <c r="C22" s="209"/>
      <c r="D22" s="209">
        <f>-293-171</f>
        <v>-464</v>
      </c>
      <c r="E22" s="209">
        <f t="shared" si="0"/>
        <v>-464</v>
      </c>
      <c r="G22" s="209"/>
      <c r="H22" s="209"/>
      <c r="I22" s="209">
        <f t="shared" si="1"/>
        <v>0</v>
      </c>
      <c r="K22" s="210">
        <f t="shared" si="2"/>
        <v>0</v>
      </c>
      <c r="L22" s="210">
        <f t="shared" si="2"/>
        <v>-464</v>
      </c>
      <c r="M22" s="210">
        <f t="shared" si="3"/>
        <v>-464</v>
      </c>
    </row>
    <row r="23" spans="1:13" x14ac:dyDescent="0.3">
      <c r="A23" s="204"/>
      <c r="B23" s="211" t="s">
        <v>688</v>
      </c>
      <c r="C23" s="212">
        <v>-6060</v>
      </c>
      <c r="D23" s="212">
        <v>0</v>
      </c>
      <c r="E23" s="212">
        <f t="shared" si="0"/>
        <v>-6060</v>
      </c>
      <c r="G23" s="212"/>
      <c r="H23" s="212">
        <v>0</v>
      </c>
      <c r="I23" s="212">
        <f t="shared" si="1"/>
        <v>0</v>
      </c>
      <c r="K23" s="213">
        <f t="shared" si="2"/>
        <v>-6060</v>
      </c>
      <c r="L23" s="213">
        <f t="shared" si="2"/>
        <v>0</v>
      </c>
      <c r="M23" s="213">
        <f t="shared" si="3"/>
        <v>-6060</v>
      </c>
    </row>
    <row r="24" spans="1:13" ht="13.2" x14ac:dyDescent="0.25">
      <c r="A24" s="204"/>
      <c r="B24" s="204"/>
      <c r="C24" s="209">
        <f>SUM(C6:C23)</f>
        <v>-6060</v>
      </c>
      <c r="D24" s="209">
        <f>SUM(D6:D23)</f>
        <v>-227557</v>
      </c>
      <c r="E24" s="209">
        <f>SUM(E6:E23)</f>
        <v>-233617</v>
      </c>
      <c r="G24" s="209">
        <f>SUM(G6:G23)</f>
        <v>-245382</v>
      </c>
      <c r="H24" s="209">
        <f>SUM(H6:H23)</f>
        <v>12514</v>
      </c>
      <c r="I24" s="209">
        <f>SUM(I6:I23)</f>
        <v>-232868</v>
      </c>
      <c r="K24" s="209">
        <f>SUM(K6:K23)</f>
        <v>-251442</v>
      </c>
      <c r="L24" s="209">
        <f>SUM(L6:L23)</f>
        <v>-215043</v>
      </c>
      <c r="M24" s="209">
        <f>SUM(M6:M23)</f>
        <v>-466485</v>
      </c>
    </row>
    <row r="25" spans="1:13" x14ac:dyDescent="0.3">
      <c r="A25" s="208">
        <v>282</v>
      </c>
      <c r="B25" s="208">
        <v>282</v>
      </c>
      <c r="C25" s="209"/>
      <c r="D25" s="209"/>
      <c r="E25" s="209"/>
      <c r="G25" s="209"/>
      <c r="H25" s="209"/>
      <c r="I25" s="209"/>
    </row>
    <row r="26" spans="1:13" ht="13.2" x14ac:dyDescent="0.25">
      <c r="A26" s="204" t="s">
        <v>689</v>
      </c>
      <c r="B26" s="204" t="s">
        <v>690</v>
      </c>
      <c r="C26" s="209"/>
      <c r="D26" s="209">
        <v>-587044</v>
      </c>
      <c r="E26" s="209">
        <f t="shared" si="0"/>
        <v>-587044</v>
      </c>
      <c r="G26" s="209"/>
      <c r="H26" s="209"/>
      <c r="I26" s="209">
        <f t="shared" ref="I26:I46" si="4">G26+H26</f>
        <v>0</v>
      </c>
      <c r="K26" s="210">
        <f t="shared" ref="K26:L46" si="5">C26+G26</f>
        <v>0</v>
      </c>
      <c r="L26" s="210">
        <f t="shared" si="5"/>
        <v>-587044</v>
      </c>
      <c r="M26" s="210">
        <f t="shared" ref="M26:M46" si="6">K26+L26</f>
        <v>-587044</v>
      </c>
    </row>
    <row r="27" spans="1:13" ht="13.2" x14ac:dyDescent="0.25">
      <c r="A27" s="204" t="s">
        <v>691</v>
      </c>
      <c r="B27" s="204" t="s">
        <v>692</v>
      </c>
      <c r="C27" s="209"/>
      <c r="D27" s="209">
        <v>0</v>
      </c>
      <c r="E27" s="209">
        <f t="shared" si="0"/>
        <v>0</v>
      </c>
      <c r="G27" s="209"/>
      <c r="H27" s="209"/>
      <c r="I27" s="209">
        <f t="shared" si="4"/>
        <v>0</v>
      </c>
      <c r="K27" s="210">
        <f t="shared" si="5"/>
        <v>0</v>
      </c>
      <c r="L27" s="210">
        <f t="shared" si="5"/>
        <v>0</v>
      </c>
      <c r="M27" s="210">
        <f t="shared" si="6"/>
        <v>0</v>
      </c>
    </row>
    <row r="28" spans="1:13" ht="13.2" x14ac:dyDescent="0.25">
      <c r="A28" s="204" t="s">
        <v>693</v>
      </c>
      <c r="B28" s="204" t="s">
        <v>694</v>
      </c>
      <c r="C28" s="209">
        <v>26057218</v>
      </c>
      <c r="D28" s="209"/>
      <c r="E28" s="209">
        <f t="shared" si="0"/>
        <v>26057218</v>
      </c>
      <c r="G28" s="209">
        <f>124789-10422</f>
        <v>114367</v>
      </c>
      <c r="H28" s="209"/>
      <c r="I28" s="209">
        <f t="shared" si="4"/>
        <v>114367</v>
      </c>
      <c r="K28" s="210">
        <f t="shared" si="5"/>
        <v>26171585</v>
      </c>
      <c r="L28" s="210">
        <f t="shared" si="5"/>
        <v>0</v>
      </c>
      <c r="M28" s="210">
        <f t="shared" si="6"/>
        <v>26171585</v>
      </c>
    </row>
    <row r="29" spans="1:13" ht="13.2" x14ac:dyDescent="0.25">
      <c r="A29" s="204" t="s">
        <v>695</v>
      </c>
      <c r="B29" s="204" t="s">
        <v>696</v>
      </c>
      <c r="C29" s="209">
        <v>4294872</v>
      </c>
      <c r="D29" s="209"/>
      <c r="E29" s="209">
        <f t="shared" si="0"/>
        <v>4294872</v>
      </c>
      <c r="G29" s="209">
        <f>28000+3816</f>
        <v>31816</v>
      </c>
      <c r="H29" s="209"/>
      <c r="I29" s="209">
        <f t="shared" si="4"/>
        <v>31816</v>
      </c>
      <c r="K29" s="210">
        <f t="shared" si="5"/>
        <v>4326688</v>
      </c>
      <c r="L29" s="210">
        <f t="shared" si="5"/>
        <v>0</v>
      </c>
      <c r="M29" s="210">
        <f t="shared" si="6"/>
        <v>4326688</v>
      </c>
    </row>
    <row r="30" spans="1:13" x14ac:dyDescent="0.3">
      <c r="A30" s="204"/>
      <c r="B30" s="211" t="s">
        <v>697</v>
      </c>
      <c r="C30" s="209">
        <v>-1972466</v>
      </c>
      <c r="D30" s="209"/>
      <c r="E30" s="209">
        <f t="shared" si="0"/>
        <v>-1972466</v>
      </c>
      <c r="G30" s="209"/>
      <c r="H30" s="209"/>
      <c r="I30" s="209">
        <f t="shared" si="4"/>
        <v>0</v>
      </c>
      <c r="K30" s="210">
        <f t="shared" si="5"/>
        <v>-1972466</v>
      </c>
      <c r="L30" s="210">
        <f t="shared" si="5"/>
        <v>0</v>
      </c>
      <c r="M30" s="210">
        <f t="shared" si="6"/>
        <v>-1972466</v>
      </c>
    </row>
    <row r="31" spans="1:13" x14ac:dyDescent="0.3">
      <c r="A31" s="204"/>
      <c r="B31" s="211" t="s">
        <v>698</v>
      </c>
      <c r="C31" s="209">
        <v>-90500</v>
      </c>
      <c r="D31" s="209"/>
      <c r="E31" s="209">
        <f t="shared" si="0"/>
        <v>-90500</v>
      </c>
      <c r="G31" s="209"/>
      <c r="H31" s="209"/>
      <c r="I31" s="209">
        <f t="shared" si="4"/>
        <v>0</v>
      </c>
      <c r="K31" s="210">
        <f t="shared" si="5"/>
        <v>-90500</v>
      </c>
      <c r="L31" s="210">
        <f t="shared" si="5"/>
        <v>0</v>
      </c>
      <c r="M31" s="210">
        <f t="shared" si="6"/>
        <v>-90500</v>
      </c>
    </row>
    <row r="32" spans="1:13" x14ac:dyDescent="0.3">
      <c r="A32" s="204"/>
      <c r="B32" s="211" t="s">
        <v>699</v>
      </c>
      <c r="C32" s="209">
        <v>-4141</v>
      </c>
      <c r="D32" s="209"/>
      <c r="E32" s="209">
        <f t="shared" si="0"/>
        <v>-4141</v>
      </c>
      <c r="G32" s="209"/>
      <c r="H32" s="209"/>
      <c r="I32" s="209">
        <f t="shared" si="4"/>
        <v>0</v>
      </c>
      <c r="K32" s="210">
        <f t="shared" si="5"/>
        <v>-4141</v>
      </c>
      <c r="L32" s="210">
        <f t="shared" si="5"/>
        <v>0</v>
      </c>
      <c r="M32" s="210">
        <f t="shared" si="6"/>
        <v>-4141</v>
      </c>
    </row>
    <row r="33" spans="1:13" ht="13.2" x14ac:dyDescent="0.25">
      <c r="A33" s="204" t="s">
        <v>700</v>
      </c>
      <c r="B33" s="204" t="s">
        <v>701</v>
      </c>
      <c r="C33" s="209">
        <v>-11069</v>
      </c>
      <c r="D33" s="209"/>
      <c r="E33" s="209">
        <f t="shared" si="0"/>
        <v>-11069</v>
      </c>
      <c r="G33" s="209"/>
      <c r="H33" s="209"/>
      <c r="I33" s="209">
        <f t="shared" si="4"/>
        <v>0</v>
      </c>
      <c r="K33" s="210">
        <f t="shared" si="5"/>
        <v>-11069</v>
      </c>
      <c r="L33" s="210">
        <f t="shared" si="5"/>
        <v>0</v>
      </c>
      <c r="M33" s="210">
        <f t="shared" si="6"/>
        <v>-11069</v>
      </c>
    </row>
    <row r="34" spans="1:13" ht="13.2" x14ac:dyDescent="0.25">
      <c r="A34" s="204" t="s">
        <v>702</v>
      </c>
      <c r="B34" s="204" t="s">
        <v>703</v>
      </c>
      <c r="C34" s="209">
        <v>423915</v>
      </c>
      <c r="D34" s="209">
        <v>0</v>
      </c>
      <c r="E34" s="209">
        <f t="shared" si="0"/>
        <v>423915</v>
      </c>
      <c r="G34" s="209"/>
      <c r="H34" s="209"/>
      <c r="I34" s="209">
        <f t="shared" si="4"/>
        <v>0</v>
      </c>
      <c r="K34" s="210">
        <f t="shared" si="5"/>
        <v>423915</v>
      </c>
      <c r="L34" s="210">
        <f t="shared" si="5"/>
        <v>0</v>
      </c>
      <c r="M34" s="210">
        <f t="shared" si="6"/>
        <v>423915</v>
      </c>
    </row>
    <row r="35" spans="1:13" hidden="1" x14ac:dyDescent="0.3">
      <c r="A35" s="204" t="s">
        <v>704</v>
      </c>
      <c r="B35" s="211" t="s">
        <v>705</v>
      </c>
      <c r="C35" s="209">
        <v>0</v>
      </c>
      <c r="D35" s="209"/>
      <c r="E35" s="209">
        <f t="shared" si="0"/>
        <v>0</v>
      </c>
      <c r="G35" s="209"/>
      <c r="H35" s="209"/>
      <c r="I35" s="209">
        <f t="shared" si="4"/>
        <v>0</v>
      </c>
      <c r="K35" s="210">
        <f t="shared" si="5"/>
        <v>0</v>
      </c>
      <c r="L35" s="210">
        <f t="shared" si="5"/>
        <v>0</v>
      </c>
      <c r="M35" s="210">
        <f t="shared" si="6"/>
        <v>0</v>
      </c>
    </row>
    <row r="36" spans="1:13" hidden="1" x14ac:dyDescent="0.3">
      <c r="A36" s="204" t="s">
        <v>706</v>
      </c>
      <c r="B36" s="211" t="s">
        <v>707</v>
      </c>
      <c r="C36" s="209">
        <v>0</v>
      </c>
      <c r="D36" s="209"/>
      <c r="E36" s="209">
        <f t="shared" si="0"/>
        <v>0</v>
      </c>
      <c r="G36" s="209"/>
      <c r="H36" s="209"/>
      <c r="I36" s="209">
        <f t="shared" si="4"/>
        <v>0</v>
      </c>
      <c r="K36" s="210">
        <f t="shared" si="5"/>
        <v>0</v>
      </c>
      <c r="L36" s="210">
        <f t="shared" si="5"/>
        <v>0</v>
      </c>
      <c r="M36" s="210">
        <f t="shared" si="6"/>
        <v>0</v>
      </c>
    </row>
    <row r="37" spans="1:13" ht="13.2" x14ac:dyDescent="0.25">
      <c r="A37" s="204" t="s">
        <v>708</v>
      </c>
      <c r="B37" s="204" t="s">
        <v>709</v>
      </c>
      <c r="C37" s="214">
        <v>700500</v>
      </c>
      <c r="D37" s="214"/>
      <c r="E37" s="214">
        <f t="shared" si="0"/>
        <v>700500</v>
      </c>
      <c r="G37" s="214"/>
      <c r="H37" s="214"/>
      <c r="I37" s="214">
        <f t="shared" si="4"/>
        <v>0</v>
      </c>
      <c r="K37" s="210">
        <f t="shared" si="5"/>
        <v>700500</v>
      </c>
      <c r="L37" s="210">
        <f t="shared" si="5"/>
        <v>0</v>
      </c>
      <c r="M37" s="210">
        <f t="shared" si="6"/>
        <v>700500</v>
      </c>
    </row>
    <row r="38" spans="1:13" x14ac:dyDescent="0.3">
      <c r="A38" s="204"/>
      <c r="B38" s="211" t="s">
        <v>710</v>
      </c>
      <c r="C38" s="214">
        <v>0</v>
      </c>
      <c r="D38" s="214">
        <v>-278356</v>
      </c>
      <c r="E38" s="214">
        <f t="shared" si="0"/>
        <v>-278356</v>
      </c>
      <c r="G38" s="214"/>
      <c r="H38" s="214"/>
      <c r="I38" s="214">
        <f t="shared" si="4"/>
        <v>0</v>
      </c>
      <c r="K38" s="210">
        <f t="shared" si="5"/>
        <v>0</v>
      </c>
      <c r="L38" s="210">
        <f t="shared" si="5"/>
        <v>-278356</v>
      </c>
      <c r="M38" s="210">
        <f t="shared" si="6"/>
        <v>-278356</v>
      </c>
    </row>
    <row r="39" spans="1:13" x14ac:dyDescent="0.3">
      <c r="A39" s="204"/>
      <c r="B39" s="211" t="s">
        <v>711</v>
      </c>
      <c r="C39" s="214">
        <v>0</v>
      </c>
      <c r="D39" s="214">
        <v>207263</v>
      </c>
      <c r="E39" s="214">
        <f t="shared" si="0"/>
        <v>207263</v>
      </c>
      <c r="G39" s="214"/>
      <c r="H39" s="214"/>
      <c r="I39" s="214">
        <f t="shared" si="4"/>
        <v>0</v>
      </c>
      <c r="K39" s="210">
        <f t="shared" si="5"/>
        <v>0</v>
      </c>
      <c r="L39" s="210">
        <f t="shared" si="5"/>
        <v>207263</v>
      </c>
      <c r="M39" s="210">
        <f t="shared" si="6"/>
        <v>207263</v>
      </c>
    </row>
    <row r="40" spans="1:13" x14ac:dyDescent="0.3">
      <c r="A40" s="204"/>
      <c r="B40" s="211" t="s">
        <v>712</v>
      </c>
      <c r="C40" s="214">
        <v>0</v>
      </c>
      <c r="D40" s="214">
        <v>617183</v>
      </c>
      <c r="E40" s="214">
        <f t="shared" si="0"/>
        <v>617183</v>
      </c>
      <c r="G40" s="214"/>
      <c r="H40" s="214">
        <v>0</v>
      </c>
      <c r="I40" s="214">
        <f t="shared" si="4"/>
        <v>0</v>
      </c>
      <c r="K40" s="210">
        <f t="shared" si="5"/>
        <v>0</v>
      </c>
      <c r="L40" s="210">
        <f t="shared" si="5"/>
        <v>617183</v>
      </c>
      <c r="M40" s="210">
        <f t="shared" si="6"/>
        <v>617183</v>
      </c>
    </row>
    <row r="41" spans="1:13" x14ac:dyDescent="0.3">
      <c r="A41" s="204"/>
      <c r="B41" s="211" t="s">
        <v>713</v>
      </c>
      <c r="C41" s="214">
        <v>0</v>
      </c>
      <c r="D41" s="214">
        <v>-4749050</v>
      </c>
      <c r="E41" s="214">
        <f t="shared" si="0"/>
        <v>-4749050</v>
      </c>
      <c r="G41" s="214"/>
      <c r="H41" s="214"/>
      <c r="I41" s="214">
        <f t="shared" si="4"/>
        <v>0</v>
      </c>
      <c r="K41" s="210">
        <f t="shared" si="5"/>
        <v>0</v>
      </c>
      <c r="L41" s="210">
        <f t="shared" si="5"/>
        <v>-4749050</v>
      </c>
      <c r="M41" s="210">
        <f t="shared" si="6"/>
        <v>-4749050</v>
      </c>
    </row>
    <row r="42" spans="1:13" x14ac:dyDescent="0.3">
      <c r="A42" s="204"/>
      <c r="B42" s="211" t="s">
        <v>714</v>
      </c>
      <c r="C42" s="214">
        <v>0</v>
      </c>
      <c r="D42" s="214">
        <v>-258161</v>
      </c>
      <c r="E42" s="214">
        <f t="shared" si="0"/>
        <v>-258161</v>
      </c>
      <c r="G42" s="214"/>
      <c r="H42" s="214"/>
      <c r="I42" s="214">
        <f t="shared" si="4"/>
        <v>0</v>
      </c>
      <c r="K42" s="210">
        <f t="shared" si="5"/>
        <v>0</v>
      </c>
      <c r="L42" s="210">
        <f t="shared" si="5"/>
        <v>-258161</v>
      </c>
      <c r="M42" s="210">
        <f t="shared" si="6"/>
        <v>-258161</v>
      </c>
    </row>
    <row r="43" spans="1:13" x14ac:dyDescent="0.3">
      <c r="A43" s="204"/>
      <c r="B43" s="211" t="s">
        <v>715</v>
      </c>
      <c r="C43" s="214">
        <v>0</v>
      </c>
      <c r="D43" s="214">
        <v>3146</v>
      </c>
      <c r="E43" s="214">
        <f t="shared" si="0"/>
        <v>3146</v>
      </c>
      <c r="G43" s="214">
        <v>0</v>
      </c>
      <c r="H43" s="214"/>
      <c r="I43" s="214">
        <f t="shared" si="4"/>
        <v>0</v>
      </c>
      <c r="K43" s="210">
        <f t="shared" si="5"/>
        <v>0</v>
      </c>
      <c r="L43" s="210">
        <f t="shared" si="5"/>
        <v>3146</v>
      </c>
      <c r="M43" s="210">
        <f t="shared" si="6"/>
        <v>3146</v>
      </c>
    </row>
    <row r="44" spans="1:13" ht="13.2" hidden="1" x14ac:dyDescent="0.25">
      <c r="A44" s="204"/>
      <c r="B44" s="204" t="s">
        <v>716</v>
      </c>
      <c r="C44" s="214"/>
      <c r="D44" s="214"/>
      <c r="E44" s="214">
        <f t="shared" si="0"/>
        <v>0</v>
      </c>
      <c r="G44" s="214"/>
      <c r="H44" s="214">
        <f>-'[39]PKY Support'!N16-'[39]PKY Support'!N17-'[39]PKY Support'!N18</f>
        <v>0</v>
      </c>
      <c r="I44" s="214">
        <f t="shared" si="4"/>
        <v>0</v>
      </c>
      <c r="K44" s="210">
        <f t="shared" si="5"/>
        <v>0</v>
      </c>
      <c r="L44" s="210">
        <f t="shared" si="5"/>
        <v>0</v>
      </c>
      <c r="M44" s="210">
        <f t="shared" si="6"/>
        <v>0</v>
      </c>
    </row>
    <row r="45" spans="1:13" x14ac:dyDescent="0.3">
      <c r="A45" s="204"/>
      <c r="B45" s="211" t="s">
        <v>717</v>
      </c>
      <c r="C45" s="214">
        <v>0</v>
      </c>
      <c r="D45" s="214">
        <v>0</v>
      </c>
      <c r="E45" s="214">
        <f t="shared" si="0"/>
        <v>0</v>
      </c>
      <c r="G45" s="214"/>
      <c r="H45" s="214">
        <v>94263</v>
      </c>
      <c r="I45" s="214">
        <f t="shared" si="4"/>
        <v>94263</v>
      </c>
      <c r="K45" s="210">
        <f t="shared" si="5"/>
        <v>0</v>
      </c>
      <c r="L45" s="210">
        <f t="shared" si="5"/>
        <v>94263</v>
      </c>
      <c r="M45" s="210">
        <f t="shared" si="6"/>
        <v>94263</v>
      </c>
    </row>
    <row r="46" spans="1:13" ht="13.2" x14ac:dyDescent="0.25">
      <c r="A46" s="204"/>
      <c r="B46" s="204" t="s">
        <v>718</v>
      </c>
      <c r="C46" s="212"/>
      <c r="D46" s="212">
        <v>-317251</v>
      </c>
      <c r="E46" s="212">
        <f t="shared" si="0"/>
        <v>-317251</v>
      </c>
      <c r="G46" s="212"/>
      <c r="H46" s="212">
        <v>-81314</v>
      </c>
      <c r="I46" s="212">
        <f t="shared" si="4"/>
        <v>-81314</v>
      </c>
      <c r="K46" s="213">
        <f t="shared" si="5"/>
        <v>0</v>
      </c>
      <c r="L46" s="213">
        <f t="shared" si="5"/>
        <v>-398565</v>
      </c>
      <c r="M46" s="213">
        <f t="shared" si="6"/>
        <v>-398565</v>
      </c>
    </row>
    <row r="47" spans="1:13" x14ac:dyDescent="0.3">
      <c r="C47" s="214">
        <f>SUM(C26:C46)</f>
        <v>29398329</v>
      </c>
      <c r="D47" s="214">
        <f>SUM(D26:D46)</f>
        <v>-5362270</v>
      </c>
      <c r="E47" s="214">
        <f>SUM(E26:E46)</f>
        <v>24036059</v>
      </c>
      <c r="G47" s="214">
        <f>SUM(G26:G46)</f>
        <v>146183</v>
      </c>
      <c r="H47" s="214">
        <f>SUM(H26:H46)</f>
        <v>12949</v>
      </c>
      <c r="I47" s="214">
        <f>SUM(I26:I46)</f>
        <v>159132</v>
      </c>
      <c r="K47" s="214">
        <f>SUM(K26:K46)</f>
        <v>29544512</v>
      </c>
      <c r="L47" s="214">
        <f>SUM(L26:L46)</f>
        <v>-5349321</v>
      </c>
      <c r="M47" s="214">
        <f>SUM(M26:M46)</f>
        <v>24195191</v>
      </c>
    </row>
    <row r="48" spans="1:13" x14ac:dyDescent="0.3">
      <c r="A48" s="208">
        <v>283</v>
      </c>
      <c r="B48" s="208">
        <v>283</v>
      </c>
      <c r="C48" s="209"/>
      <c r="D48" s="209"/>
      <c r="E48" s="209"/>
      <c r="G48" s="209"/>
      <c r="H48" s="209"/>
      <c r="I48" s="209"/>
    </row>
    <row r="49" spans="1:13" ht="13.2" x14ac:dyDescent="0.25">
      <c r="A49" s="204" t="s">
        <v>719</v>
      </c>
      <c r="B49" s="204" t="s">
        <v>720</v>
      </c>
      <c r="C49" s="209"/>
      <c r="D49" s="209">
        <v>-352722</v>
      </c>
      <c r="E49" s="209">
        <f t="shared" si="0"/>
        <v>-352722</v>
      </c>
      <c r="G49" s="209"/>
      <c r="H49" s="209">
        <v>-664</v>
      </c>
      <c r="I49" s="209">
        <f>G49+H49</f>
        <v>-664</v>
      </c>
      <c r="K49" s="210">
        <f t="shared" ref="K49:L53" si="7">C49+G49</f>
        <v>0</v>
      </c>
      <c r="L49" s="210">
        <f t="shared" si="7"/>
        <v>-353386</v>
      </c>
      <c r="M49" s="210">
        <f>K49+L49</f>
        <v>-353386</v>
      </c>
    </row>
    <row r="50" spans="1:13" ht="13.2" x14ac:dyDescent="0.25">
      <c r="A50" s="204"/>
      <c r="B50" s="204" t="s">
        <v>721</v>
      </c>
      <c r="C50" s="212"/>
      <c r="D50" s="212"/>
      <c r="E50" s="212">
        <f t="shared" si="0"/>
        <v>0</v>
      </c>
      <c r="G50" s="212"/>
      <c r="H50" s="212">
        <v>-32846</v>
      </c>
      <c r="I50" s="212">
        <f>G50+H50</f>
        <v>-32846</v>
      </c>
      <c r="K50" s="213">
        <f t="shared" si="7"/>
        <v>0</v>
      </c>
      <c r="L50" s="213">
        <f t="shared" si="7"/>
        <v>-32846</v>
      </c>
      <c r="M50" s="213">
        <f>K50+L50</f>
        <v>-32846</v>
      </c>
    </row>
    <row r="51" spans="1:13" hidden="1" x14ac:dyDescent="0.3">
      <c r="A51" s="204" t="s">
        <v>722</v>
      </c>
      <c r="B51" s="211" t="s">
        <v>723</v>
      </c>
      <c r="C51" s="209">
        <v>0</v>
      </c>
      <c r="D51" s="209"/>
      <c r="E51" s="209">
        <f t="shared" si="0"/>
        <v>0</v>
      </c>
      <c r="G51" s="209">
        <v>0</v>
      </c>
      <c r="H51" s="209"/>
      <c r="I51" s="209">
        <f>G51+H51</f>
        <v>0</v>
      </c>
      <c r="K51" s="210">
        <f t="shared" si="7"/>
        <v>0</v>
      </c>
      <c r="L51" s="210">
        <f t="shared" si="7"/>
        <v>0</v>
      </c>
      <c r="M51" s="210">
        <f>K51+L51</f>
        <v>0</v>
      </c>
    </row>
    <row r="52" spans="1:13" ht="13.2" hidden="1" x14ac:dyDescent="0.25">
      <c r="A52" s="204" t="s">
        <v>724</v>
      </c>
      <c r="B52" s="204" t="s">
        <v>725</v>
      </c>
      <c r="C52" s="209">
        <v>0</v>
      </c>
      <c r="D52" s="209"/>
      <c r="E52" s="209">
        <f t="shared" si="0"/>
        <v>0</v>
      </c>
      <c r="G52" s="209">
        <v>0</v>
      </c>
      <c r="H52" s="209"/>
      <c r="I52" s="209">
        <f>G52+H52</f>
        <v>0</v>
      </c>
      <c r="K52" s="210">
        <f t="shared" si="7"/>
        <v>0</v>
      </c>
      <c r="L52" s="210">
        <f t="shared" si="7"/>
        <v>0</v>
      </c>
      <c r="M52" s="210">
        <f>K52+L52</f>
        <v>0</v>
      </c>
    </row>
    <row r="53" spans="1:13" ht="13.2" hidden="1" x14ac:dyDescent="0.25">
      <c r="A53" s="204" t="s">
        <v>726</v>
      </c>
      <c r="B53" s="204" t="s">
        <v>727</v>
      </c>
      <c r="C53" s="212">
        <v>0</v>
      </c>
      <c r="D53" s="212"/>
      <c r="E53" s="212">
        <f t="shared" si="0"/>
        <v>0</v>
      </c>
      <c r="G53" s="212">
        <v>0</v>
      </c>
      <c r="H53" s="212"/>
      <c r="I53" s="212">
        <f>G53+H53</f>
        <v>0</v>
      </c>
      <c r="K53" s="210">
        <f t="shared" si="7"/>
        <v>0</v>
      </c>
      <c r="L53" s="210">
        <f t="shared" si="7"/>
        <v>0</v>
      </c>
      <c r="M53" s="210">
        <f>K53+L53</f>
        <v>0</v>
      </c>
    </row>
    <row r="54" spans="1:13" x14ac:dyDescent="0.3">
      <c r="C54" s="210">
        <f>SUM(C49:C53)</f>
        <v>0</v>
      </c>
      <c r="D54" s="210">
        <f>SUM(D49:D53)</f>
        <v>-352722</v>
      </c>
      <c r="E54" s="210">
        <f>SUM(E49:E53)</f>
        <v>-352722</v>
      </c>
      <c r="G54" s="210">
        <f>SUM(G49:G53)</f>
        <v>0</v>
      </c>
      <c r="H54" s="210">
        <f>SUM(H49:H53)</f>
        <v>-33510</v>
      </c>
      <c r="I54" s="210">
        <f>SUM(I49:I53)</f>
        <v>-33510</v>
      </c>
      <c r="K54" s="210">
        <f>SUM(K49:K53)</f>
        <v>0</v>
      </c>
      <c r="L54" s="210">
        <f>SUM(L49:L53)</f>
        <v>-386232</v>
      </c>
      <c r="M54" s="210">
        <f>SUM(M49:M53)</f>
        <v>-386232</v>
      </c>
    </row>
    <row r="55" spans="1:13" x14ac:dyDescent="0.3">
      <c r="B55" s="208">
        <v>254</v>
      </c>
      <c r="C55" s="210"/>
      <c r="D55" s="210"/>
      <c r="E55" s="210"/>
      <c r="G55" s="210"/>
      <c r="H55" s="210"/>
      <c r="I55" s="210"/>
      <c r="K55" s="210"/>
      <c r="L55" s="210"/>
      <c r="M55" s="210"/>
    </row>
    <row r="56" spans="1:13" x14ac:dyDescent="0.3">
      <c r="B56" s="204" t="s">
        <v>728</v>
      </c>
      <c r="C56" s="210">
        <f>-'[40]3-31-2021 Nat BS'!F24-C57</f>
        <v>13194158</v>
      </c>
      <c r="D56" s="210"/>
      <c r="E56" s="210">
        <f>C56+D56</f>
        <v>13194158</v>
      </c>
      <c r="G56" s="210">
        <f>-'[40]3-31-2021 Nat BS'!E24</f>
        <v>-230617</v>
      </c>
      <c r="H56" s="210"/>
      <c r="I56" s="210">
        <f>G56+H56</f>
        <v>-230617</v>
      </c>
      <c r="K56" s="210">
        <f>C56+G56</f>
        <v>12963541</v>
      </c>
      <c r="L56" s="210">
        <f>D56+H56</f>
        <v>0</v>
      </c>
      <c r="M56" s="210">
        <f>K56+L56</f>
        <v>12963541</v>
      </c>
    </row>
    <row r="57" spans="1:13" x14ac:dyDescent="0.3">
      <c r="B57" s="204" t="s">
        <v>729</v>
      </c>
      <c r="C57" s="210">
        <f>'[40]KY Amort'!M210</f>
        <v>215500</v>
      </c>
      <c r="D57" s="210"/>
      <c r="E57" s="210">
        <f>C57+D57</f>
        <v>215500</v>
      </c>
      <c r="G57" s="210">
        <v>0</v>
      </c>
      <c r="H57" s="210"/>
      <c r="I57" s="210">
        <f>G57+H57</f>
        <v>0</v>
      </c>
      <c r="K57" s="210">
        <f>C57+G57</f>
        <v>215500</v>
      </c>
      <c r="L57" s="210">
        <f>D57+H57</f>
        <v>0</v>
      </c>
      <c r="M57" s="210">
        <f>K57+L57</f>
        <v>215500</v>
      </c>
    </row>
    <row r="58" spans="1:13" ht="15" thickBot="1" x14ac:dyDescent="0.35"/>
    <row r="59" spans="1:13" ht="15" thickBot="1" x14ac:dyDescent="0.35">
      <c r="B59" s="203" t="s">
        <v>410</v>
      </c>
      <c r="C59" s="215">
        <f>C24+C47+C54+C56+C57</f>
        <v>42801927</v>
      </c>
      <c r="D59" s="215">
        <f>D24+D47+D54+D56+D57</f>
        <v>-5942549</v>
      </c>
      <c r="E59" s="215">
        <f>E24+E47+E54+E56+E57</f>
        <v>36859378</v>
      </c>
      <c r="G59" s="215">
        <f>G24+G47+G54+G56+G57</f>
        <v>-329816</v>
      </c>
      <c r="H59" s="215">
        <f>H24+H47+H54+H56+H57</f>
        <v>-8047</v>
      </c>
      <c r="I59" s="215">
        <f>I24+I47+I54+I56+I57</f>
        <v>-337863</v>
      </c>
      <c r="K59" s="216">
        <f>K24+K47+K54+K56+K57</f>
        <v>42472111</v>
      </c>
      <c r="L59" s="215">
        <f>L24+L47+L54+L56+L57</f>
        <v>-5950596</v>
      </c>
      <c r="M59" s="215">
        <f>M24+M47+M54+M56+M57</f>
        <v>36521515</v>
      </c>
    </row>
    <row r="60" spans="1:13" ht="15" hidden="1" thickTop="1" x14ac:dyDescent="0.3">
      <c r="B60" s="217" t="s">
        <v>730</v>
      </c>
      <c r="E60" s="209">
        <f>23449720+E56+E57</f>
        <v>36859378</v>
      </c>
      <c r="I60" s="209">
        <f>-107246+I56+I57</f>
        <v>-337863</v>
      </c>
      <c r="M60" s="210">
        <f>E60+I60</f>
        <v>36521515</v>
      </c>
    </row>
    <row r="61" spans="1:13" ht="15" hidden="1" thickTop="1" x14ac:dyDescent="0.3">
      <c r="E61" s="210">
        <f>E59-E60</f>
        <v>0</v>
      </c>
      <c r="I61" s="210">
        <f>I59-I60</f>
        <v>0</v>
      </c>
      <c r="M61" s="210">
        <f>M59-M60</f>
        <v>0</v>
      </c>
    </row>
    <row r="62" spans="1:13" ht="15" hidden="1" thickTop="1" x14ac:dyDescent="0.3">
      <c r="B62" s="203" t="s">
        <v>731</v>
      </c>
      <c r="E62" s="218"/>
      <c r="H62" s="210"/>
      <c r="I62" s="64"/>
    </row>
    <row r="63" spans="1:13" ht="15" hidden="1" thickTop="1" x14ac:dyDescent="0.3"/>
    <row r="64" spans="1:13" ht="15" hidden="1" thickTop="1" x14ac:dyDescent="0.3">
      <c r="C64" s="219" t="s">
        <v>732</v>
      </c>
      <c r="G64" s="219" t="s">
        <v>732</v>
      </c>
    </row>
    <row r="65" spans="2:13" ht="15" hidden="1" thickTop="1" x14ac:dyDescent="0.3">
      <c r="B65" s="204" t="s">
        <v>733</v>
      </c>
      <c r="C65" s="206"/>
      <c r="D65" s="206"/>
      <c r="E65" s="85"/>
      <c r="G65" s="206"/>
      <c r="I65" s="85"/>
    </row>
    <row r="66" spans="2:13" ht="15" hidden="1" thickTop="1" x14ac:dyDescent="0.3">
      <c r="B66" s="204" t="s">
        <v>734</v>
      </c>
      <c r="C66" s="206" t="s">
        <v>735</v>
      </c>
      <c r="D66" s="206">
        <v>9190000</v>
      </c>
      <c r="E66" s="85">
        <v>4430394</v>
      </c>
      <c r="G66" s="206" t="s">
        <v>735</v>
      </c>
      <c r="H66" s="206">
        <v>9190000</v>
      </c>
      <c r="I66" s="85">
        <v>217864</v>
      </c>
      <c r="M66" s="209">
        <f>'[41]3 31 21 Bal Sheet'!D57</f>
        <v>4648258</v>
      </c>
    </row>
    <row r="67" spans="2:13" ht="15" hidden="1" thickTop="1" x14ac:dyDescent="0.3">
      <c r="B67" s="204" t="s">
        <v>736</v>
      </c>
      <c r="C67" s="206" t="s">
        <v>737</v>
      </c>
      <c r="D67" s="206">
        <v>9254000</v>
      </c>
      <c r="E67" s="85">
        <v>-17912454</v>
      </c>
      <c r="G67" s="206" t="s">
        <v>737</v>
      </c>
      <c r="H67" s="206">
        <v>9254000</v>
      </c>
      <c r="I67" s="85">
        <v>324880</v>
      </c>
      <c r="M67" s="209">
        <f>'[41]3 31 21 Bal Sheet'!D109</f>
        <v>-17587574.34</v>
      </c>
    </row>
    <row r="68" spans="2:13" ht="15" hidden="1" thickTop="1" x14ac:dyDescent="0.3">
      <c r="C68" s="206" t="s">
        <v>738</v>
      </c>
      <c r="D68" s="206">
        <v>9282000</v>
      </c>
      <c r="E68" s="85">
        <v>-28620422</v>
      </c>
      <c r="G68" s="206" t="s">
        <v>738</v>
      </c>
      <c r="H68" s="206">
        <v>9282000</v>
      </c>
      <c r="I68" s="85">
        <v>-146183</v>
      </c>
      <c r="M68" s="209">
        <f>'[41]3 31 21 Bal Sheet'!D110</f>
        <v>-28766605.460000001</v>
      </c>
    </row>
    <row r="69" spans="2:13" ht="16.2" hidden="1" thickTop="1" x14ac:dyDescent="0.4">
      <c r="B69" s="220">
        <f>E66</f>
        <v>4430394</v>
      </c>
      <c r="C69" s="206" t="s">
        <v>738</v>
      </c>
      <c r="D69" s="206">
        <v>9283000</v>
      </c>
      <c r="E69" s="221">
        <v>740308</v>
      </c>
      <c r="G69" s="206" t="s">
        <v>738</v>
      </c>
      <c r="H69" s="206">
        <v>9283000</v>
      </c>
      <c r="I69" s="221">
        <v>35565</v>
      </c>
      <c r="M69" s="212">
        <f>'[41]3 31 21 Bal Sheet'!D111</f>
        <v>775873.35</v>
      </c>
    </row>
    <row r="70" spans="2:13" ht="15" hidden="1" thickTop="1" x14ac:dyDescent="0.3">
      <c r="B70" s="220">
        <f>E68</f>
        <v>-28620422</v>
      </c>
    </row>
    <row r="71" spans="2:13" ht="16.8" hidden="1" thickTop="1" x14ac:dyDescent="0.45">
      <c r="B71" s="222">
        <f>E69</f>
        <v>740308</v>
      </c>
      <c r="E71" s="218">
        <f>SUM(E65:E69)</f>
        <v>-41362174</v>
      </c>
      <c r="I71" s="218">
        <f>SUM(I65:I69)</f>
        <v>432126</v>
      </c>
      <c r="M71" s="218">
        <f>SUM(M65:M69)</f>
        <v>-40930048.449999996</v>
      </c>
    </row>
    <row r="72" spans="2:13" ht="15" hidden="1" thickTop="1" x14ac:dyDescent="0.3">
      <c r="B72" s="220">
        <f>SUM(B69:B71)</f>
        <v>-23449720</v>
      </c>
    </row>
    <row r="73" spans="2:13" ht="15" hidden="1" thickTop="1" x14ac:dyDescent="0.3">
      <c r="E73" s="210">
        <f>E59+E71</f>
        <v>-4502796</v>
      </c>
      <c r="I73" s="210">
        <f>I59+I71</f>
        <v>94263</v>
      </c>
      <c r="M73" s="210">
        <f>M59+M71</f>
        <v>-4408533.4499999955</v>
      </c>
    </row>
    <row r="74" spans="2:13" ht="15" hidden="1" thickTop="1" x14ac:dyDescent="0.3"/>
    <row r="75" spans="2:13" ht="15" hidden="1" thickTop="1" x14ac:dyDescent="0.3">
      <c r="B75" s="223">
        <f>E24</f>
        <v>-233617</v>
      </c>
      <c r="D75" s="204" t="s">
        <v>739</v>
      </c>
      <c r="E75" s="218">
        <f>E66+E68+E69</f>
        <v>-23449720</v>
      </c>
      <c r="I75" s="218">
        <f>I66+I68+I69</f>
        <v>107246</v>
      </c>
      <c r="J75" s="218"/>
    </row>
    <row r="76" spans="2:13" ht="15" hidden="1" thickTop="1" x14ac:dyDescent="0.3">
      <c r="B76" s="223">
        <f>E47</f>
        <v>24036059</v>
      </c>
      <c r="D76" s="204" t="s">
        <v>740</v>
      </c>
      <c r="E76" s="209">
        <v>23766974</v>
      </c>
      <c r="I76" s="64">
        <v>-113588</v>
      </c>
      <c r="J76" s="209"/>
    </row>
    <row r="77" spans="2:13" ht="16.8" hidden="1" thickTop="1" x14ac:dyDescent="0.45">
      <c r="B77" s="224">
        <f>E54</f>
        <v>-352722</v>
      </c>
      <c r="E77" s="218">
        <f>E75+E76</f>
        <v>317254</v>
      </c>
      <c r="I77" s="218">
        <f>I75+I76</f>
        <v>-6342</v>
      </c>
      <c r="J77" s="218"/>
    </row>
    <row r="78" spans="2:13" ht="15" hidden="1" thickTop="1" x14ac:dyDescent="0.3">
      <c r="B78" s="220">
        <f>SUM(B75:B77)</f>
        <v>23449720</v>
      </c>
    </row>
    <row r="79" spans="2:13" ht="15" hidden="1" thickTop="1" x14ac:dyDescent="0.3">
      <c r="C79" s="204" t="s">
        <v>741</v>
      </c>
    </row>
    <row r="80" spans="2:13" ht="15" hidden="1" thickTop="1" x14ac:dyDescent="0.3"/>
    <row r="81" spans="3:13" ht="15" hidden="1" thickTop="1" x14ac:dyDescent="0.3">
      <c r="C81" s="204" t="s">
        <v>742</v>
      </c>
      <c r="E81" s="204">
        <v>54644.12</v>
      </c>
    </row>
    <row r="82" spans="3:13" ht="15" hidden="1" thickTop="1" x14ac:dyDescent="0.3">
      <c r="C82" s="204" t="s">
        <v>743</v>
      </c>
      <c r="E82" s="204">
        <v>1746957.22</v>
      </c>
    </row>
    <row r="83" spans="3:13" ht="15" hidden="1" thickTop="1" x14ac:dyDescent="0.3">
      <c r="C83" s="204" t="s">
        <v>744</v>
      </c>
      <c r="E83" s="204">
        <v>125266.66</v>
      </c>
    </row>
    <row r="84" spans="3:13" ht="15" hidden="1" thickTop="1" x14ac:dyDescent="0.3">
      <c r="C84" s="204" t="s">
        <v>745</v>
      </c>
      <c r="E84" s="204">
        <v>109153.97</v>
      </c>
    </row>
    <row r="85" spans="3:13" ht="15" hidden="1" thickTop="1" x14ac:dyDescent="0.3">
      <c r="C85" s="204" t="s">
        <v>746</v>
      </c>
      <c r="E85" s="225">
        <v>50003.51</v>
      </c>
    </row>
    <row r="86" spans="3:13" ht="15" hidden="1" thickTop="1" x14ac:dyDescent="0.3">
      <c r="C86" s="204" t="s">
        <v>747</v>
      </c>
      <c r="E86" s="218">
        <f>SUM(E80:E85)</f>
        <v>2086025.48</v>
      </c>
      <c r="I86" s="218">
        <f>SUM(I80:I85)</f>
        <v>0</v>
      </c>
      <c r="L86" s="218">
        <f>E86+I86</f>
        <v>2086025.48</v>
      </c>
    </row>
    <row r="87" spans="3:13" ht="15" hidden="1" thickTop="1" x14ac:dyDescent="0.3">
      <c r="L87" s="85">
        <f>'[41]3 31 21 Bal Sheet'!E51</f>
        <v>2092021.15</v>
      </c>
      <c r="M87" s="204" t="s">
        <v>748</v>
      </c>
    </row>
    <row r="88" spans="3:13" ht="15" hidden="1" thickTop="1" x14ac:dyDescent="0.3"/>
    <row r="89" spans="3:13" ht="15" hidden="1" thickTop="1" x14ac:dyDescent="0.3"/>
    <row r="90" spans="3:13" ht="15" hidden="1" thickTop="1" x14ac:dyDescent="0.3"/>
    <row r="91" spans="3:13" ht="15" hidden="1" thickTop="1" x14ac:dyDescent="0.3"/>
    <row r="92" spans="3:13" ht="15" thickTop="1" x14ac:dyDescent="0.3"/>
  </sheetData>
  <pageMargins left="0.7" right="0.7" top="0.75" bottom="0.75" header="0.3" footer="0.3"/>
  <pageSetup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E7407-0F6F-4061-A88C-ED670E6E07CB}">
  <sheetPr>
    <tabColor rgb="FF66FF33"/>
    <pageSetUpPr fitToPage="1"/>
  </sheetPr>
  <dimension ref="A1:T96"/>
  <sheetViews>
    <sheetView topLeftCell="A4" zoomScale="85" zoomScaleNormal="85" workbookViewId="0">
      <selection activeCell="O16" sqref="O16"/>
    </sheetView>
  </sheetViews>
  <sheetFormatPr defaultColWidth="8.6640625" defaultRowHeight="14.4" x14ac:dyDescent="0.3"/>
  <cols>
    <col min="1" max="1" width="12.5546875" style="203" customWidth="1"/>
    <col min="2" max="2" width="47.44140625" style="203" customWidth="1"/>
    <col min="3" max="3" width="11.33203125" style="204" bestFit="1" customWidth="1"/>
    <col min="4" max="4" width="13.109375" style="204" bestFit="1" customWidth="1"/>
    <col min="5" max="5" width="14" style="204" bestFit="1" customWidth="1"/>
    <col min="6" max="6" width="3" style="204" customWidth="1"/>
    <col min="7" max="7" width="11.109375" style="204" bestFit="1" customWidth="1"/>
    <col min="8" max="8" width="13.109375" style="204" bestFit="1" customWidth="1"/>
    <col min="9" max="9" width="12.44140625" style="204" bestFit="1" customWidth="1"/>
    <col min="10" max="10" width="11.88671875" style="204" bestFit="1" customWidth="1"/>
    <col min="11" max="11" width="11.33203125" style="204" bestFit="1" customWidth="1"/>
    <col min="12" max="12" width="14.109375" style="204" bestFit="1" customWidth="1"/>
    <col min="13" max="13" width="14.5546875" style="204" bestFit="1" customWidth="1"/>
    <col min="14" max="14" width="15.109375" style="204" customWidth="1"/>
    <col min="15" max="16384" width="8.6640625" style="204"/>
  </cols>
  <sheetData>
    <row r="1" spans="1:20" x14ac:dyDescent="0.3">
      <c r="A1" s="203" t="s">
        <v>654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35" t="s">
        <v>141</v>
      </c>
      <c r="N1" s="203"/>
      <c r="O1" s="203"/>
      <c r="P1" s="203"/>
      <c r="Q1" s="203"/>
      <c r="R1" s="203"/>
      <c r="S1" s="203"/>
      <c r="T1" s="203"/>
    </row>
    <row r="2" spans="1:20" x14ac:dyDescent="0.3">
      <c r="A2" s="205" t="s">
        <v>749</v>
      </c>
      <c r="D2" s="206" t="s">
        <v>656</v>
      </c>
      <c r="H2" s="206" t="s">
        <v>657</v>
      </c>
      <c r="M2" s="37" t="s">
        <v>750</v>
      </c>
    </row>
    <row r="3" spans="1:20" x14ac:dyDescent="0.3">
      <c r="A3" s="203" t="s">
        <v>659</v>
      </c>
      <c r="B3" s="203" t="s">
        <v>660</v>
      </c>
      <c r="D3" s="203" t="s">
        <v>661</v>
      </c>
      <c r="H3" s="207" t="s">
        <v>408</v>
      </c>
      <c r="L3" s="207" t="s">
        <v>662</v>
      </c>
    </row>
    <row r="4" spans="1:20" x14ac:dyDescent="0.3">
      <c r="A4" s="203" t="s">
        <v>663</v>
      </c>
      <c r="B4" s="203" t="s">
        <v>31</v>
      </c>
      <c r="C4" s="207" t="s">
        <v>142</v>
      </c>
      <c r="D4" s="207" t="s">
        <v>664</v>
      </c>
      <c r="E4" s="207" t="s">
        <v>410</v>
      </c>
      <c r="G4" s="207" t="s">
        <v>142</v>
      </c>
      <c r="H4" s="207" t="s">
        <v>664</v>
      </c>
      <c r="I4" s="207" t="s">
        <v>410</v>
      </c>
      <c r="K4" s="207" t="s">
        <v>142</v>
      </c>
      <c r="L4" s="207" t="s">
        <v>664</v>
      </c>
      <c r="M4" s="207" t="s">
        <v>410</v>
      </c>
    </row>
    <row r="5" spans="1:20" x14ac:dyDescent="0.3">
      <c r="A5" s="208">
        <v>242</v>
      </c>
      <c r="B5" s="208"/>
    </row>
    <row r="6" spans="1:20" ht="13.2" x14ac:dyDescent="0.25">
      <c r="A6" s="204" t="s">
        <v>665</v>
      </c>
      <c r="B6" s="204" t="s">
        <v>666</v>
      </c>
      <c r="C6" s="226">
        <v>0</v>
      </c>
      <c r="D6" s="226">
        <v>45917</v>
      </c>
      <c r="E6" s="226">
        <f>C6+D6</f>
        <v>45917</v>
      </c>
      <c r="G6" s="226">
        <v>0</v>
      </c>
      <c r="H6" s="226">
        <v>-5487</v>
      </c>
      <c r="I6" s="226">
        <f>G6+H6</f>
        <v>-5487</v>
      </c>
      <c r="K6" s="210">
        <f>C6+G6</f>
        <v>0</v>
      </c>
      <c r="L6" s="210">
        <f>D6+H6</f>
        <v>40430</v>
      </c>
      <c r="M6" s="210">
        <f>K6+L6</f>
        <v>40430</v>
      </c>
    </row>
    <row r="7" spans="1:20" ht="13.2" x14ac:dyDescent="0.25">
      <c r="A7" s="204" t="s">
        <v>667</v>
      </c>
      <c r="B7" s="204" t="s">
        <v>668</v>
      </c>
      <c r="C7" s="226">
        <v>0</v>
      </c>
      <c r="D7" s="226">
        <v>-152142</v>
      </c>
      <c r="E7" s="226">
        <f t="shared" ref="E7:E53" si="0">C7+D7</f>
        <v>-152142</v>
      </c>
      <c r="G7" s="226">
        <v>0</v>
      </c>
      <c r="H7" s="226">
        <v>-14866</v>
      </c>
      <c r="I7" s="226">
        <f t="shared" ref="I7:I23" si="1">G7+H7</f>
        <v>-14866</v>
      </c>
      <c r="K7" s="210">
        <f t="shared" ref="K7:L23" si="2">C7+G7</f>
        <v>0</v>
      </c>
      <c r="L7" s="210">
        <f t="shared" si="2"/>
        <v>-167008</v>
      </c>
      <c r="M7" s="210">
        <f t="shared" ref="M7:M23" si="3">K7+L7</f>
        <v>-167008</v>
      </c>
    </row>
    <row r="8" spans="1:20" ht="13.2" hidden="1" x14ac:dyDescent="0.25">
      <c r="A8" s="204" t="s">
        <v>669</v>
      </c>
      <c r="B8" s="204" t="s">
        <v>670</v>
      </c>
      <c r="C8" s="226"/>
      <c r="D8" s="226">
        <v>0</v>
      </c>
      <c r="E8" s="226">
        <f t="shared" si="0"/>
        <v>0</v>
      </c>
      <c r="G8" s="226"/>
      <c r="H8" s="226"/>
      <c r="I8" s="226">
        <f t="shared" si="1"/>
        <v>0</v>
      </c>
      <c r="K8" s="210">
        <f t="shared" si="2"/>
        <v>0</v>
      </c>
      <c r="L8" s="210">
        <f t="shared" si="2"/>
        <v>0</v>
      </c>
      <c r="M8" s="210">
        <f t="shared" si="3"/>
        <v>0</v>
      </c>
    </row>
    <row r="9" spans="1:20" ht="13.2" hidden="1" x14ac:dyDescent="0.25">
      <c r="A9" s="204" t="s">
        <v>671</v>
      </c>
      <c r="B9" s="204" t="s">
        <v>672</v>
      </c>
      <c r="C9" s="226"/>
      <c r="D9" s="226">
        <v>0</v>
      </c>
      <c r="E9" s="226">
        <f t="shared" si="0"/>
        <v>0</v>
      </c>
      <c r="G9" s="226"/>
      <c r="H9" s="226"/>
      <c r="I9" s="226">
        <f t="shared" si="1"/>
        <v>0</v>
      </c>
      <c r="K9" s="210">
        <f t="shared" si="2"/>
        <v>0</v>
      </c>
      <c r="L9" s="210">
        <f t="shared" si="2"/>
        <v>0</v>
      </c>
      <c r="M9" s="210">
        <f t="shared" si="3"/>
        <v>0</v>
      </c>
    </row>
    <row r="10" spans="1:20" ht="13.2" x14ac:dyDescent="0.25">
      <c r="A10" s="204" t="s">
        <v>673</v>
      </c>
      <c r="B10" s="204" t="s">
        <v>674</v>
      </c>
      <c r="C10" s="226"/>
      <c r="D10" s="226">
        <v>-8433</v>
      </c>
      <c r="E10" s="226">
        <f t="shared" si="0"/>
        <v>-8433</v>
      </c>
      <c r="G10" s="226"/>
      <c r="H10" s="226">
        <v>3516</v>
      </c>
      <c r="I10" s="226">
        <f t="shared" si="1"/>
        <v>3516</v>
      </c>
      <c r="K10" s="210">
        <f t="shared" si="2"/>
        <v>0</v>
      </c>
      <c r="L10" s="210">
        <f t="shared" si="2"/>
        <v>-4917</v>
      </c>
      <c r="M10" s="210">
        <f t="shared" si="3"/>
        <v>-4917</v>
      </c>
    </row>
    <row r="11" spans="1:20" ht="13.2" x14ac:dyDescent="0.25">
      <c r="A11" s="204" t="s">
        <v>675</v>
      </c>
      <c r="B11" s="204" t="s">
        <v>676</v>
      </c>
      <c r="C11" s="226">
        <v>0</v>
      </c>
      <c r="D11" s="226"/>
      <c r="E11" s="226">
        <f t="shared" si="0"/>
        <v>0</v>
      </c>
      <c r="G11" s="226">
        <v>0</v>
      </c>
      <c r="H11" s="226"/>
      <c r="I11" s="226">
        <f t="shared" si="1"/>
        <v>0</v>
      </c>
      <c r="K11" s="210">
        <f t="shared" si="2"/>
        <v>0</v>
      </c>
      <c r="L11" s="210">
        <f t="shared" si="2"/>
        <v>0</v>
      </c>
      <c r="M11" s="210">
        <f t="shared" si="3"/>
        <v>0</v>
      </c>
    </row>
    <row r="12" spans="1:20" ht="13.2" x14ac:dyDescent="0.25">
      <c r="A12" s="204"/>
      <c r="B12" s="204" t="s">
        <v>677</v>
      </c>
      <c r="C12" s="226"/>
      <c r="D12" s="226">
        <v>-88298</v>
      </c>
      <c r="E12" s="226">
        <f t="shared" si="0"/>
        <v>-88298</v>
      </c>
      <c r="G12" s="226"/>
      <c r="H12" s="226">
        <v>-1133</v>
      </c>
      <c r="I12" s="226">
        <f t="shared" si="1"/>
        <v>-1133</v>
      </c>
      <c r="K12" s="210">
        <f t="shared" si="2"/>
        <v>0</v>
      </c>
      <c r="L12" s="210">
        <f t="shared" si="2"/>
        <v>-89431</v>
      </c>
      <c r="M12" s="210">
        <f t="shared" si="3"/>
        <v>-89431</v>
      </c>
    </row>
    <row r="13" spans="1:20" ht="13.2" x14ac:dyDescent="0.25">
      <c r="A13" s="204"/>
      <c r="B13" s="204" t="s">
        <v>678</v>
      </c>
      <c r="C13" s="226">
        <v>0</v>
      </c>
      <c r="D13" s="226">
        <v>-10112</v>
      </c>
      <c r="E13" s="226">
        <f t="shared" si="0"/>
        <v>-10112</v>
      </c>
      <c r="G13" s="226">
        <v>0</v>
      </c>
      <c r="H13" s="226"/>
      <c r="I13" s="226">
        <f t="shared" si="1"/>
        <v>0</v>
      </c>
      <c r="K13" s="210">
        <f t="shared" si="2"/>
        <v>0</v>
      </c>
      <c r="L13" s="210">
        <f t="shared" si="2"/>
        <v>-10112</v>
      </c>
      <c r="M13" s="210">
        <f t="shared" si="3"/>
        <v>-10112</v>
      </c>
    </row>
    <row r="14" spans="1:20" ht="13.2" x14ac:dyDescent="0.25">
      <c r="A14" s="204"/>
      <c r="B14" s="204" t="s">
        <v>679</v>
      </c>
      <c r="C14" s="226">
        <v>0</v>
      </c>
      <c r="D14" s="226">
        <v>-1902</v>
      </c>
      <c r="E14" s="226">
        <f t="shared" si="0"/>
        <v>-1902</v>
      </c>
      <c r="G14" s="226">
        <v>0</v>
      </c>
      <c r="H14" s="226"/>
      <c r="I14" s="226">
        <f t="shared" si="1"/>
        <v>0</v>
      </c>
      <c r="K14" s="210">
        <f t="shared" si="2"/>
        <v>0</v>
      </c>
      <c r="L14" s="210">
        <f t="shared" si="2"/>
        <v>-1902</v>
      </c>
      <c r="M14" s="210">
        <f t="shared" si="3"/>
        <v>-1902</v>
      </c>
    </row>
    <row r="15" spans="1:20" x14ac:dyDescent="0.3">
      <c r="A15" s="204"/>
      <c r="B15" s="211" t="s">
        <v>680</v>
      </c>
      <c r="C15" s="226"/>
      <c r="D15" s="226"/>
      <c r="E15" s="226">
        <f t="shared" si="0"/>
        <v>0</v>
      </c>
      <c r="G15" s="226">
        <v>-82775</v>
      </c>
      <c r="H15" s="226">
        <v>0</v>
      </c>
      <c r="I15" s="226">
        <f t="shared" si="1"/>
        <v>-82775</v>
      </c>
      <c r="K15" s="210">
        <f t="shared" si="2"/>
        <v>-82775</v>
      </c>
      <c r="L15" s="210">
        <f t="shared" si="2"/>
        <v>0</v>
      </c>
      <c r="M15" s="210">
        <f t="shared" si="3"/>
        <v>-82775</v>
      </c>
    </row>
    <row r="16" spans="1:20" x14ac:dyDescent="0.3">
      <c r="A16" s="204"/>
      <c r="B16" s="211" t="s">
        <v>681</v>
      </c>
      <c r="C16" s="226"/>
      <c r="D16" s="226"/>
      <c r="E16" s="226">
        <f t="shared" si="0"/>
        <v>0</v>
      </c>
      <c r="G16" s="226">
        <v>-162607</v>
      </c>
      <c r="H16" s="226">
        <v>0</v>
      </c>
      <c r="I16" s="226">
        <f t="shared" si="1"/>
        <v>-162607</v>
      </c>
      <c r="K16" s="210">
        <f t="shared" si="2"/>
        <v>-162607</v>
      </c>
      <c r="L16" s="210">
        <f t="shared" si="2"/>
        <v>0</v>
      </c>
      <c r="M16" s="210">
        <f t="shared" si="3"/>
        <v>-162607</v>
      </c>
    </row>
    <row r="17" spans="1:13" x14ac:dyDescent="0.3">
      <c r="A17" s="204"/>
      <c r="B17" s="211" t="s">
        <v>682</v>
      </c>
      <c r="C17" s="226">
        <v>0</v>
      </c>
      <c r="D17" s="226">
        <v>-1508</v>
      </c>
      <c r="E17" s="226">
        <f t="shared" si="0"/>
        <v>-1508</v>
      </c>
      <c r="G17" s="226">
        <v>0</v>
      </c>
      <c r="H17" s="226"/>
      <c r="I17" s="226">
        <f t="shared" si="1"/>
        <v>0</v>
      </c>
      <c r="K17" s="210">
        <f t="shared" si="2"/>
        <v>0</v>
      </c>
      <c r="L17" s="210">
        <f t="shared" si="2"/>
        <v>-1508</v>
      </c>
      <c r="M17" s="210">
        <f t="shared" si="3"/>
        <v>-1508</v>
      </c>
    </row>
    <row r="18" spans="1:13" x14ac:dyDescent="0.3">
      <c r="A18" s="204"/>
      <c r="B18" s="211" t="s">
        <v>683</v>
      </c>
      <c r="C18" s="226">
        <v>0</v>
      </c>
      <c r="D18" s="226">
        <v>-7647</v>
      </c>
      <c r="E18" s="226">
        <f t="shared" si="0"/>
        <v>-7647</v>
      </c>
      <c r="G18" s="226">
        <v>0</v>
      </c>
      <c r="H18" s="226"/>
      <c r="I18" s="226">
        <f t="shared" si="1"/>
        <v>0</v>
      </c>
      <c r="K18" s="210">
        <f t="shared" si="2"/>
        <v>0</v>
      </c>
      <c r="L18" s="210">
        <f t="shared" si="2"/>
        <v>-7647</v>
      </c>
      <c r="M18" s="210">
        <f t="shared" si="3"/>
        <v>-7647</v>
      </c>
    </row>
    <row r="19" spans="1:13" ht="13.2" x14ac:dyDescent="0.25">
      <c r="A19" s="204"/>
      <c r="B19" s="204" t="s">
        <v>684</v>
      </c>
      <c r="C19" s="226"/>
      <c r="D19" s="226">
        <v>-2968</v>
      </c>
      <c r="E19" s="226">
        <f t="shared" si="0"/>
        <v>-2968</v>
      </c>
      <c r="G19" s="226"/>
      <c r="H19" s="226"/>
      <c r="I19" s="226">
        <f t="shared" si="1"/>
        <v>0</v>
      </c>
      <c r="K19" s="210">
        <f t="shared" si="2"/>
        <v>0</v>
      </c>
      <c r="L19" s="210">
        <f t="shared" si="2"/>
        <v>-2968</v>
      </c>
      <c r="M19" s="210">
        <f t="shared" si="3"/>
        <v>-2968</v>
      </c>
    </row>
    <row r="20" spans="1:13" ht="13.2" x14ac:dyDescent="0.25">
      <c r="A20" s="204"/>
      <c r="B20" s="204" t="s">
        <v>685</v>
      </c>
      <c r="C20" s="226"/>
      <c r="D20" s="226"/>
      <c r="E20" s="226">
        <f t="shared" si="0"/>
        <v>0</v>
      </c>
      <c r="G20" s="226"/>
      <c r="H20" s="226">
        <v>24035</v>
      </c>
      <c r="I20" s="226">
        <f t="shared" si="1"/>
        <v>24035</v>
      </c>
      <c r="K20" s="210">
        <f t="shared" si="2"/>
        <v>0</v>
      </c>
      <c r="L20" s="210">
        <f t="shared" si="2"/>
        <v>24035</v>
      </c>
      <c r="M20" s="210">
        <f t="shared" si="3"/>
        <v>24035</v>
      </c>
    </row>
    <row r="21" spans="1:13" ht="13.2" x14ac:dyDescent="0.25">
      <c r="A21" s="204"/>
      <c r="B21" s="204" t="s">
        <v>686</v>
      </c>
      <c r="C21" s="226"/>
      <c r="D21" s="226"/>
      <c r="E21" s="226">
        <f t="shared" si="0"/>
        <v>0</v>
      </c>
      <c r="G21" s="226"/>
      <c r="H21" s="226">
        <f>-'[39]PKY Support'!N48</f>
        <v>6449</v>
      </c>
      <c r="I21" s="226">
        <f t="shared" si="1"/>
        <v>6449</v>
      </c>
      <c r="K21" s="210">
        <f t="shared" si="2"/>
        <v>0</v>
      </c>
      <c r="L21" s="210">
        <f t="shared" si="2"/>
        <v>6449</v>
      </c>
      <c r="M21" s="210">
        <f t="shared" si="3"/>
        <v>6449</v>
      </c>
    </row>
    <row r="22" spans="1:13" ht="13.2" x14ac:dyDescent="0.25">
      <c r="A22" s="204"/>
      <c r="B22" s="204" t="s">
        <v>687</v>
      </c>
      <c r="C22" s="226"/>
      <c r="D22" s="226">
        <f>-293-171</f>
        <v>-464</v>
      </c>
      <c r="E22" s="226">
        <f t="shared" si="0"/>
        <v>-464</v>
      </c>
      <c r="G22" s="226"/>
      <c r="H22" s="226"/>
      <c r="I22" s="226">
        <f t="shared" si="1"/>
        <v>0</v>
      </c>
      <c r="K22" s="210">
        <f t="shared" si="2"/>
        <v>0</v>
      </c>
      <c r="L22" s="210">
        <f t="shared" si="2"/>
        <v>-464</v>
      </c>
      <c r="M22" s="210">
        <f t="shared" si="3"/>
        <v>-464</v>
      </c>
    </row>
    <row r="23" spans="1:13" x14ac:dyDescent="0.3">
      <c r="A23" s="204"/>
      <c r="B23" s="211" t="s">
        <v>688</v>
      </c>
      <c r="C23" s="227">
        <v>-6060</v>
      </c>
      <c r="D23" s="227">
        <v>0</v>
      </c>
      <c r="E23" s="227">
        <f t="shared" si="0"/>
        <v>-6060</v>
      </c>
      <c r="G23" s="227"/>
      <c r="H23" s="227">
        <v>0</v>
      </c>
      <c r="I23" s="227">
        <f t="shared" si="1"/>
        <v>0</v>
      </c>
      <c r="K23" s="213">
        <f t="shared" si="2"/>
        <v>-6060</v>
      </c>
      <c r="L23" s="213">
        <f t="shared" si="2"/>
        <v>0</v>
      </c>
      <c r="M23" s="213">
        <f t="shared" si="3"/>
        <v>-6060</v>
      </c>
    </row>
    <row r="24" spans="1:13" ht="13.2" x14ac:dyDescent="0.25">
      <c r="A24" s="204"/>
      <c r="B24" s="204"/>
      <c r="C24" s="226">
        <f>SUM(C6:C23)</f>
        <v>-6060</v>
      </c>
      <c r="D24" s="226">
        <f>SUM(D6:D23)</f>
        <v>-227557</v>
      </c>
      <c r="E24" s="226">
        <f>SUM(E6:E23)</f>
        <v>-233617</v>
      </c>
      <c r="G24" s="226">
        <f>SUM(G6:G23)</f>
        <v>-245382</v>
      </c>
      <c r="H24" s="226">
        <f>SUM(H6:H23)</f>
        <v>12514</v>
      </c>
      <c r="I24" s="226">
        <f>SUM(I6:I23)</f>
        <v>-232868</v>
      </c>
      <c r="K24" s="226">
        <f>SUM(K6:K23)</f>
        <v>-251442</v>
      </c>
      <c r="L24" s="226">
        <f>SUM(L6:L23)</f>
        <v>-215043</v>
      </c>
      <c r="M24" s="226">
        <f>SUM(M6:M23)</f>
        <v>-466485</v>
      </c>
    </row>
    <row r="25" spans="1:13" x14ac:dyDescent="0.3">
      <c r="A25" s="208">
        <v>282</v>
      </c>
      <c r="B25" s="208">
        <v>282</v>
      </c>
      <c r="C25" s="226"/>
      <c r="D25" s="226"/>
      <c r="E25" s="226"/>
      <c r="G25" s="226"/>
      <c r="H25" s="226"/>
      <c r="I25" s="226"/>
    </row>
    <row r="26" spans="1:13" ht="13.2" x14ac:dyDescent="0.25">
      <c r="A26" s="204" t="s">
        <v>689</v>
      </c>
      <c r="B26" s="204" t="s">
        <v>690</v>
      </c>
      <c r="C26" s="226"/>
      <c r="D26" s="226">
        <v>-587044</v>
      </c>
      <c r="E26" s="226">
        <f t="shared" si="0"/>
        <v>-587044</v>
      </c>
      <c r="G26" s="226"/>
      <c r="H26" s="226"/>
      <c r="I26" s="226">
        <f t="shared" ref="I26:I46" si="4">G26+H26</f>
        <v>0</v>
      </c>
      <c r="K26" s="210">
        <f t="shared" ref="K26:L46" si="5">C26+G26</f>
        <v>0</v>
      </c>
      <c r="L26" s="210">
        <f t="shared" si="5"/>
        <v>-587044</v>
      </c>
      <c r="M26" s="210">
        <f t="shared" ref="M26:M46" si="6">K26+L26</f>
        <v>-587044</v>
      </c>
    </row>
    <row r="27" spans="1:13" ht="13.2" x14ac:dyDescent="0.25">
      <c r="A27" s="204" t="s">
        <v>691</v>
      </c>
      <c r="B27" s="204" t="s">
        <v>692</v>
      </c>
      <c r="C27" s="226"/>
      <c r="D27" s="226">
        <v>0</v>
      </c>
      <c r="E27" s="226">
        <f t="shared" si="0"/>
        <v>0</v>
      </c>
      <c r="G27" s="226"/>
      <c r="H27" s="226"/>
      <c r="I27" s="226">
        <f t="shared" si="4"/>
        <v>0</v>
      </c>
      <c r="K27" s="210">
        <f t="shared" si="5"/>
        <v>0</v>
      </c>
      <c r="L27" s="210">
        <f t="shared" si="5"/>
        <v>0</v>
      </c>
      <c r="M27" s="210">
        <f t="shared" si="6"/>
        <v>0</v>
      </c>
    </row>
    <row r="28" spans="1:13" ht="13.2" x14ac:dyDescent="0.25">
      <c r="A28" s="204" t="s">
        <v>693</v>
      </c>
      <c r="B28" s="204" t="s">
        <v>694</v>
      </c>
      <c r="C28" s="226">
        <v>26033407.580836676</v>
      </c>
      <c r="D28" s="226"/>
      <c r="E28" s="226">
        <f t="shared" si="0"/>
        <v>26033407.580836676</v>
      </c>
      <c r="G28" s="226">
        <v>244532.52026013847</v>
      </c>
      <c r="H28" s="226"/>
      <c r="I28" s="226">
        <f t="shared" si="4"/>
        <v>244532.52026013847</v>
      </c>
      <c r="K28" s="210">
        <f t="shared" si="5"/>
        <v>26277940.101096816</v>
      </c>
      <c r="L28" s="210">
        <f t="shared" si="5"/>
        <v>0</v>
      </c>
      <c r="M28" s="210">
        <f t="shared" si="6"/>
        <v>26277940.101096816</v>
      </c>
    </row>
    <row r="29" spans="1:13" ht="13.2" x14ac:dyDescent="0.25">
      <c r="A29" s="204" t="s">
        <v>695</v>
      </c>
      <c r="B29" s="204" t="s">
        <v>696</v>
      </c>
      <c r="C29" s="226">
        <v>4462579.1886224374</v>
      </c>
      <c r="D29" s="226"/>
      <c r="E29" s="226">
        <f t="shared" si="0"/>
        <v>4462579.1886224374</v>
      </c>
      <c r="G29" s="226">
        <v>51143.253896180475</v>
      </c>
      <c r="H29" s="226"/>
      <c r="I29" s="226">
        <f t="shared" si="4"/>
        <v>51143.253896180475</v>
      </c>
      <c r="K29" s="210">
        <f t="shared" si="5"/>
        <v>4513722.442518618</v>
      </c>
      <c r="L29" s="210">
        <f t="shared" si="5"/>
        <v>0</v>
      </c>
      <c r="M29" s="210">
        <f t="shared" si="6"/>
        <v>4513722.442518618</v>
      </c>
    </row>
    <row r="30" spans="1:13" x14ac:dyDescent="0.3">
      <c r="A30" s="204"/>
      <c r="B30" s="211" t="s">
        <v>697</v>
      </c>
      <c r="C30" s="226">
        <v>0</v>
      </c>
      <c r="D30" s="226"/>
      <c r="E30" s="226">
        <f t="shared" si="0"/>
        <v>0</v>
      </c>
      <c r="G30" s="226"/>
      <c r="H30" s="226"/>
      <c r="I30" s="226">
        <f t="shared" si="4"/>
        <v>0</v>
      </c>
      <c r="K30" s="210">
        <f t="shared" si="5"/>
        <v>0</v>
      </c>
      <c r="L30" s="210">
        <f t="shared" si="5"/>
        <v>0</v>
      </c>
      <c r="M30" s="210">
        <f t="shared" si="6"/>
        <v>0</v>
      </c>
    </row>
    <row r="31" spans="1:13" x14ac:dyDescent="0.3">
      <c r="A31" s="204"/>
      <c r="B31" s="211" t="s">
        <v>698</v>
      </c>
      <c r="C31" s="226">
        <v>0</v>
      </c>
      <c r="D31" s="226"/>
      <c r="E31" s="226">
        <f t="shared" si="0"/>
        <v>0</v>
      </c>
      <c r="G31" s="226"/>
      <c r="H31" s="226"/>
      <c r="I31" s="226">
        <f t="shared" si="4"/>
        <v>0</v>
      </c>
      <c r="K31" s="210">
        <f t="shared" si="5"/>
        <v>0</v>
      </c>
      <c r="L31" s="210">
        <f t="shared" si="5"/>
        <v>0</v>
      </c>
      <c r="M31" s="210">
        <f t="shared" si="6"/>
        <v>0</v>
      </c>
    </row>
    <row r="32" spans="1:13" x14ac:dyDescent="0.3">
      <c r="A32" s="204"/>
      <c r="B32" s="211" t="s">
        <v>699</v>
      </c>
      <c r="C32" s="226">
        <v>0</v>
      </c>
      <c r="D32" s="226"/>
      <c r="E32" s="226">
        <f t="shared" si="0"/>
        <v>0</v>
      </c>
      <c r="G32" s="226"/>
      <c r="H32" s="226"/>
      <c r="I32" s="226">
        <f t="shared" si="4"/>
        <v>0</v>
      </c>
      <c r="K32" s="210">
        <f t="shared" si="5"/>
        <v>0</v>
      </c>
      <c r="L32" s="210">
        <f t="shared" si="5"/>
        <v>0</v>
      </c>
      <c r="M32" s="210">
        <f t="shared" si="6"/>
        <v>0</v>
      </c>
    </row>
    <row r="33" spans="1:13" ht="13.2" x14ac:dyDescent="0.25">
      <c r="A33" s="204" t="s">
        <v>700</v>
      </c>
      <c r="B33" s="204" t="s">
        <v>701</v>
      </c>
      <c r="C33" s="226">
        <v>0</v>
      </c>
      <c r="D33" s="226"/>
      <c r="E33" s="226">
        <f t="shared" si="0"/>
        <v>0</v>
      </c>
      <c r="G33" s="226"/>
      <c r="H33" s="226"/>
      <c r="I33" s="226">
        <f t="shared" si="4"/>
        <v>0</v>
      </c>
      <c r="K33" s="210">
        <f t="shared" si="5"/>
        <v>0</v>
      </c>
      <c r="L33" s="210">
        <f t="shared" si="5"/>
        <v>0</v>
      </c>
      <c r="M33" s="210">
        <f t="shared" si="6"/>
        <v>0</v>
      </c>
    </row>
    <row r="34" spans="1:13" ht="13.2" x14ac:dyDescent="0.25">
      <c r="A34" s="204" t="s">
        <v>702</v>
      </c>
      <c r="B34" s="204" t="s">
        <v>703</v>
      </c>
      <c r="C34" s="226">
        <v>423915</v>
      </c>
      <c r="D34" s="226">
        <v>0</v>
      </c>
      <c r="E34" s="226">
        <f t="shared" si="0"/>
        <v>423915</v>
      </c>
      <c r="G34" s="226"/>
      <c r="H34" s="226"/>
      <c r="I34" s="226">
        <f t="shared" si="4"/>
        <v>0</v>
      </c>
      <c r="K34" s="210">
        <f t="shared" si="5"/>
        <v>423915</v>
      </c>
      <c r="L34" s="210">
        <f t="shared" si="5"/>
        <v>0</v>
      </c>
      <c r="M34" s="210">
        <f t="shared" si="6"/>
        <v>423915</v>
      </c>
    </row>
    <row r="35" spans="1:13" hidden="1" x14ac:dyDescent="0.3">
      <c r="A35" s="204" t="s">
        <v>704</v>
      </c>
      <c r="B35" s="211" t="s">
        <v>705</v>
      </c>
      <c r="C35" s="226">
        <v>0</v>
      </c>
      <c r="D35" s="226"/>
      <c r="E35" s="226">
        <f t="shared" si="0"/>
        <v>0</v>
      </c>
      <c r="G35" s="226"/>
      <c r="H35" s="226"/>
      <c r="I35" s="226">
        <f t="shared" si="4"/>
        <v>0</v>
      </c>
      <c r="K35" s="210">
        <f t="shared" si="5"/>
        <v>0</v>
      </c>
      <c r="L35" s="210">
        <f t="shared" si="5"/>
        <v>0</v>
      </c>
      <c r="M35" s="210">
        <f t="shared" si="6"/>
        <v>0</v>
      </c>
    </row>
    <row r="36" spans="1:13" hidden="1" x14ac:dyDescent="0.3">
      <c r="A36" s="204" t="s">
        <v>706</v>
      </c>
      <c r="B36" s="211" t="s">
        <v>707</v>
      </c>
      <c r="C36" s="226">
        <v>0</v>
      </c>
      <c r="D36" s="226"/>
      <c r="E36" s="226">
        <f t="shared" si="0"/>
        <v>0</v>
      </c>
      <c r="G36" s="226"/>
      <c r="H36" s="226"/>
      <c r="I36" s="226">
        <f t="shared" si="4"/>
        <v>0</v>
      </c>
      <c r="K36" s="210">
        <f t="shared" si="5"/>
        <v>0</v>
      </c>
      <c r="L36" s="210">
        <f t="shared" si="5"/>
        <v>0</v>
      </c>
      <c r="M36" s="210">
        <f t="shared" si="6"/>
        <v>0</v>
      </c>
    </row>
    <row r="37" spans="1:13" ht="13.2" x14ac:dyDescent="0.25">
      <c r="A37" s="204" t="s">
        <v>708</v>
      </c>
      <c r="B37" s="204" t="s">
        <v>709</v>
      </c>
      <c r="C37" s="228">
        <v>0</v>
      </c>
      <c r="D37" s="228"/>
      <c r="E37" s="228">
        <f t="shared" si="0"/>
        <v>0</v>
      </c>
      <c r="G37" s="228"/>
      <c r="H37" s="228"/>
      <c r="I37" s="228">
        <f t="shared" si="4"/>
        <v>0</v>
      </c>
      <c r="K37" s="210">
        <f t="shared" si="5"/>
        <v>0</v>
      </c>
      <c r="L37" s="210">
        <f t="shared" si="5"/>
        <v>0</v>
      </c>
      <c r="M37" s="210">
        <f t="shared" si="6"/>
        <v>0</v>
      </c>
    </row>
    <row r="38" spans="1:13" x14ac:dyDescent="0.3">
      <c r="A38" s="204"/>
      <c r="B38" s="211" t="s">
        <v>710</v>
      </c>
      <c r="C38" s="228">
        <v>0</v>
      </c>
      <c r="D38" s="228">
        <v>-278356</v>
      </c>
      <c r="E38" s="228">
        <f t="shared" si="0"/>
        <v>-278356</v>
      </c>
      <c r="G38" s="228"/>
      <c r="H38" s="228"/>
      <c r="I38" s="228">
        <f t="shared" si="4"/>
        <v>0</v>
      </c>
      <c r="K38" s="210">
        <f t="shared" si="5"/>
        <v>0</v>
      </c>
      <c r="L38" s="210">
        <f t="shared" si="5"/>
        <v>-278356</v>
      </c>
      <c r="M38" s="210">
        <f t="shared" si="6"/>
        <v>-278356</v>
      </c>
    </row>
    <row r="39" spans="1:13" x14ac:dyDescent="0.3">
      <c r="A39" s="204"/>
      <c r="B39" s="211" t="s">
        <v>711</v>
      </c>
      <c r="C39" s="228">
        <v>0</v>
      </c>
      <c r="D39" s="228">
        <v>207263</v>
      </c>
      <c r="E39" s="228">
        <f t="shared" si="0"/>
        <v>207263</v>
      </c>
      <c r="G39" s="228"/>
      <c r="H39" s="228"/>
      <c r="I39" s="228">
        <f t="shared" si="4"/>
        <v>0</v>
      </c>
      <c r="K39" s="210">
        <f t="shared" si="5"/>
        <v>0</v>
      </c>
      <c r="L39" s="210">
        <f t="shared" si="5"/>
        <v>207263</v>
      </c>
      <c r="M39" s="210">
        <f t="shared" si="6"/>
        <v>207263</v>
      </c>
    </row>
    <row r="40" spans="1:13" x14ac:dyDescent="0.3">
      <c r="A40" s="204"/>
      <c r="B40" s="211" t="s">
        <v>712</v>
      </c>
      <c r="C40" s="228">
        <v>0</v>
      </c>
      <c r="D40" s="228">
        <v>617183</v>
      </c>
      <c r="E40" s="228">
        <f t="shared" si="0"/>
        <v>617183</v>
      </c>
      <c r="G40" s="228"/>
      <c r="H40" s="228"/>
      <c r="I40" s="228">
        <f t="shared" si="4"/>
        <v>0</v>
      </c>
      <c r="K40" s="210">
        <f t="shared" si="5"/>
        <v>0</v>
      </c>
      <c r="L40" s="210">
        <f t="shared" si="5"/>
        <v>617183</v>
      </c>
      <c r="M40" s="210">
        <f t="shared" si="6"/>
        <v>617183</v>
      </c>
    </row>
    <row r="41" spans="1:13" x14ac:dyDescent="0.3">
      <c r="A41" s="204"/>
      <c r="B41" s="211" t="s">
        <v>713</v>
      </c>
      <c r="C41" s="228">
        <v>0</v>
      </c>
      <c r="D41" s="228">
        <v>-4749050</v>
      </c>
      <c r="E41" s="228">
        <f t="shared" si="0"/>
        <v>-4749050</v>
      </c>
      <c r="G41" s="228"/>
      <c r="H41" s="228"/>
      <c r="I41" s="228">
        <f t="shared" si="4"/>
        <v>0</v>
      </c>
      <c r="K41" s="210">
        <f t="shared" si="5"/>
        <v>0</v>
      </c>
      <c r="L41" s="210">
        <f t="shared" si="5"/>
        <v>-4749050</v>
      </c>
      <c r="M41" s="210">
        <f t="shared" si="6"/>
        <v>-4749050</v>
      </c>
    </row>
    <row r="42" spans="1:13" x14ac:dyDescent="0.3">
      <c r="A42" s="204"/>
      <c r="B42" s="211" t="s">
        <v>714</v>
      </c>
      <c r="C42" s="228">
        <v>0</v>
      </c>
      <c r="D42" s="228">
        <v>-258161</v>
      </c>
      <c r="E42" s="228">
        <f t="shared" si="0"/>
        <v>-258161</v>
      </c>
      <c r="G42" s="228"/>
      <c r="H42" s="228"/>
      <c r="I42" s="228">
        <f t="shared" si="4"/>
        <v>0</v>
      </c>
      <c r="K42" s="210">
        <f t="shared" si="5"/>
        <v>0</v>
      </c>
      <c r="L42" s="210">
        <f t="shared" si="5"/>
        <v>-258161</v>
      </c>
      <c r="M42" s="210">
        <f t="shared" si="6"/>
        <v>-258161</v>
      </c>
    </row>
    <row r="43" spans="1:13" x14ac:dyDescent="0.3">
      <c r="A43" s="204"/>
      <c r="B43" s="211" t="s">
        <v>715</v>
      </c>
      <c r="C43" s="228">
        <v>0</v>
      </c>
      <c r="D43" s="228">
        <v>3146</v>
      </c>
      <c r="E43" s="228">
        <f t="shared" si="0"/>
        <v>3146</v>
      </c>
      <c r="G43" s="228">
        <v>0</v>
      </c>
      <c r="H43" s="228"/>
      <c r="I43" s="228">
        <f t="shared" si="4"/>
        <v>0</v>
      </c>
      <c r="K43" s="210">
        <f t="shared" si="5"/>
        <v>0</v>
      </c>
      <c r="L43" s="210">
        <f t="shared" si="5"/>
        <v>3146</v>
      </c>
      <c r="M43" s="210">
        <f t="shared" si="6"/>
        <v>3146</v>
      </c>
    </row>
    <row r="44" spans="1:13" ht="13.2" hidden="1" x14ac:dyDescent="0.25">
      <c r="A44" s="204"/>
      <c r="B44" s="204" t="s">
        <v>716</v>
      </c>
      <c r="C44" s="228"/>
      <c r="D44" s="228"/>
      <c r="E44" s="228">
        <f t="shared" si="0"/>
        <v>0</v>
      </c>
      <c r="G44" s="228"/>
      <c r="H44" s="228">
        <f>-'[39]PKY Support'!N16-'[39]PKY Support'!N17-'[39]PKY Support'!N18</f>
        <v>0</v>
      </c>
      <c r="I44" s="228">
        <f t="shared" si="4"/>
        <v>0</v>
      </c>
      <c r="K44" s="210">
        <f t="shared" si="5"/>
        <v>0</v>
      </c>
      <c r="L44" s="210">
        <f t="shared" si="5"/>
        <v>0</v>
      </c>
      <c r="M44" s="210">
        <f t="shared" si="6"/>
        <v>0</v>
      </c>
    </row>
    <row r="45" spans="1:13" x14ac:dyDescent="0.3">
      <c r="A45" s="204"/>
      <c r="B45" s="211" t="s">
        <v>717</v>
      </c>
      <c r="C45" s="228"/>
      <c r="D45" s="228"/>
      <c r="E45" s="228">
        <f t="shared" si="0"/>
        <v>0</v>
      </c>
      <c r="G45" s="228"/>
      <c r="H45" s="228">
        <v>94263</v>
      </c>
      <c r="I45" s="228">
        <f t="shared" si="4"/>
        <v>94263</v>
      </c>
      <c r="K45" s="210">
        <f t="shared" si="5"/>
        <v>0</v>
      </c>
      <c r="L45" s="210">
        <f t="shared" si="5"/>
        <v>94263</v>
      </c>
      <c r="M45" s="210">
        <f t="shared" si="6"/>
        <v>94263</v>
      </c>
    </row>
    <row r="46" spans="1:13" ht="13.2" x14ac:dyDescent="0.25">
      <c r="A46" s="204"/>
      <c r="B46" s="204" t="s">
        <v>751</v>
      </c>
      <c r="C46" s="227"/>
      <c r="D46" s="227">
        <v>-317251</v>
      </c>
      <c r="E46" s="227">
        <f t="shared" si="0"/>
        <v>-317251</v>
      </c>
      <c r="G46" s="227"/>
      <c r="H46" s="227">
        <v>-81314</v>
      </c>
      <c r="I46" s="227">
        <f t="shared" si="4"/>
        <v>-81314</v>
      </c>
      <c r="K46" s="213">
        <f t="shared" si="5"/>
        <v>0</v>
      </c>
      <c r="L46" s="213">
        <f t="shared" si="5"/>
        <v>-398565</v>
      </c>
      <c r="M46" s="213">
        <f t="shared" si="6"/>
        <v>-398565</v>
      </c>
    </row>
    <row r="47" spans="1:13" x14ac:dyDescent="0.3">
      <c r="C47" s="228">
        <f>SUM(C26:C46)</f>
        <v>30919901.769459113</v>
      </c>
      <c r="D47" s="228">
        <f>SUM(D26:D46)</f>
        <v>-5362270</v>
      </c>
      <c r="E47" s="228">
        <f>SUM(E26:E46)</f>
        <v>25557631.769459113</v>
      </c>
      <c r="G47" s="228">
        <f>SUM(G26:G46)</f>
        <v>295675.77415631892</v>
      </c>
      <c r="H47" s="228">
        <f>SUM(H26:H46)</f>
        <v>12949</v>
      </c>
      <c r="I47" s="228">
        <f>SUM(I26:I46)</f>
        <v>308624.77415631892</v>
      </c>
      <c r="K47" s="228">
        <f>SUM(K26:K46)</f>
        <v>31215577.543615434</v>
      </c>
      <c r="L47" s="228">
        <f>SUM(L26:L46)</f>
        <v>-5349321</v>
      </c>
      <c r="M47" s="228">
        <f>SUM(M26:M46)</f>
        <v>25866256.543615434</v>
      </c>
    </row>
    <row r="48" spans="1:13" x14ac:dyDescent="0.3">
      <c r="A48" s="208">
        <v>283</v>
      </c>
      <c r="B48" s="208">
        <v>283</v>
      </c>
      <c r="C48" s="226"/>
      <c r="D48" s="226"/>
      <c r="E48" s="226"/>
      <c r="G48" s="226"/>
      <c r="H48" s="226"/>
      <c r="I48" s="226"/>
    </row>
    <row r="49" spans="1:13" ht="13.2" x14ac:dyDescent="0.25">
      <c r="A49" s="204" t="s">
        <v>719</v>
      </c>
      <c r="B49" s="204" t="s">
        <v>720</v>
      </c>
      <c r="C49" s="226"/>
      <c r="D49" s="226">
        <v>-352722</v>
      </c>
      <c r="E49" s="226">
        <f t="shared" si="0"/>
        <v>-352722</v>
      </c>
      <c r="G49" s="226"/>
      <c r="H49" s="226">
        <v>-664</v>
      </c>
      <c r="I49" s="226">
        <f>G49+H49</f>
        <v>-664</v>
      </c>
      <c r="K49" s="210">
        <f t="shared" ref="K49:L53" si="7">C49+G49</f>
        <v>0</v>
      </c>
      <c r="L49" s="210">
        <f t="shared" si="7"/>
        <v>-353386</v>
      </c>
      <c r="M49" s="210">
        <f>K49+L49</f>
        <v>-353386</v>
      </c>
    </row>
    <row r="50" spans="1:13" ht="13.2" x14ac:dyDescent="0.25">
      <c r="A50" s="204"/>
      <c r="B50" s="204" t="s">
        <v>721</v>
      </c>
      <c r="C50" s="227"/>
      <c r="D50" s="227"/>
      <c r="E50" s="227">
        <f t="shared" si="0"/>
        <v>0</v>
      </c>
      <c r="G50" s="227"/>
      <c r="H50" s="227">
        <v>-32846</v>
      </c>
      <c r="I50" s="227">
        <f>G50+H50</f>
        <v>-32846</v>
      </c>
      <c r="K50" s="213">
        <f t="shared" si="7"/>
        <v>0</v>
      </c>
      <c r="L50" s="213">
        <f t="shared" si="7"/>
        <v>-32846</v>
      </c>
      <c r="M50" s="213">
        <f>K50+L50</f>
        <v>-32846</v>
      </c>
    </row>
    <row r="51" spans="1:13" hidden="1" x14ac:dyDescent="0.3">
      <c r="A51" s="204" t="s">
        <v>722</v>
      </c>
      <c r="B51" s="211" t="s">
        <v>723</v>
      </c>
      <c r="C51" s="226">
        <v>0</v>
      </c>
      <c r="D51" s="226"/>
      <c r="E51" s="226">
        <f t="shared" si="0"/>
        <v>0</v>
      </c>
      <c r="G51" s="226">
        <v>0</v>
      </c>
      <c r="H51" s="226"/>
      <c r="I51" s="226">
        <f>G51+H51</f>
        <v>0</v>
      </c>
      <c r="K51" s="210">
        <f t="shared" si="7"/>
        <v>0</v>
      </c>
      <c r="L51" s="210">
        <f t="shared" si="7"/>
        <v>0</v>
      </c>
      <c r="M51" s="210">
        <f>K51+L51</f>
        <v>0</v>
      </c>
    </row>
    <row r="52" spans="1:13" ht="13.2" hidden="1" x14ac:dyDescent="0.25">
      <c r="A52" s="204" t="s">
        <v>724</v>
      </c>
      <c r="B52" s="204" t="s">
        <v>725</v>
      </c>
      <c r="C52" s="226">
        <v>0</v>
      </c>
      <c r="D52" s="226"/>
      <c r="E52" s="226">
        <f t="shared" si="0"/>
        <v>0</v>
      </c>
      <c r="G52" s="226">
        <v>0</v>
      </c>
      <c r="H52" s="226"/>
      <c r="I52" s="226">
        <f>G52+H52</f>
        <v>0</v>
      </c>
      <c r="K52" s="210">
        <f t="shared" si="7"/>
        <v>0</v>
      </c>
      <c r="L52" s="210">
        <f t="shared" si="7"/>
        <v>0</v>
      </c>
      <c r="M52" s="210">
        <f>K52+L52</f>
        <v>0</v>
      </c>
    </row>
    <row r="53" spans="1:13" ht="13.2" hidden="1" x14ac:dyDescent="0.25">
      <c r="A53" s="204" t="s">
        <v>726</v>
      </c>
      <c r="B53" s="204" t="s">
        <v>727</v>
      </c>
      <c r="C53" s="227">
        <v>0</v>
      </c>
      <c r="D53" s="227"/>
      <c r="E53" s="227">
        <f t="shared" si="0"/>
        <v>0</v>
      </c>
      <c r="G53" s="227">
        <v>0</v>
      </c>
      <c r="H53" s="227"/>
      <c r="I53" s="227">
        <f>G53+H53</f>
        <v>0</v>
      </c>
      <c r="K53" s="210">
        <f t="shared" si="7"/>
        <v>0</v>
      </c>
      <c r="L53" s="210">
        <f t="shared" si="7"/>
        <v>0</v>
      </c>
      <c r="M53" s="210">
        <f>K53+L53</f>
        <v>0</v>
      </c>
    </row>
    <row r="54" spans="1:13" x14ac:dyDescent="0.3">
      <c r="C54" s="210">
        <f>SUM(C49:C53)</f>
        <v>0</v>
      </c>
      <c r="D54" s="210">
        <f>SUM(D49:D53)</f>
        <v>-352722</v>
      </c>
      <c r="E54" s="210">
        <f>SUM(E49:E53)</f>
        <v>-352722</v>
      </c>
      <c r="G54" s="210">
        <f>SUM(G49:G53)</f>
        <v>0</v>
      </c>
      <c r="H54" s="210">
        <f>SUM(H49:H53)</f>
        <v>-33510</v>
      </c>
      <c r="I54" s="210">
        <f>SUM(I49:I53)</f>
        <v>-33510</v>
      </c>
      <c r="K54" s="210">
        <f>SUM(K49:K53)</f>
        <v>0</v>
      </c>
      <c r="L54" s="210">
        <f>SUM(L49:L53)</f>
        <v>-386232</v>
      </c>
      <c r="M54" s="210">
        <f>SUM(M49:M53)</f>
        <v>-386232</v>
      </c>
    </row>
    <row r="55" spans="1:13" x14ac:dyDescent="0.3">
      <c r="B55" s="208">
        <v>254</v>
      </c>
      <c r="C55" s="210"/>
      <c r="D55" s="210"/>
      <c r="E55" s="210"/>
      <c r="G55" s="210"/>
      <c r="H55" s="210"/>
      <c r="I55" s="210"/>
      <c r="K55" s="210"/>
      <c r="L55" s="210"/>
      <c r="M55" s="210"/>
    </row>
    <row r="56" spans="1:13" x14ac:dyDescent="0.3">
      <c r="B56" s="204" t="s">
        <v>728</v>
      </c>
      <c r="C56" s="210">
        <f>'[40]FED Amort'!N58</f>
        <v>11933551.120000016</v>
      </c>
      <c r="D56" s="210"/>
      <c r="E56" s="210">
        <f>C56+D56</f>
        <v>11933551.120000016</v>
      </c>
      <c r="G56" s="210">
        <v>-230617</v>
      </c>
      <c r="H56" s="210"/>
      <c r="I56" s="210">
        <f>G56+H56</f>
        <v>-230617</v>
      </c>
      <c r="K56" s="210">
        <f>C56+G56</f>
        <v>11702934.120000016</v>
      </c>
      <c r="L56" s="210">
        <f>D56+H56</f>
        <v>0</v>
      </c>
      <c r="M56" s="210">
        <f>K56+L56</f>
        <v>11702934.120000016</v>
      </c>
    </row>
    <row r="57" spans="1:13" x14ac:dyDescent="0.3">
      <c r="B57" s="204" t="s">
        <v>729</v>
      </c>
      <c r="C57" s="210">
        <f>'[40]KY Amort'!M231</f>
        <v>146200</v>
      </c>
      <c r="D57" s="210"/>
      <c r="E57" s="210">
        <f>C57+D57</f>
        <v>146200</v>
      </c>
      <c r="G57" s="210"/>
      <c r="H57" s="210"/>
      <c r="I57" s="210">
        <f>G57+H57</f>
        <v>0</v>
      </c>
      <c r="K57" s="210">
        <f>C57+G57</f>
        <v>146200</v>
      </c>
      <c r="L57" s="210">
        <f>D57+H57</f>
        <v>0</v>
      </c>
      <c r="M57" s="210">
        <f>K57+L57</f>
        <v>146200</v>
      </c>
    </row>
    <row r="59" spans="1:13" ht="15" thickBot="1" x14ac:dyDescent="0.35">
      <c r="B59" s="203" t="s">
        <v>752</v>
      </c>
      <c r="C59" s="215">
        <f>C24+C47+C54+C56+C57</f>
        <v>42993592.889459133</v>
      </c>
      <c r="D59" s="215">
        <f>D24+D47+D54+D56+D57</f>
        <v>-5942549</v>
      </c>
      <c r="E59" s="215">
        <f>E24+E47+E54+E56+E57</f>
        <v>37051043.889459133</v>
      </c>
      <c r="G59" s="215">
        <f>G24+G47+G54+G56+G57</f>
        <v>-180323.22584368108</v>
      </c>
      <c r="H59" s="215">
        <f>H24+H47+H54+H56+H57</f>
        <v>-8047</v>
      </c>
      <c r="I59" s="215">
        <f>I24+I47+I54+I56+I57</f>
        <v>-188370.22584368108</v>
      </c>
      <c r="K59" s="215">
        <f>K24+K47+K54+K56+K57</f>
        <v>42813269.66361545</v>
      </c>
      <c r="L59" s="215">
        <f>L24+L47+L54+L56+L57</f>
        <v>-5950596</v>
      </c>
      <c r="M59" s="215">
        <f>M24+M47+M54+M56+M57</f>
        <v>36862673.66361545</v>
      </c>
    </row>
    <row r="60" spans="1:13" ht="15" thickTop="1" x14ac:dyDescent="0.3">
      <c r="B60" s="217"/>
      <c r="E60" s="226">
        <v>0</v>
      </c>
      <c r="I60" s="226">
        <v>0</v>
      </c>
      <c r="M60" s="210">
        <f>E60+I60</f>
        <v>0</v>
      </c>
    </row>
    <row r="61" spans="1:13" x14ac:dyDescent="0.3">
      <c r="E61" s="210">
        <f>E59-E60</f>
        <v>37051043.889459133</v>
      </c>
      <c r="I61" s="210">
        <f>I59-I60</f>
        <v>-188370.22584368108</v>
      </c>
      <c r="M61" s="210">
        <f>M59-M60</f>
        <v>36862673.66361545</v>
      </c>
    </row>
    <row r="62" spans="1:13" x14ac:dyDescent="0.3">
      <c r="B62" s="203" t="s">
        <v>731</v>
      </c>
      <c r="C62" s="64">
        <f>IF('[40]IRS Norm Adj-DNG'!H87&lt;0,'[40]IRS Norm Adj-DNG'!H87,0)</f>
        <v>-27044.332533441484</v>
      </c>
      <c r="E62" s="210">
        <f>C62+D62</f>
        <v>-27044.332533441484</v>
      </c>
      <c r="G62" s="64">
        <f>IF('[40]IRS Norm Adj-PKY'!H87&lt;0,'[40]IRS Norm Adj-PKY'!H87,0)</f>
        <v>-3250.2674781594251</v>
      </c>
      <c r="I62" s="210">
        <f>G62+H62</f>
        <v>-3250.2674781594251</v>
      </c>
      <c r="K62" s="210">
        <f>C62+G62</f>
        <v>-30294.600011600909</v>
      </c>
      <c r="M62" s="210">
        <f>K62+L62</f>
        <v>-30294.600011600909</v>
      </c>
    </row>
    <row r="64" spans="1:13" ht="15" thickBot="1" x14ac:dyDescent="0.35">
      <c r="B64" s="203" t="s">
        <v>410</v>
      </c>
      <c r="C64" s="215">
        <f>C59+C62</f>
        <v>42966548.556925692</v>
      </c>
      <c r="D64" s="215">
        <f>D59+D62</f>
        <v>-5942549</v>
      </c>
      <c r="E64" s="215">
        <f>E59+E62</f>
        <v>37023999.556925692</v>
      </c>
      <c r="G64" s="215">
        <f>G59+G62</f>
        <v>-183573.49332184051</v>
      </c>
      <c r="H64" s="215">
        <f>H59+H62</f>
        <v>-8047</v>
      </c>
      <c r="I64" s="215">
        <f>I59+I62</f>
        <v>-191620.49332184051</v>
      </c>
      <c r="K64" s="215">
        <f>K59+K62</f>
        <v>42782975.063603848</v>
      </c>
      <c r="L64" s="215">
        <f>L59+L62</f>
        <v>-5950596</v>
      </c>
      <c r="M64" s="215">
        <f>K64+L64</f>
        <v>36832379.063603848</v>
      </c>
    </row>
    <row r="65" spans="2:13" ht="15" thickTop="1" x14ac:dyDescent="0.3"/>
    <row r="66" spans="2:13" hidden="1" x14ac:dyDescent="0.3">
      <c r="C66" s="219" t="s">
        <v>732</v>
      </c>
      <c r="G66" s="219" t="s">
        <v>732</v>
      </c>
    </row>
    <row r="67" spans="2:13" hidden="1" x14ac:dyDescent="0.3">
      <c r="B67" s="204" t="s">
        <v>733</v>
      </c>
      <c r="C67" s="206"/>
      <c r="D67" s="206"/>
      <c r="E67" s="229"/>
      <c r="G67" s="206"/>
      <c r="I67" s="229"/>
    </row>
    <row r="68" spans="2:13" hidden="1" x14ac:dyDescent="0.3">
      <c r="B68" s="204" t="s">
        <v>734</v>
      </c>
      <c r="C68" s="206" t="s">
        <v>735</v>
      </c>
      <c r="D68" s="206">
        <v>9190000</v>
      </c>
      <c r="E68" s="229">
        <v>0</v>
      </c>
      <c r="G68" s="206" t="s">
        <v>735</v>
      </c>
      <c r="H68" s="206">
        <v>9190000</v>
      </c>
      <c r="I68" s="229">
        <v>0</v>
      </c>
      <c r="M68" s="226">
        <f>'[41]3 31 21 Bal Sheet'!D57</f>
        <v>4648258</v>
      </c>
    </row>
    <row r="69" spans="2:13" hidden="1" x14ac:dyDescent="0.3">
      <c r="B69" s="204" t="s">
        <v>736</v>
      </c>
      <c r="C69" s="206" t="s">
        <v>737</v>
      </c>
      <c r="D69" s="206">
        <v>9254000</v>
      </c>
      <c r="E69" s="229">
        <v>0</v>
      </c>
      <c r="G69" s="206" t="s">
        <v>737</v>
      </c>
      <c r="H69" s="206">
        <v>9254000</v>
      </c>
      <c r="I69" s="229">
        <v>0</v>
      </c>
      <c r="J69" s="204" t="s">
        <v>753</v>
      </c>
      <c r="K69" s="204" t="s">
        <v>754</v>
      </c>
      <c r="M69" s="226">
        <f>'[41]3 31 21 Bal Sheet'!D109</f>
        <v>-17587574.34</v>
      </c>
    </row>
    <row r="70" spans="2:13" hidden="1" x14ac:dyDescent="0.3">
      <c r="C70" s="206" t="s">
        <v>738</v>
      </c>
      <c r="D70" s="206">
        <v>9282000</v>
      </c>
      <c r="E70" s="229">
        <v>0</v>
      </c>
      <c r="G70" s="206" t="s">
        <v>738</v>
      </c>
      <c r="H70" s="206">
        <v>9282000</v>
      </c>
      <c r="I70" s="229">
        <v>0</v>
      </c>
      <c r="M70" s="226">
        <f>'[41]3 31 21 Bal Sheet'!D110</f>
        <v>-28766605.460000001</v>
      </c>
    </row>
    <row r="71" spans="2:13" ht="15.6" hidden="1" x14ac:dyDescent="0.4">
      <c r="B71" s="220">
        <f>E68</f>
        <v>0</v>
      </c>
      <c r="C71" s="206" t="s">
        <v>738</v>
      </c>
      <c r="D71" s="206">
        <v>9283000</v>
      </c>
      <c r="E71" s="221">
        <v>0</v>
      </c>
      <c r="G71" s="206" t="s">
        <v>738</v>
      </c>
      <c r="H71" s="206">
        <v>9283000</v>
      </c>
      <c r="I71" s="221">
        <v>0</v>
      </c>
      <c r="M71" s="227">
        <f>'[41]3 31 21 Bal Sheet'!D111</f>
        <v>775873.35</v>
      </c>
    </row>
    <row r="72" spans="2:13" hidden="1" x14ac:dyDescent="0.3">
      <c r="B72" s="220">
        <f>E70</f>
        <v>0</v>
      </c>
    </row>
    <row r="73" spans="2:13" ht="16.2" hidden="1" x14ac:dyDescent="0.45">
      <c r="B73" s="222">
        <f>E71</f>
        <v>0</v>
      </c>
      <c r="E73" s="218">
        <f>SUM(E67:E71)</f>
        <v>0</v>
      </c>
      <c r="I73" s="218">
        <f>SUM(I67:I71)</f>
        <v>0</v>
      </c>
      <c r="M73" s="218">
        <f>SUM(M67:M71)</f>
        <v>-40930048.449999996</v>
      </c>
    </row>
    <row r="74" spans="2:13" hidden="1" x14ac:dyDescent="0.3">
      <c r="B74" s="220">
        <f>SUM(B71:B73)</f>
        <v>0</v>
      </c>
    </row>
    <row r="75" spans="2:13" hidden="1" x14ac:dyDescent="0.3">
      <c r="E75" s="210">
        <f>E59+E73</f>
        <v>37051043.889459133</v>
      </c>
      <c r="I75" s="210">
        <f>I59+I73</f>
        <v>-188370.22584368108</v>
      </c>
      <c r="M75" s="210">
        <f>M59+M73</f>
        <v>-4067374.7863845453</v>
      </c>
    </row>
    <row r="76" spans="2:13" hidden="1" x14ac:dyDescent="0.3"/>
    <row r="77" spans="2:13" hidden="1" x14ac:dyDescent="0.3">
      <c r="B77" s="223">
        <f>E24</f>
        <v>-233617</v>
      </c>
      <c r="D77" s="204" t="s">
        <v>739</v>
      </c>
      <c r="E77" s="218">
        <f>E68+E70+E71</f>
        <v>0</v>
      </c>
      <c r="I77" s="218">
        <f>I68+I70+I71</f>
        <v>0</v>
      </c>
      <c r="J77" s="218"/>
    </row>
    <row r="78" spans="2:13" hidden="1" x14ac:dyDescent="0.3">
      <c r="B78" s="223">
        <f>E47</f>
        <v>25557631.769459113</v>
      </c>
      <c r="D78" s="204" t="s">
        <v>740</v>
      </c>
      <c r="E78" s="226">
        <v>23766974</v>
      </c>
      <c r="I78" s="226">
        <v>-113588</v>
      </c>
      <c r="J78" s="226"/>
    </row>
    <row r="79" spans="2:13" ht="16.2" hidden="1" x14ac:dyDescent="0.45">
      <c r="B79" s="224">
        <f>E54</f>
        <v>-352722</v>
      </c>
      <c r="E79" s="218">
        <f>E77+E78</f>
        <v>23766974</v>
      </c>
      <c r="I79" s="218">
        <f>I77+I78</f>
        <v>-113588</v>
      </c>
      <c r="J79" s="218"/>
    </row>
    <row r="80" spans="2:13" hidden="1" x14ac:dyDescent="0.3">
      <c r="B80" s="220">
        <f>SUM(B77:B79)</f>
        <v>24971292.769459113</v>
      </c>
    </row>
    <row r="81" spans="3:13" hidden="1" x14ac:dyDescent="0.3">
      <c r="C81" s="204" t="s">
        <v>741</v>
      </c>
    </row>
    <row r="82" spans="3:13" hidden="1" x14ac:dyDescent="0.3"/>
    <row r="83" spans="3:13" hidden="1" x14ac:dyDescent="0.3">
      <c r="C83" s="204" t="s">
        <v>742</v>
      </c>
      <c r="E83" s="204">
        <v>0</v>
      </c>
    </row>
    <row r="84" spans="3:13" hidden="1" x14ac:dyDescent="0.3">
      <c r="C84" s="204" t="s">
        <v>743</v>
      </c>
      <c r="E84" s="204">
        <v>0</v>
      </c>
    </row>
    <row r="85" spans="3:13" hidden="1" x14ac:dyDescent="0.3">
      <c r="C85" s="204" t="s">
        <v>744</v>
      </c>
      <c r="E85" s="204">
        <v>0</v>
      </c>
    </row>
    <row r="86" spans="3:13" hidden="1" x14ac:dyDescent="0.3">
      <c r="C86" s="204" t="s">
        <v>745</v>
      </c>
      <c r="E86" s="204">
        <v>0</v>
      </c>
    </row>
    <row r="87" spans="3:13" hidden="1" x14ac:dyDescent="0.3">
      <c r="C87" s="204" t="s">
        <v>746</v>
      </c>
      <c r="E87" s="225">
        <v>0</v>
      </c>
    </row>
    <row r="88" spans="3:13" hidden="1" x14ac:dyDescent="0.3">
      <c r="C88" s="204" t="s">
        <v>747</v>
      </c>
      <c r="E88" s="218">
        <f>SUM(E82:E87)</f>
        <v>0</v>
      </c>
      <c r="I88" s="218">
        <f>SUM(I82:I87)</f>
        <v>0</v>
      </c>
      <c r="L88" s="218">
        <f>E88+I88</f>
        <v>0</v>
      </c>
    </row>
    <row r="89" spans="3:13" hidden="1" x14ac:dyDescent="0.3">
      <c r="L89" s="85">
        <f>'[41]3 31 21 Bal Sheet'!E51</f>
        <v>2092021.15</v>
      </c>
      <c r="M89" s="204" t="s">
        <v>748</v>
      </c>
    </row>
    <row r="90" spans="3:13" hidden="1" x14ac:dyDescent="0.3"/>
    <row r="91" spans="3:13" hidden="1" x14ac:dyDescent="0.3"/>
    <row r="92" spans="3:13" hidden="1" x14ac:dyDescent="0.3"/>
    <row r="93" spans="3:13" hidden="1" x14ac:dyDescent="0.3"/>
    <row r="94" spans="3:13" hidden="1" x14ac:dyDescent="0.3"/>
    <row r="95" spans="3:13" hidden="1" x14ac:dyDescent="0.3"/>
    <row r="96" spans="3:13" hidden="1" x14ac:dyDescent="0.3"/>
  </sheetData>
  <pageMargins left="0.7" right="0.7" top="0.75" bottom="0.75" header="0.3" footer="0.3"/>
  <pageSetup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6359-E2F8-494E-9FC4-58B9EC2F3AAA}">
  <sheetPr>
    <tabColor rgb="FF66FFFF"/>
    <pageSetUpPr fitToPage="1"/>
  </sheetPr>
  <dimension ref="A1:N119"/>
  <sheetViews>
    <sheetView topLeftCell="A40" workbookViewId="0">
      <selection activeCell="D23" sqref="D23"/>
    </sheetView>
  </sheetViews>
  <sheetFormatPr defaultColWidth="11.44140625" defaultRowHeight="14.4" x14ac:dyDescent="0.3"/>
  <cols>
    <col min="1" max="1" width="4.6640625" customWidth="1"/>
    <col min="2" max="2" width="10.6640625" customWidth="1"/>
    <col min="3" max="3" width="53.109375" bestFit="1" customWidth="1"/>
    <col min="4" max="4" width="16.109375" style="251" bestFit="1" customWidth="1"/>
    <col min="5" max="5" width="12.88671875" style="251" bestFit="1" customWidth="1"/>
    <col min="6" max="6" width="10.88671875" style="251" bestFit="1" customWidth="1"/>
    <col min="7" max="7" width="7.6640625" customWidth="1"/>
    <col min="13" max="13" width="12.88671875" bestFit="1" customWidth="1"/>
    <col min="14" max="14" width="16" bestFit="1" customWidth="1"/>
  </cols>
  <sheetData>
    <row r="1" spans="1:14" s="3" customFormat="1" ht="66.599999999999994" x14ac:dyDescent="0.3">
      <c r="A1" s="231" t="s">
        <v>755</v>
      </c>
      <c r="B1" s="231" t="s">
        <v>756</v>
      </c>
      <c r="C1" s="231" t="s">
        <v>757</v>
      </c>
      <c r="D1" s="232" t="s">
        <v>758</v>
      </c>
      <c r="E1" s="232" t="s">
        <v>759</v>
      </c>
      <c r="F1" s="232" t="s">
        <v>760</v>
      </c>
      <c r="G1" s="231" t="s">
        <v>761</v>
      </c>
    </row>
    <row r="2" spans="1:14" x14ac:dyDescent="0.3">
      <c r="A2" s="233" t="s">
        <v>35</v>
      </c>
      <c r="B2" s="233" t="s">
        <v>35</v>
      </c>
      <c r="C2" s="234"/>
      <c r="D2" s="235" t="s">
        <v>762</v>
      </c>
      <c r="E2" s="235" t="s">
        <v>763</v>
      </c>
      <c r="F2" s="236"/>
      <c r="G2" s="237" t="s">
        <v>35</v>
      </c>
    </row>
    <row r="3" spans="1:14" x14ac:dyDescent="0.3">
      <c r="A3" s="233"/>
      <c r="B3" s="233"/>
      <c r="C3" s="234" t="s">
        <v>764</v>
      </c>
      <c r="D3" s="316" t="s">
        <v>1025</v>
      </c>
      <c r="E3" s="238"/>
      <c r="F3" s="236"/>
      <c r="G3" s="237"/>
    </row>
    <row r="4" spans="1:14" x14ac:dyDescent="0.3">
      <c r="A4" s="239" t="s">
        <v>35</v>
      </c>
      <c r="B4" s="239" t="s">
        <v>35</v>
      </c>
      <c r="C4" s="25" t="s">
        <v>765</v>
      </c>
      <c r="D4" s="240"/>
      <c r="E4" s="240"/>
      <c r="F4" s="240"/>
      <c r="G4" s="241" t="s">
        <v>35</v>
      </c>
    </row>
    <row r="5" spans="1:14" x14ac:dyDescent="0.3">
      <c r="A5" s="239" t="s">
        <v>766</v>
      </c>
      <c r="B5" s="239" t="s">
        <v>767</v>
      </c>
      <c r="C5" s="25" t="s">
        <v>768</v>
      </c>
      <c r="D5" s="240">
        <v>268424110.19</v>
      </c>
      <c r="E5" s="240">
        <v>267804985.19999999</v>
      </c>
      <c r="F5" s="240">
        <v>619124.99</v>
      </c>
      <c r="G5" s="241" t="s">
        <v>769</v>
      </c>
    </row>
    <row r="6" spans="1:14" x14ac:dyDescent="0.3">
      <c r="A6" s="239" t="s">
        <v>770</v>
      </c>
      <c r="B6" s="239" t="s">
        <v>771</v>
      </c>
      <c r="C6" s="25" t="s">
        <v>772</v>
      </c>
      <c r="D6" s="240">
        <v>85471.66</v>
      </c>
      <c r="E6" s="240">
        <v>91469.88</v>
      </c>
      <c r="F6" s="240">
        <v>-5998.22</v>
      </c>
      <c r="G6" s="241" t="s">
        <v>773</v>
      </c>
    </row>
    <row r="7" spans="1:14" x14ac:dyDescent="0.3">
      <c r="A7" s="239" t="s">
        <v>774</v>
      </c>
      <c r="B7" s="239" t="s">
        <v>775</v>
      </c>
      <c r="C7" s="25" t="s">
        <v>776</v>
      </c>
      <c r="D7" s="240">
        <v>-580759.07999999996</v>
      </c>
      <c r="E7" s="240">
        <v>-580759.07999999996</v>
      </c>
      <c r="F7" s="240">
        <v>0</v>
      </c>
      <c r="G7" s="241" t="s">
        <v>777</v>
      </c>
    </row>
    <row r="8" spans="1:14" x14ac:dyDescent="0.3">
      <c r="A8" s="242" t="s">
        <v>35</v>
      </c>
      <c r="B8" s="242" t="s">
        <v>35</v>
      </c>
      <c r="C8" s="25" t="s">
        <v>778</v>
      </c>
      <c r="D8" s="243">
        <v>267928822.77000001</v>
      </c>
      <c r="E8" s="243">
        <v>267315696</v>
      </c>
      <c r="F8" s="243">
        <v>613126.77</v>
      </c>
      <c r="G8" s="244" t="s">
        <v>769</v>
      </c>
    </row>
    <row r="9" spans="1:14" x14ac:dyDescent="0.3">
      <c r="A9" s="239" t="s">
        <v>766</v>
      </c>
      <c r="B9" s="239" t="s">
        <v>779</v>
      </c>
      <c r="C9" s="25" t="s">
        <v>780</v>
      </c>
      <c r="D9" s="240">
        <v>5508658.7999999998</v>
      </c>
      <c r="E9" s="240">
        <v>4585903.09</v>
      </c>
      <c r="F9" s="240">
        <v>922755.71</v>
      </c>
      <c r="G9" s="241" t="s">
        <v>781</v>
      </c>
    </row>
    <row r="10" spans="1:14" x14ac:dyDescent="0.3">
      <c r="A10" s="242" t="s">
        <v>35</v>
      </c>
      <c r="B10" s="242" t="s">
        <v>35</v>
      </c>
      <c r="C10" s="25" t="s">
        <v>782</v>
      </c>
      <c r="D10" s="243">
        <v>5508658.7999999998</v>
      </c>
      <c r="E10" s="243">
        <v>4585903.09</v>
      </c>
      <c r="F10" s="243">
        <v>922755.71</v>
      </c>
      <c r="G10" s="244" t="s">
        <v>781</v>
      </c>
    </row>
    <row r="11" spans="1:14" x14ac:dyDescent="0.3">
      <c r="A11" s="242" t="s">
        <v>35</v>
      </c>
      <c r="B11" s="242" t="s">
        <v>35</v>
      </c>
      <c r="C11" s="25" t="s">
        <v>783</v>
      </c>
      <c r="D11" s="315">
        <v>273437481.56999999</v>
      </c>
      <c r="E11" s="243">
        <v>271901599.08999997</v>
      </c>
      <c r="F11" s="243">
        <v>1535882.48</v>
      </c>
      <c r="G11" s="244" t="s">
        <v>784</v>
      </c>
      <c r="M11" s="245">
        <f>D11</f>
        <v>273437481.56999999</v>
      </c>
      <c r="N11" s="245">
        <f>E11</f>
        <v>271901599.08999997</v>
      </c>
    </row>
    <row r="12" spans="1:14" ht="15.6" x14ac:dyDescent="0.4">
      <c r="A12" s="239" t="s">
        <v>766</v>
      </c>
      <c r="B12" s="239" t="s">
        <v>785</v>
      </c>
      <c r="C12" s="25" t="s">
        <v>786</v>
      </c>
      <c r="D12" s="240">
        <v>-116648785.73</v>
      </c>
      <c r="E12" s="240">
        <v>-114808648.26000001</v>
      </c>
      <c r="F12" s="240">
        <v>-1840137.47</v>
      </c>
      <c r="G12" s="241" t="s">
        <v>787</v>
      </c>
      <c r="M12" s="246">
        <f>D19</f>
        <v>4208069.49</v>
      </c>
      <c r="N12" s="246">
        <f>E19</f>
        <v>4208069.49</v>
      </c>
    </row>
    <row r="13" spans="1:14" x14ac:dyDescent="0.3">
      <c r="A13" s="239" t="s">
        <v>766</v>
      </c>
      <c r="B13" s="239" t="s">
        <v>788</v>
      </c>
      <c r="C13" s="25" t="s">
        <v>789</v>
      </c>
      <c r="D13" s="240">
        <v>-2872822.33</v>
      </c>
      <c r="E13" s="240">
        <v>-2769391.6</v>
      </c>
      <c r="F13" s="240">
        <v>-103430.73</v>
      </c>
      <c r="G13" s="241" t="s">
        <v>790</v>
      </c>
      <c r="M13" s="245">
        <f>M11+M12</f>
        <v>277645551.06</v>
      </c>
      <c r="N13" s="245">
        <f>N11+N12</f>
        <v>276109668.57999998</v>
      </c>
    </row>
    <row r="14" spans="1:14" x14ac:dyDescent="0.3">
      <c r="A14" s="239" t="s">
        <v>774</v>
      </c>
      <c r="B14" s="239" t="s">
        <v>791</v>
      </c>
      <c r="C14" s="25" t="s">
        <v>792</v>
      </c>
      <c r="D14" s="240">
        <v>580759.07999999996</v>
      </c>
      <c r="E14" s="240">
        <v>580759.07999999996</v>
      </c>
      <c r="F14" s="240">
        <v>0</v>
      </c>
      <c r="G14" s="241" t="s">
        <v>777</v>
      </c>
    </row>
    <row r="15" spans="1:14" x14ac:dyDescent="0.3">
      <c r="A15" s="242" t="s">
        <v>35</v>
      </c>
      <c r="B15" s="242" t="s">
        <v>35</v>
      </c>
      <c r="C15" s="25" t="s">
        <v>793</v>
      </c>
      <c r="D15" s="315">
        <v>-118940848.98</v>
      </c>
      <c r="E15" s="243">
        <v>-116997280.78</v>
      </c>
      <c r="F15" s="243">
        <v>-1943568.2</v>
      </c>
      <c r="G15" s="244" t="s">
        <v>794</v>
      </c>
      <c r="M15" s="245">
        <f>D15</f>
        <v>-118940848.98</v>
      </c>
      <c r="N15" s="245">
        <f>E15</f>
        <v>-116997280.78</v>
      </c>
    </row>
    <row r="16" spans="1:14" x14ac:dyDescent="0.3">
      <c r="A16" s="242" t="s">
        <v>35</v>
      </c>
      <c r="B16" s="242" t="s">
        <v>35</v>
      </c>
      <c r="C16" s="25" t="s">
        <v>795</v>
      </c>
      <c r="D16" s="243">
        <v>154496632.59</v>
      </c>
      <c r="E16" s="243">
        <v>154904318.31</v>
      </c>
      <c r="F16" s="243">
        <v>-407685.72</v>
      </c>
      <c r="G16" s="244" t="s">
        <v>796</v>
      </c>
    </row>
    <row r="17" spans="1:7" x14ac:dyDescent="0.3">
      <c r="A17" s="242" t="s">
        <v>35</v>
      </c>
      <c r="B17" s="242" t="s">
        <v>35</v>
      </c>
      <c r="C17" s="25" t="s">
        <v>797</v>
      </c>
      <c r="D17" s="243">
        <v>154496632.59</v>
      </c>
      <c r="E17" s="243">
        <v>154904318.31</v>
      </c>
      <c r="F17" s="243">
        <v>-407685.72</v>
      </c>
      <c r="G17" s="244" t="s">
        <v>796</v>
      </c>
    </row>
    <row r="18" spans="1:7" x14ac:dyDescent="0.3">
      <c r="A18" s="239" t="s">
        <v>774</v>
      </c>
      <c r="B18" s="239" t="s">
        <v>798</v>
      </c>
      <c r="C18" s="25" t="s">
        <v>799</v>
      </c>
      <c r="D18" s="240">
        <v>4208069.49</v>
      </c>
      <c r="E18" s="240">
        <v>4208069.49</v>
      </c>
      <c r="F18" s="240">
        <v>0</v>
      </c>
      <c r="G18" s="241" t="s">
        <v>777</v>
      </c>
    </row>
    <row r="19" spans="1:7" x14ac:dyDescent="0.3">
      <c r="A19" s="242" t="s">
        <v>35</v>
      </c>
      <c r="B19" s="242" t="s">
        <v>35</v>
      </c>
      <c r="C19" s="25" t="s">
        <v>800</v>
      </c>
      <c r="D19" s="315">
        <v>4208069.49</v>
      </c>
      <c r="E19" s="243">
        <v>4208069.49</v>
      </c>
      <c r="F19" s="243">
        <v>0</v>
      </c>
      <c r="G19" s="244" t="s">
        <v>777</v>
      </c>
    </row>
    <row r="20" spans="1:7" x14ac:dyDescent="0.3">
      <c r="A20" s="242" t="s">
        <v>35</v>
      </c>
      <c r="B20" s="242" t="s">
        <v>35</v>
      </c>
      <c r="C20" s="25" t="s">
        <v>801</v>
      </c>
      <c r="D20" s="243">
        <v>158704702.08000001</v>
      </c>
      <c r="E20" s="243">
        <v>159112387.80000001</v>
      </c>
      <c r="F20" s="243">
        <v>-407685.72</v>
      </c>
      <c r="G20" s="244" t="s">
        <v>796</v>
      </c>
    </row>
    <row r="21" spans="1:7" x14ac:dyDescent="0.3">
      <c r="A21" s="239" t="s">
        <v>35</v>
      </c>
      <c r="B21" s="239" t="s">
        <v>35</v>
      </c>
      <c r="C21" s="25" t="s">
        <v>802</v>
      </c>
      <c r="D21" s="240"/>
      <c r="E21" s="240"/>
      <c r="F21" s="240"/>
      <c r="G21" s="241" t="s">
        <v>35</v>
      </c>
    </row>
    <row r="22" spans="1:7" x14ac:dyDescent="0.3">
      <c r="A22" s="239" t="s">
        <v>766</v>
      </c>
      <c r="B22" s="239" t="s">
        <v>803</v>
      </c>
      <c r="C22" s="25" t="s">
        <v>804</v>
      </c>
      <c r="D22" s="240">
        <v>2101506.75</v>
      </c>
      <c r="E22" s="240">
        <v>2146226.4500000002</v>
      </c>
      <c r="F22" s="240">
        <v>-44719.7</v>
      </c>
      <c r="G22" s="241" t="s">
        <v>805</v>
      </c>
    </row>
    <row r="23" spans="1:7" x14ac:dyDescent="0.3">
      <c r="A23" s="242" t="s">
        <v>35</v>
      </c>
      <c r="B23" s="242" t="s">
        <v>35</v>
      </c>
      <c r="C23" s="25" t="s">
        <v>806</v>
      </c>
      <c r="D23" s="243">
        <v>2101506.75</v>
      </c>
      <c r="E23" s="243">
        <v>2146226.4500000002</v>
      </c>
      <c r="F23" s="243">
        <v>-44719.7</v>
      </c>
      <c r="G23" s="244" t="s">
        <v>805</v>
      </c>
    </row>
    <row r="24" spans="1:7" x14ac:dyDescent="0.3">
      <c r="A24" s="242" t="s">
        <v>35</v>
      </c>
      <c r="B24" s="242" t="s">
        <v>35</v>
      </c>
      <c r="C24" s="25" t="s">
        <v>807</v>
      </c>
      <c r="D24" s="243">
        <v>2101506.75</v>
      </c>
      <c r="E24" s="243">
        <v>2146226.4500000002</v>
      </c>
      <c r="F24" s="243">
        <v>-44719.7</v>
      </c>
      <c r="G24" s="244" t="s">
        <v>805</v>
      </c>
    </row>
    <row r="25" spans="1:7" x14ac:dyDescent="0.3">
      <c r="A25" s="239" t="s">
        <v>35</v>
      </c>
      <c r="B25" s="239" t="s">
        <v>35</v>
      </c>
      <c r="C25" s="25" t="s">
        <v>808</v>
      </c>
      <c r="D25" s="240"/>
      <c r="E25" s="240"/>
      <c r="F25" s="240"/>
      <c r="G25" s="241" t="s">
        <v>35</v>
      </c>
    </row>
    <row r="26" spans="1:7" x14ac:dyDescent="0.3">
      <c r="A26" s="239" t="s">
        <v>766</v>
      </c>
      <c r="B26" s="239" t="s">
        <v>809</v>
      </c>
      <c r="C26" s="25" t="s">
        <v>810</v>
      </c>
      <c r="D26" s="240">
        <v>400173.65</v>
      </c>
      <c r="E26" s="240">
        <v>375936.07</v>
      </c>
      <c r="F26" s="240">
        <v>24237.58</v>
      </c>
      <c r="G26" s="241" t="s">
        <v>811</v>
      </c>
    </row>
    <row r="27" spans="1:7" x14ac:dyDescent="0.3">
      <c r="A27" s="242" t="s">
        <v>35</v>
      </c>
      <c r="B27" s="242" t="s">
        <v>35</v>
      </c>
      <c r="C27" s="25" t="s">
        <v>812</v>
      </c>
      <c r="D27" s="253">
        <v>400173.65</v>
      </c>
      <c r="E27" s="243">
        <v>375936.07</v>
      </c>
      <c r="F27" s="243">
        <v>24237.58</v>
      </c>
      <c r="G27" s="244" t="s">
        <v>811</v>
      </c>
    </row>
    <row r="28" spans="1:7" x14ac:dyDescent="0.3">
      <c r="A28" s="239" t="s">
        <v>774</v>
      </c>
      <c r="B28" s="239" t="s">
        <v>813</v>
      </c>
      <c r="C28" s="25" t="s">
        <v>814</v>
      </c>
      <c r="D28" s="240">
        <v>4575</v>
      </c>
      <c r="E28" s="240">
        <v>4575</v>
      </c>
      <c r="F28" s="240">
        <v>0</v>
      </c>
      <c r="G28" s="241" t="s">
        <v>777</v>
      </c>
    </row>
    <row r="29" spans="1:7" x14ac:dyDescent="0.3">
      <c r="A29" s="242" t="s">
        <v>35</v>
      </c>
      <c r="B29" s="242" t="s">
        <v>35</v>
      </c>
      <c r="C29" s="25" t="s">
        <v>815</v>
      </c>
      <c r="D29" s="253">
        <v>4575</v>
      </c>
      <c r="E29" s="243">
        <v>4575</v>
      </c>
      <c r="F29" s="243">
        <v>0</v>
      </c>
      <c r="G29" s="244" t="s">
        <v>777</v>
      </c>
    </row>
    <row r="30" spans="1:7" x14ac:dyDescent="0.3">
      <c r="A30" s="239" t="s">
        <v>766</v>
      </c>
      <c r="B30" s="239" t="s">
        <v>816</v>
      </c>
      <c r="C30" s="25" t="s">
        <v>817</v>
      </c>
      <c r="D30" s="240">
        <v>4622745.62</v>
      </c>
      <c r="E30" s="240">
        <v>1554467.46</v>
      </c>
      <c r="F30" s="240">
        <v>3068278.16</v>
      </c>
      <c r="G30" s="241" t="s">
        <v>818</v>
      </c>
    </row>
    <row r="31" spans="1:7" x14ac:dyDescent="0.3">
      <c r="A31" s="242" t="s">
        <v>35</v>
      </c>
      <c r="B31" s="242" t="s">
        <v>35</v>
      </c>
      <c r="C31" s="25" t="s">
        <v>819</v>
      </c>
      <c r="D31" s="243">
        <v>4622745.62</v>
      </c>
      <c r="E31" s="243">
        <v>1554467.46</v>
      </c>
      <c r="F31" s="243">
        <v>3068278.16</v>
      </c>
      <c r="G31" s="244" t="s">
        <v>818</v>
      </c>
    </row>
    <row r="32" spans="1:7" x14ac:dyDescent="0.3">
      <c r="A32" s="239" t="s">
        <v>774</v>
      </c>
      <c r="B32" s="239" t="s">
        <v>820</v>
      </c>
      <c r="C32" s="25" t="s">
        <v>821</v>
      </c>
      <c r="D32" s="240">
        <v>504070.71</v>
      </c>
      <c r="E32" s="240">
        <v>137320.25</v>
      </c>
      <c r="F32" s="240">
        <v>366750.46</v>
      </c>
      <c r="G32" s="241" t="s">
        <v>822</v>
      </c>
    </row>
    <row r="33" spans="1:7" x14ac:dyDescent="0.3">
      <c r="A33" s="242" t="s">
        <v>35</v>
      </c>
      <c r="B33" s="242" t="s">
        <v>35</v>
      </c>
      <c r="C33" s="25" t="s">
        <v>823</v>
      </c>
      <c r="D33" s="243">
        <v>504070.71</v>
      </c>
      <c r="E33" s="243">
        <v>137320.25</v>
      </c>
      <c r="F33" s="243">
        <v>366750.46</v>
      </c>
      <c r="G33" s="244" t="s">
        <v>822</v>
      </c>
    </row>
    <row r="34" spans="1:7" x14ac:dyDescent="0.3">
      <c r="A34" s="239" t="s">
        <v>766</v>
      </c>
      <c r="B34" s="239" t="s">
        <v>824</v>
      </c>
      <c r="C34" s="25" t="s">
        <v>825</v>
      </c>
      <c r="D34" s="240">
        <v>-658831.5</v>
      </c>
      <c r="E34" s="240">
        <v>-332040.96000000002</v>
      </c>
      <c r="F34" s="240">
        <v>-326790.53999999998</v>
      </c>
      <c r="G34" s="241" t="s">
        <v>826</v>
      </c>
    </row>
    <row r="35" spans="1:7" x14ac:dyDescent="0.3">
      <c r="A35" s="242" t="s">
        <v>35</v>
      </c>
      <c r="B35" s="242" t="s">
        <v>35</v>
      </c>
      <c r="C35" s="25" t="s">
        <v>827</v>
      </c>
      <c r="D35" s="243">
        <v>-658831.5</v>
      </c>
      <c r="E35" s="243">
        <v>-332040.96000000002</v>
      </c>
      <c r="F35" s="243">
        <v>-326790.53999999998</v>
      </c>
      <c r="G35" s="244" t="s">
        <v>826</v>
      </c>
    </row>
    <row r="36" spans="1:7" x14ac:dyDescent="0.3">
      <c r="A36" s="239" t="s">
        <v>766</v>
      </c>
      <c r="B36" s="239" t="s">
        <v>828</v>
      </c>
      <c r="C36" s="25" t="s">
        <v>829</v>
      </c>
      <c r="D36" s="240">
        <v>505625.35</v>
      </c>
      <c r="E36" s="240">
        <v>558841.54</v>
      </c>
      <c r="F36" s="240">
        <v>-53216.19</v>
      </c>
      <c r="G36" s="241" t="s">
        <v>830</v>
      </c>
    </row>
    <row r="37" spans="1:7" x14ac:dyDescent="0.3">
      <c r="A37" s="242" t="s">
        <v>35</v>
      </c>
      <c r="B37" s="242" t="s">
        <v>35</v>
      </c>
      <c r="C37" s="25" t="s">
        <v>831</v>
      </c>
      <c r="D37" s="243">
        <v>505625.35</v>
      </c>
      <c r="E37" s="243">
        <v>558841.54</v>
      </c>
      <c r="F37" s="243">
        <v>-53216.19</v>
      </c>
      <c r="G37" s="244" t="s">
        <v>830</v>
      </c>
    </row>
    <row r="38" spans="1:7" x14ac:dyDescent="0.3">
      <c r="A38" s="239" t="s">
        <v>766</v>
      </c>
      <c r="B38" s="239" t="s">
        <v>832</v>
      </c>
      <c r="C38" s="25" t="s">
        <v>833</v>
      </c>
      <c r="D38" s="317">
        <v>689562.46</v>
      </c>
      <c r="E38" s="240">
        <v>601154.29</v>
      </c>
      <c r="F38" s="240">
        <v>88408.17</v>
      </c>
      <c r="G38" s="241" t="s">
        <v>834</v>
      </c>
    </row>
    <row r="39" spans="1:7" x14ac:dyDescent="0.3">
      <c r="A39" s="242" t="s">
        <v>35</v>
      </c>
      <c r="B39" s="242" t="s">
        <v>35</v>
      </c>
      <c r="C39" s="25" t="s">
        <v>405</v>
      </c>
      <c r="D39" s="243">
        <v>689562.46</v>
      </c>
      <c r="E39" s="243">
        <v>601154.29</v>
      </c>
      <c r="F39" s="243">
        <v>88408.17</v>
      </c>
      <c r="G39" s="244" t="s">
        <v>834</v>
      </c>
    </row>
    <row r="40" spans="1:7" x14ac:dyDescent="0.3">
      <c r="A40" s="239" t="s">
        <v>774</v>
      </c>
      <c r="B40" s="239" t="s">
        <v>835</v>
      </c>
      <c r="C40" s="25" t="s">
        <v>836</v>
      </c>
      <c r="D40" s="240">
        <v>221563.11</v>
      </c>
      <c r="E40" s="240">
        <v>875744.24</v>
      </c>
      <c r="F40" s="240">
        <v>-654181.13</v>
      </c>
      <c r="G40" s="241" t="s">
        <v>837</v>
      </c>
    </row>
    <row r="41" spans="1:7" x14ac:dyDescent="0.3">
      <c r="A41" s="242" t="s">
        <v>35</v>
      </c>
      <c r="B41" s="242" t="s">
        <v>35</v>
      </c>
      <c r="C41" s="25" t="s">
        <v>406</v>
      </c>
      <c r="D41" s="317">
        <v>221563.11</v>
      </c>
      <c r="E41" s="243">
        <v>875744.24</v>
      </c>
      <c r="F41" s="243">
        <v>-654181.13</v>
      </c>
      <c r="G41" s="244" t="s">
        <v>837</v>
      </c>
    </row>
    <row r="42" spans="1:7" x14ac:dyDescent="0.3">
      <c r="A42" s="239" t="s">
        <v>766</v>
      </c>
      <c r="B42" s="239" t="s">
        <v>838</v>
      </c>
      <c r="C42" s="25" t="s">
        <v>839</v>
      </c>
      <c r="D42" s="240">
        <v>-21130.04</v>
      </c>
      <c r="E42" s="240">
        <v>1163544.02</v>
      </c>
      <c r="F42" s="240">
        <v>-1184674.06</v>
      </c>
      <c r="G42" s="241" t="s">
        <v>840</v>
      </c>
    </row>
    <row r="43" spans="1:7" x14ac:dyDescent="0.3">
      <c r="A43" s="242" t="s">
        <v>35</v>
      </c>
      <c r="B43" s="242" t="s">
        <v>35</v>
      </c>
      <c r="C43" s="25" t="s">
        <v>407</v>
      </c>
      <c r="D43" s="317">
        <v>-21130.04</v>
      </c>
      <c r="E43" s="243">
        <v>1163544.02</v>
      </c>
      <c r="F43" s="243">
        <v>-1184674.06</v>
      </c>
      <c r="G43" s="244" t="s">
        <v>840</v>
      </c>
    </row>
    <row r="44" spans="1:7" x14ac:dyDescent="0.3">
      <c r="A44" s="239" t="s">
        <v>766</v>
      </c>
      <c r="B44" s="239" t="s">
        <v>841</v>
      </c>
      <c r="C44" s="25" t="s">
        <v>842</v>
      </c>
      <c r="D44" s="240">
        <v>1908709.27</v>
      </c>
      <c r="E44" s="240">
        <v>6380030.4800000004</v>
      </c>
      <c r="F44" s="240">
        <v>-4471321.21</v>
      </c>
      <c r="G44" s="241" t="s">
        <v>843</v>
      </c>
    </row>
    <row r="45" spans="1:7" x14ac:dyDescent="0.3">
      <c r="A45" s="242" t="s">
        <v>35</v>
      </c>
      <c r="B45" s="242" t="s">
        <v>35</v>
      </c>
      <c r="C45" s="25" t="s">
        <v>844</v>
      </c>
      <c r="D45" s="243">
        <v>1908709.27</v>
      </c>
      <c r="E45" s="243">
        <v>6380030.4800000004</v>
      </c>
      <c r="F45" s="243">
        <v>-4471321.21</v>
      </c>
      <c r="G45" s="244" t="s">
        <v>843</v>
      </c>
    </row>
    <row r="46" spans="1:7" x14ac:dyDescent="0.3">
      <c r="A46" s="239" t="s">
        <v>774</v>
      </c>
      <c r="B46" s="239" t="s">
        <v>845</v>
      </c>
      <c r="C46" s="25" t="s">
        <v>846</v>
      </c>
      <c r="D46" s="240">
        <v>251967.66</v>
      </c>
      <c r="E46" s="240">
        <v>700929.98</v>
      </c>
      <c r="F46" s="240">
        <v>-448962.32</v>
      </c>
      <c r="G46" s="241" t="s">
        <v>847</v>
      </c>
    </row>
    <row r="47" spans="1:7" x14ac:dyDescent="0.3">
      <c r="A47" s="242" t="s">
        <v>35</v>
      </c>
      <c r="B47" s="242" t="s">
        <v>35</v>
      </c>
      <c r="C47" s="25" t="s">
        <v>848</v>
      </c>
      <c r="D47" s="243">
        <v>251967.66</v>
      </c>
      <c r="E47" s="243">
        <v>700929.98</v>
      </c>
      <c r="F47" s="243">
        <v>-448962.32</v>
      </c>
      <c r="G47" s="244" t="s">
        <v>847</v>
      </c>
    </row>
    <row r="48" spans="1:7" x14ac:dyDescent="0.3">
      <c r="A48" s="242" t="s">
        <v>35</v>
      </c>
      <c r="B48" s="242" t="s">
        <v>35</v>
      </c>
      <c r="C48" s="25" t="s">
        <v>849</v>
      </c>
      <c r="D48" s="243">
        <v>8429031.2899999991</v>
      </c>
      <c r="E48" s="243">
        <v>12020502.369999999</v>
      </c>
      <c r="F48" s="243">
        <v>-3591471.08</v>
      </c>
      <c r="G48" s="244" t="s">
        <v>850</v>
      </c>
    </row>
    <row r="49" spans="1:13" x14ac:dyDescent="0.3">
      <c r="A49" s="239" t="s">
        <v>35</v>
      </c>
      <c r="B49" s="239" t="s">
        <v>35</v>
      </c>
      <c r="C49" s="25" t="s">
        <v>851</v>
      </c>
      <c r="D49" s="240"/>
      <c r="E49" s="240"/>
      <c r="F49" s="240"/>
      <c r="G49" s="241" t="s">
        <v>35</v>
      </c>
    </row>
    <row r="50" spans="1:13" x14ac:dyDescent="0.3">
      <c r="A50" s="239" t="s">
        <v>766</v>
      </c>
      <c r="B50" s="239" t="s">
        <v>852</v>
      </c>
      <c r="C50" s="25" t="s">
        <v>853</v>
      </c>
      <c r="D50" s="240">
        <v>2537113.94</v>
      </c>
      <c r="E50" s="240">
        <v>2092021.15</v>
      </c>
      <c r="F50" s="240">
        <v>445092.79</v>
      </c>
      <c r="G50" s="241" t="s">
        <v>854</v>
      </c>
    </row>
    <row r="51" spans="1:13" x14ac:dyDescent="0.3">
      <c r="A51" s="242" t="s">
        <v>35</v>
      </c>
      <c r="B51" s="242" t="s">
        <v>35</v>
      </c>
      <c r="C51" s="25" t="s">
        <v>855</v>
      </c>
      <c r="D51" s="317">
        <v>2537113.94</v>
      </c>
      <c r="E51" s="243">
        <v>2092021.15</v>
      </c>
      <c r="F51" s="243">
        <v>445092.79</v>
      </c>
      <c r="G51" s="244" t="s">
        <v>854</v>
      </c>
    </row>
    <row r="52" spans="1:13" x14ac:dyDescent="0.3">
      <c r="A52" s="239" t="s">
        <v>766</v>
      </c>
      <c r="B52" s="239" t="s">
        <v>856</v>
      </c>
      <c r="C52" s="25" t="s">
        <v>857</v>
      </c>
      <c r="D52" s="240">
        <v>-0.12</v>
      </c>
      <c r="E52" s="240">
        <v>0</v>
      </c>
      <c r="F52" s="240">
        <v>-0.12</v>
      </c>
      <c r="G52" s="241" t="s">
        <v>35</v>
      </c>
    </row>
    <row r="53" spans="1:13" x14ac:dyDescent="0.3">
      <c r="A53" s="242" t="s">
        <v>35</v>
      </c>
      <c r="B53" s="242" t="s">
        <v>35</v>
      </c>
      <c r="C53" s="25" t="s">
        <v>858</v>
      </c>
      <c r="D53" s="243">
        <v>-0.12</v>
      </c>
      <c r="E53" s="243">
        <v>0</v>
      </c>
      <c r="F53" s="243">
        <v>-0.12</v>
      </c>
      <c r="G53" s="244" t="s">
        <v>35</v>
      </c>
    </row>
    <row r="54" spans="1:13" x14ac:dyDescent="0.3">
      <c r="A54" s="239" t="s">
        <v>766</v>
      </c>
      <c r="B54" s="239" t="s">
        <v>859</v>
      </c>
      <c r="C54" s="25" t="s">
        <v>860</v>
      </c>
      <c r="D54" s="240">
        <v>10001.450000000001</v>
      </c>
      <c r="E54" s="240">
        <v>10000</v>
      </c>
      <c r="F54" s="240">
        <v>1.45</v>
      </c>
      <c r="G54" s="241" t="s">
        <v>777</v>
      </c>
    </row>
    <row r="55" spans="1:13" x14ac:dyDescent="0.3">
      <c r="A55" s="242" t="s">
        <v>35</v>
      </c>
      <c r="B55" s="242" t="s">
        <v>35</v>
      </c>
      <c r="C55" s="25" t="s">
        <v>861</v>
      </c>
      <c r="D55" s="243">
        <v>10001.450000000001</v>
      </c>
      <c r="E55" s="243">
        <v>10000</v>
      </c>
      <c r="F55" s="243">
        <v>1.45</v>
      </c>
      <c r="G55" s="244" t="s">
        <v>777</v>
      </c>
    </row>
    <row r="56" spans="1:13" x14ac:dyDescent="0.3">
      <c r="A56" s="239" t="s">
        <v>766</v>
      </c>
      <c r="B56" s="239" t="s">
        <v>862</v>
      </c>
      <c r="C56" s="25" t="s">
        <v>863</v>
      </c>
      <c r="D56" s="240">
        <v>4648258</v>
      </c>
      <c r="E56" s="240">
        <v>4770217</v>
      </c>
      <c r="F56" s="240">
        <v>-121959</v>
      </c>
      <c r="G56" s="241" t="s">
        <v>864</v>
      </c>
      <c r="M56" s="245">
        <f>D56+D51</f>
        <v>7185371.9399999995</v>
      </c>
    </row>
    <row r="57" spans="1:13" x14ac:dyDescent="0.3">
      <c r="A57" s="242" t="s">
        <v>35</v>
      </c>
      <c r="B57" s="242" t="s">
        <v>35</v>
      </c>
      <c r="C57" s="25" t="s">
        <v>865</v>
      </c>
      <c r="D57" s="317">
        <v>4648258</v>
      </c>
      <c r="E57" s="243">
        <v>4770217</v>
      </c>
      <c r="F57" s="243">
        <v>-121959</v>
      </c>
      <c r="G57" s="244" t="s">
        <v>864</v>
      </c>
    </row>
    <row r="58" spans="1:13" x14ac:dyDescent="0.3">
      <c r="A58" s="239" t="s">
        <v>766</v>
      </c>
      <c r="B58" s="239" t="s">
        <v>866</v>
      </c>
      <c r="C58" s="25" t="s">
        <v>867</v>
      </c>
      <c r="D58" s="240">
        <v>163027.34</v>
      </c>
      <c r="E58" s="240">
        <v>327320.15000000002</v>
      </c>
      <c r="F58" s="240">
        <v>-164292.81</v>
      </c>
      <c r="G58" s="241" t="s">
        <v>868</v>
      </c>
    </row>
    <row r="59" spans="1:13" x14ac:dyDescent="0.3">
      <c r="A59" s="242" t="s">
        <v>35</v>
      </c>
      <c r="B59" s="242" t="s">
        <v>35</v>
      </c>
      <c r="C59" s="25" t="s">
        <v>869</v>
      </c>
      <c r="D59" s="243">
        <v>163027.34</v>
      </c>
      <c r="E59" s="243">
        <v>327320.15000000002</v>
      </c>
      <c r="F59" s="243">
        <v>-164292.81</v>
      </c>
      <c r="G59" s="244" t="s">
        <v>868</v>
      </c>
    </row>
    <row r="60" spans="1:13" x14ac:dyDescent="0.3">
      <c r="A60" s="242" t="s">
        <v>35</v>
      </c>
      <c r="B60" s="242" t="s">
        <v>35</v>
      </c>
      <c r="C60" s="25" t="s">
        <v>870</v>
      </c>
      <c r="D60" s="243">
        <v>7358400.6100000003</v>
      </c>
      <c r="E60" s="243">
        <v>7199558.2999999998</v>
      </c>
      <c r="F60" s="243">
        <v>158842.31</v>
      </c>
      <c r="G60" s="244" t="s">
        <v>871</v>
      </c>
    </row>
    <row r="61" spans="1:13" x14ac:dyDescent="0.3">
      <c r="A61" s="242" t="s">
        <v>35</v>
      </c>
      <c r="B61" s="242" t="s">
        <v>35</v>
      </c>
      <c r="C61" s="25" t="s">
        <v>872</v>
      </c>
      <c r="D61" s="243">
        <v>176593640.72999999</v>
      </c>
      <c r="E61" s="243">
        <v>180478674.91999999</v>
      </c>
      <c r="F61" s="243">
        <v>-3885034.19</v>
      </c>
      <c r="G61" s="244" t="s">
        <v>873</v>
      </c>
    </row>
    <row r="62" spans="1:13" x14ac:dyDescent="0.3">
      <c r="A62" s="239" t="s">
        <v>35</v>
      </c>
      <c r="B62" s="239" t="s">
        <v>35</v>
      </c>
      <c r="C62" s="25" t="s">
        <v>874</v>
      </c>
      <c r="D62" s="240"/>
      <c r="E62" s="240"/>
      <c r="F62" s="240"/>
      <c r="G62" s="241" t="s">
        <v>35</v>
      </c>
    </row>
    <row r="63" spans="1:13" x14ac:dyDescent="0.3">
      <c r="A63" s="239" t="s">
        <v>35</v>
      </c>
      <c r="B63" s="239" t="s">
        <v>35</v>
      </c>
      <c r="C63" s="25" t="s">
        <v>875</v>
      </c>
      <c r="D63" s="240"/>
      <c r="E63" s="240"/>
      <c r="F63" s="240"/>
      <c r="G63" s="241" t="s">
        <v>35</v>
      </c>
    </row>
    <row r="64" spans="1:13" x14ac:dyDescent="0.3">
      <c r="A64" s="239" t="s">
        <v>766</v>
      </c>
      <c r="B64" s="239" t="s">
        <v>876</v>
      </c>
      <c r="C64" s="25" t="s">
        <v>877</v>
      </c>
      <c r="D64" s="240">
        <v>-69728019.280000001</v>
      </c>
      <c r="E64" s="240">
        <v>-70018202.939999998</v>
      </c>
      <c r="F64" s="240">
        <v>290183.65999999997</v>
      </c>
      <c r="G64" s="241" t="s">
        <v>878</v>
      </c>
    </row>
    <row r="65" spans="1:7" x14ac:dyDescent="0.3">
      <c r="A65" s="242" t="s">
        <v>35</v>
      </c>
      <c r="B65" s="242" t="s">
        <v>35</v>
      </c>
      <c r="C65" s="25" t="s">
        <v>879</v>
      </c>
      <c r="D65" s="243">
        <v>-69728019.280000001</v>
      </c>
      <c r="E65" s="243">
        <v>-70018202.939999998</v>
      </c>
      <c r="F65" s="243">
        <v>290183.65999999997</v>
      </c>
      <c r="G65" s="244" t="s">
        <v>878</v>
      </c>
    </row>
    <row r="66" spans="1:7" x14ac:dyDescent="0.3">
      <c r="A66" s="239" t="s">
        <v>766</v>
      </c>
      <c r="B66" s="239" t="s">
        <v>880</v>
      </c>
      <c r="C66" s="25" t="s">
        <v>881</v>
      </c>
      <c r="D66" s="240">
        <v>12030598.26</v>
      </c>
      <c r="E66" s="240">
        <v>16452350.1</v>
      </c>
      <c r="F66" s="240">
        <v>-4421751.84</v>
      </c>
      <c r="G66" s="241" t="s">
        <v>882</v>
      </c>
    </row>
    <row r="67" spans="1:7" x14ac:dyDescent="0.3">
      <c r="A67" s="242" t="s">
        <v>35</v>
      </c>
      <c r="B67" s="242" t="s">
        <v>35</v>
      </c>
      <c r="C67" s="25" t="s">
        <v>883</v>
      </c>
      <c r="D67" s="243">
        <v>12030598.26</v>
      </c>
      <c r="E67" s="243">
        <v>16452350.1</v>
      </c>
      <c r="F67" s="243">
        <v>-4421751.84</v>
      </c>
      <c r="G67" s="244" t="s">
        <v>882</v>
      </c>
    </row>
    <row r="68" spans="1:7" x14ac:dyDescent="0.3">
      <c r="A68" s="242" t="s">
        <v>35</v>
      </c>
      <c r="B68" s="242" t="s">
        <v>35</v>
      </c>
      <c r="C68" s="25" t="s">
        <v>884</v>
      </c>
      <c r="D68" s="243">
        <v>-3917600.78</v>
      </c>
      <c r="E68" s="243">
        <v>-4421751.84</v>
      </c>
      <c r="F68" s="243">
        <v>504151.06</v>
      </c>
      <c r="G68" s="244" t="s">
        <v>885</v>
      </c>
    </row>
    <row r="69" spans="1:7" x14ac:dyDescent="0.3">
      <c r="A69" s="242" t="s">
        <v>35</v>
      </c>
      <c r="B69" s="242" t="s">
        <v>35</v>
      </c>
      <c r="C69" s="25" t="s">
        <v>886</v>
      </c>
      <c r="D69" s="243">
        <v>8112997.4800000004</v>
      </c>
      <c r="E69" s="243">
        <v>12030598.26</v>
      </c>
      <c r="F69" s="243">
        <v>-3917600.78</v>
      </c>
      <c r="G69" s="244" t="s">
        <v>887</v>
      </c>
    </row>
    <row r="70" spans="1:7" x14ac:dyDescent="0.3">
      <c r="A70" s="242" t="s">
        <v>35</v>
      </c>
      <c r="B70" s="242" t="s">
        <v>35</v>
      </c>
      <c r="C70" s="25" t="s">
        <v>888</v>
      </c>
      <c r="D70" s="315">
        <v>-61615021.799999997</v>
      </c>
      <c r="E70" s="243">
        <v>-57987604.68</v>
      </c>
      <c r="F70" s="243">
        <v>-3627417.12</v>
      </c>
      <c r="G70" s="244" t="s">
        <v>889</v>
      </c>
    </row>
    <row r="71" spans="1:7" x14ac:dyDescent="0.3">
      <c r="A71" s="239" t="s">
        <v>35</v>
      </c>
      <c r="B71" s="239" t="s">
        <v>35</v>
      </c>
      <c r="C71" s="25" t="s">
        <v>94</v>
      </c>
      <c r="D71" s="240"/>
      <c r="E71" s="240"/>
      <c r="F71" s="240"/>
      <c r="G71" s="241" t="s">
        <v>35</v>
      </c>
    </row>
    <row r="72" spans="1:7" x14ac:dyDescent="0.3">
      <c r="A72" s="239" t="s">
        <v>766</v>
      </c>
      <c r="B72" s="239" t="s">
        <v>890</v>
      </c>
      <c r="C72" s="25" t="s">
        <v>891</v>
      </c>
      <c r="D72" s="240">
        <v>-43318799.950000003</v>
      </c>
      <c r="E72" s="240">
        <v>-43318799.950000003</v>
      </c>
      <c r="F72" s="240">
        <v>0</v>
      </c>
      <c r="G72" s="241" t="s">
        <v>777</v>
      </c>
    </row>
    <row r="73" spans="1:7" x14ac:dyDescent="0.3">
      <c r="A73" s="242" t="s">
        <v>35</v>
      </c>
      <c r="B73" s="242" t="s">
        <v>35</v>
      </c>
      <c r="C73" s="25" t="s">
        <v>892</v>
      </c>
      <c r="D73" s="243">
        <v>-43318799.950000003</v>
      </c>
      <c r="E73" s="243">
        <v>-43318799.950000003</v>
      </c>
      <c r="F73" s="243">
        <v>0</v>
      </c>
      <c r="G73" s="244" t="s">
        <v>777</v>
      </c>
    </row>
    <row r="74" spans="1:7" x14ac:dyDescent="0.3">
      <c r="A74" s="242" t="s">
        <v>35</v>
      </c>
      <c r="B74" s="242" t="s">
        <v>35</v>
      </c>
      <c r="C74" s="25" t="s">
        <v>893</v>
      </c>
      <c r="D74" s="315">
        <v>-43318799.950000003</v>
      </c>
      <c r="E74" s="243">
        <v>-43318799.950000003</v>
      </c>
      <c r="F74" s="243">
        <v>0</v>
      </c>
      <c r="G74" s="244" t="s">
        <v>777</v>
      </c>
    </row>
    <row r="75" spans="1:7" x14ac:dyDescent="0.3">
      <c r="A75" s="239" t="s">
        <v>35</v>
      </c>
      <c r="B75" s="239" t="s">
        <v>35</v>
      </c>
      <c r="C75" s="25" t="s">
        <v>894</v>
      </c>
      <c r="D75" s="240"/>
      <c r="E75" s="240"/>
      <c r="F75" s="240"/>
      <c r="G75" s="241" t="s">
        <v>35</v>
      </c>
    </row>
    <row r="76" spans="1:7" x14ac:dyDescent="0.3">
      <c r="A76" s="239" t="s">
        <v>770</v>
      </c>
      <c r="B76" s="239" t="s">
        <v>895</v>
      </c>
      <c r="C76" s="25" t="s">
        <v>896</v>
      </c>
      <c r="D76" s="240">
        <v>-60920.09</v>
      </c>
      <c r="E76" s="240">
        <v>-67142.81</v>
      </c>
      <c r="F76" s="240">
        <v>6222.72</v>
      </c>
      <c r="G76" s="241" t="s">
        <v>897</v>
      </c>
    </row>
    <row r="77" spans="1:7" x14ac:dyDescent="0.3">
      <c r="A77" s="242" t="s">
        <v>35</v>
      </c>
      <c r="B77" s="242" t="s">
        <v>35</v>
      </c>
      <c r="C77" s="25" t="s">
        <v>898</v>
      </c>
      <c r="D77" s="243">
        <v>-60920.09</v>
      </c>
      <c r="E77" s="243">
        <v>-67142.81</v>
      </c>
      <c r="F77" s="243">
        <v>6222.72</v>
      </c>
      <c r="G77" s="244" t="s">
        <v>897</v>
      </c>
    </row>
    <row r="78" spans="1:7" x14ac:dyDescent="0.3">
      <c r="A78" s="239" t="s">
        <v>766</v>
      </c>
      <c r="B78" s="239" t="s">
        <v>899</v>
      </c>
      <c r="C78" s="25" t="s">
        <v>900</v>
      </c>
      <c r="D78" s="240">
        <v>-2405957.0099999998</v>
      </c>
      <c r="E78" s="240">
        <v>-2450449.25</v>
      </c>
      <c r="F78" s="240">
        <v>44492.24</v>
      </c>
      <c r="G78" s="241" t="s">
        <v>901</v>
      </c>
    </row>
    <row r="79" spans="1:7" x14ac:dyDescent="0.3">
      <c r="A79" s="242" t="s">
        <v>35</v>
      </c>
      <c r="B79" s="242" t="s">
        <v>35</v>
      </c>
      <c r="C79" s="25" t="s">
        <v>902</v>
      </c>
      <c r="D79" s="243">
        <v>-2405957.0099999998</v>
      </c>
      <c r="E79" s="243">
        <v>-2450449.25</v>
      </c>
      <c r="F79" s="243">
        <v>44492.24</v>
      </c>
      <c r="G79" s="244" t="s">
        <v>901</v>
      </c>
    </row>
    <row r="80" spans="1:7" x14ac:dyDescent="0.3">
      <c r="A80" s="239" t="s">
        <v>774</v>
      </c>
      <c r="B80" s="239" t="s">
        <v>903</v>
      </c>
      <c r="C80" s="25" t="s">
        <v>904</v>
      </c>
      <c r="D80" s="240">
        <v>-132734.57</v>
      </c>
      <c r="E80" s="240">
        <v>-130284.83</v>
      </c>
      <c r="F80" s="240">
        <v>-2449.7399999999998</v>
      </c>
      <c r="G80" s="241" t="s">
        <v>905</v>
      </c>
    </row>
    <row r="81" spans="1:7" x14ac:dyDescent="0.3">
      <c r="A81" s="242" t="s">
        <v>35</v>
      </c>
      <c r="B81" s="242" t="s">
        <v>35</v>
      </c>
      <c r="C81" s="25" t="s">
        <v>906</v>
      </c>
      <c r="D81" s="243">
        <v>-132734.57</v>
      </c>
      <c r="E81" s="243">
        <v>-130284.83</v>
      </c>
      <c r="F81" s="243">
        <v>-2449.7399999999998</v>
      </c>
      <c r="G81" s="244" t="s">
        <v>905</v>
      </c>
    </row>
    <row r="82" spans="1:7" x14ac:dyDescent="0.3">
      <c r="A82" s="242" t="s">
        <v>35</v>
      </c>
      <c r="B82" s="242" t="s">
        <v>35</v>
      </c>
      <c r="C82" s="25" t="s">
        <v>907</v>
      </c>
      <c r="D82" s="243">
        <v>-2599611.67</v>
      </c>
      <c r="E82" s="243">
        <v>-2647876.89</v>
      </c>
      <c r="F82" s="243">
        <v>48265.22</v>
      </c>
      <c r="G82" s="244" t="s">
        <v>901</v>
      </c>
    </row>
    <row r="83" spans="1:7" x14ac:dyDescent="0.3">
      <c r="A83" s="239" t="s">
        <v>35</v>
      </c>
      <c r="B83" s="239" t="s">
        <v>35</v>
      </c>
      <c r="C83" s="25" t="s">
        <v>908</v>
      </c>
      <c r="D83" s="240"/>
      <c r="E83" s="240"/>
      <c r="F83" s="240"/>
      <c r="G83" s="241" t="s">
        <v>35</v>
      </c>
    </row>
    <row r="84" spans="1:7" x14ac:dyDescent="0.3">
      <c r="A84" s="239" t="s">
        <v>766</v>
      </c>
      <c r="B84" s="239" t="s">
        <v>909</v>
      </c>
      <c r="C84" s="25" t="s">
        <v>910</v>
      </c>
      <c r="D84" s="240">
        <v>-4535151.01</v>
      </c>
      <c r="E84" s="240">
        <v>-4950917.95</v>
      </c>
      <c r="F84" s="240">
        <v>415766.94</v>
      </c>
      <c r="G84" s="241" t="s">
        <v>911</v>
      </c>
    </row>
    <row r="85" spans="1:7" x14ac:dyDescent="0.3">
      <c r="A85" s="242" t="s">
        <v>35</v>
      </c>
      <c r="B85" s="242" t="s">
        <v>35</v>
      </c>
      <c r="C85" s="25" t="s">
        <v>912</v>
      </c>
      <c r="D85" s="243">
        <v>-4535151.01</v>
      </c>
      <c r="E85" s="243">
        <v>-4950917.95</v>
      </c>
      <c r="F85" s="243">
        <v>415766.94</v>
      </c>
      <c r="G85" s="244" t="s">
        <v>911</v>
      </c>
    </row>
    <row r="86" spans="1:7" x14ac:dyDescent="0.3">
      <c r="A86" s="239" t="s">
        <v>766</v>
      </c>
      <c r="B86" s="239" t="s">
        <v>913</v>
      </c>
      <c r="C86" s="25" t="s">
        <v>914</v>
      </c>
      <c r="D86" s="240">
        <v>-8615392.2799999993</v>
      </c>
      <c r="E86" s="240">
        <v>-16541772.220000001</v>
      </c>
      <c r="F86" s="240">
        <v>7926379.9400000004</v>
      </c>
      <c r="G86" s="241" t="s">
        <v>915</v>
      </c>
    </row>
    <row r="87" spans="1:7" x14ac:dyDescent="0.3">
      <c r="A87" s="242" t="s">
        <v>35</v>
      </c>
      <c r="B87" s="242" t="s">
        <v>35</v>
      </c>
      <c r="C87" s="25" t="s">
        <v>916</v>
      </c>
      <c r="D87" s="315">
        <v>-8615392.2799999993</v>
      </c>
      <c r="E87" s="243">
        <v>-16541772.220000001</v>
      </c>
      <c r="F87" s="243">
        <v>7926379.9400000004</v>
      </c>
      <c r="G87" s="244" t="s">
        <v>915</v>
      </c>
    </row>
    <row r="88" spans="1:7" x14ac:dyDescent="0.3">
      <c r="A88" s="239" t="s">
        <v>766</v>
      </c>
      <c r="B88" s="239" t="s">
        <v>917</v>
      </c>
      <c r="C88" s="25" t="s">
        <v>918</v>
      </c>
      <c r="D88" s="240">
        <v>-1539810.03</v>
      </c>
      <c r="E88" s="240">
        <v>-1019373.96</v>
      </c>
      <c r="F88" s="240">
        <v>-520436.07</v>
      </c>
      <c r="G88" s="241" t="s">
        <v>919</v>
      </c>
    </row>
    <row r="89" spans="1:7" x14ac:dyDescent="0.3">
      <c r="A89" s="242" t="s">
        <v>35</v>
      </c>
      <c r="B89" s="242" t="s">
        <v>35</v>
      </c>
      <c r="C89" s="25" t="s">
        <v>920</v>
      </c>
      <c r="D89" s="243">
        <v>-1539810.03</v>
      </c>
      <c r="E89" s="243">
        <v>-1019373.96</v>
      </c>
      <c r="F89" s="243">
        <v>-520436.07</v>
      </c>
      <c r="G89" s="244" t="s">
        <v>919</v>
      </c>
    </row>
    <row r="90" spans="1:7" x14ac:dyDescent="0.3">
      <c r="A90" s="239" t="s">
        <v>766</v>
      </c>
      <c r="B90" s="239" t="s">
        <v>921</v>
      </c>
      <c r="C90" s="25" t="s">
        <v>922</v>
      </c>
      <c r="D90" s="240">
        <v>-553809.98</v>
      </c>
      <c r="E90" s="240">
        <v>-870595.84</v>
      </c>
      <c r="F90" s="240">
        <v>316785.86</v>
      </c>
      <c r="G90" s="241" t="s">
        <v>923</v>
      </c>
    </row>
    <row r="91" spans="1:7" x14ac:dyDescent="0.3">
      <c r="A91" s="242" t="s">
        <v>35</v>
      </c>
      <c r="B91" s="242" t="s">
        <v>35</v>
      </c>
      <c r="C91" s="25" t="s">
        <v>924</v>
      </c>
      <c r="D91" s="243">
        <v>-553809.98</v>
      </c>
      <c r="E91" s="243">
        <v>-870595.84</v>
      </c>
      <c r="F91" s="243">
        <v>316785.86</v>
      </c>
      <c r="G91" s="244" t="s">
        <v>923</v>
      </c>
    </row>
    <row r="92" spans="1:7" x14ac:dyDescent="0.3">
      <c r="A92" s="239" t="s">
        <v>766</v>
      </c>
      <c r="B92" s="239" t="s">
        <v>925</v>
      </c>
      <c r="C92" s="25" t="s">
        <v>926</v>
      </c>
      <c r="D92" s="240">
        <v>-4341457.84</v>
      </c>
      <c r="E92" s="240">
        <v>-4233790.3600000003</v>
      </c>
      <c r="F92" s="240">
        <v>-107667.48</v>
      </c>
      <c r="G92" s="241" t="s">
        <v>927</v>
      </c>
    </row>
    <row r="93" spans="1:7" x14ac:dyDescent="0.3">
      <c r="A93" s="242" t="s">
        <v>35</v>
      </c>
      <c r="B93" s="242" t="s">
        <v>35</v>
      </c>
      <c r="C93" s="25" t="s">
        <v>928</v>
      </c>
      <c r="D93" s="243">
        <v>-4341457.84</v>
      </c>
      <c r="E93" s="243">
        <v>-4233790.3600000003</v>
      </c>
      <c r="F93" s="243">
        <v>-107667.48</v>
      </c>
      <c r="G93" s="244" t="s">
        <v>927</v>
      </c>
    </row>
    <row r="94" spans="1:7" x14ac:dyDescent="0.3">
      <c r="A94" s="239" t="s">
        <v>766</v>
      </c>
      <c r="B94" s="239" t="s">
        <v>929</v>
      </c>
      <c r="C94" s="25" t="s">
        <v>930</v>
      </c>
      <c r="D94" s="240">
        <v>-6578.17</v>
      </c>
      <c r="E94" s="240">
        <v>-42442.2</v>
      </c>
      <c r="F94" s="240">
        <v>35864.03</v>
      </c>
      <c r="G94" s="241" t="s">
        <v>931</v>
      </c>
    </row>
    <row r="95" spans="1:7" x14ac:dyDescent="0.3">
      <c r="A95" s="242" t="s">
        <v>35</v>
      </c>
      <c r="B95" s="242" t="s">
        <v>35</v>
      </c>
      <c r="C95" s="25" t="s">
        <v>932</v>
      </c>
      <c r="D95" s="243">
        <v>-6578.17</v>
      </c>
      <c r="E95" s="243">
        <v>-42442.2</v>
      </c>
      <c r="F95" s="243">
        <v>35864.03</v>
      </c>
      <c r="G95" s="244" t="s">
        <v>931</v>
      </c>
    </row>
    <row r="96" spans="1:7" x14ac:dyDescent="0.3">
      <c r="A96" s="239" t="s">
        <v>766</v>
      </c>
      <c r="B96" s="239" t="s">
        <v>933</v>
      </c>
      <c r="C96" s="25" t="s">
        <v>934</v>
      </c>
      <c r="D96" s="240">
        <v>-263516.38</v>
      </c>
      <c r="E96" s="240">
        <v>-2987.95</v>
      </c>
      <c r="F96" s="240">
        <v>-260528.43</v>
      </c>
      <c r="G96" s="241" t="s">
        <v>935</v>
      </c>
    </row>
    <row r="97" spans="1:14" x14ac:dyDescent="0.3">
      <c r="A97" s="242" t="s">
        <v>35</v>
      </c>
      <c r="B97" s="242" t="s">
        <v>35</v>
      </c>
      <c r="C97" s="25" t="s">
        <v>936</v>
      </c>
      <c r="D97" s="243">
        <v>-263516.38</v>
      </c>
      <c r="E97" s="243">
        <v>-2987.95</v>
      </c>
      <c r="F97" s="243">
        <v>-260528.43</v>
      </c>
      <c r="G97" s="244" t="s">
        <v>935</v>
      </c>
    </row>
    <row r="98" spans="1:14" x14ac:dyDescent="0.3">
      <c r="A98" s="239" t="s">
        <v>766</v>
      </c>
      <c r="B98" s="239" t="s">
        <v>937</v>
      </c>
      <c r="C98" s="25" t="s">
        <v>938</v>
      </c>
      <c r="D98" s="240">
        <v>-2341448.02</v>
      </c>
      <c r="E98" s="240">
        <v>-2275746.21</v>
      </c>
      <c r="F98" s="240">
        <v>-65701.81</v>
      </c>
      <c r="G98" s="241" t="s">
        <v>939</v>
      </c>
    </row>
    <row r="99" spans="1:14" x14ac:dyDescent="0.3">
      <c r="A99" s="242" t="s">
        <v>35</v>
      </c>
      <c r="B99" s="242" t="s">
        <v>35</v>
      </c>
      <c r="C99" s="25" t="s">
        <v>940</v>
      </c>
      <c r="D99" s="243">
        <v>-2341448.02</v>
      </c>
      <c r="E99" s="243">
        <v>-2275746.21</v>
      </c>
      <c r="F99" s="243">
        <v>-65701.81</v>
      </c>
      <c r="G99" s="244" t="s">
        <v>939</v>
      </c>
    </row>
    <row r="100" spans="1:14" x14ac:dyDescent="0.3">
      <c r="A100" s="239" t="s">
        <v>770</v>
      </c>
      <c r="B100" s="239" t="s">
        <v>941</v>
      </c>
      <c r="C100" s="25" t="s">
        <v>942</v>
      </c>
      <c r="D100" s="240">
        <v>-24551.57</v>
      </c>
      <c r="E100" s="240">
        <v>-24327.07</v>
      </c>
      <c r="F100" s="240">
        <v>-224.5</v>
      </c>
      <c r="G100" s="241" t="s">
        <v>943</v>
      </c>
    </row>
    <row r="101" spans="1:14" x14ac:dyDescent="0.3">
      <c r="A101" s="242" t="s">
        <v>35</v>
      </c>
      <c r="B101" s="242" t="s">
        <v>35</v>
      </c>
      <c r="C101" s="25" t="s">
        <v>944</v>
      </c>
      <c r="D101" s="243">
        <v>-24551.57</v>
      </c>
      <c r="E101" s="243">
        <v>-24327.07</v>
      </c>
      <c r="F101" s="243">
        <v>-224.5</v>
      </c>
      <c r="G101" s="244" t="s">
        <v>943</v>
      </c>
    </row>
    <row r="102" spans="1:14" x14ac:dyDescent="0.3">
      <c r="A102" s="242" t="s">
        <v>35</v>
      </c>
      <c r="B102" s="242" t="s">
        <v>35</v>
      </c>
      <c r="C102" s="25" t="s">
        <v>945</v>
      </c>
      <c r="D102" s="243">
        <v>-22221715.280000001</v>
      </c>
      <c r="E102" s="243">
        <v>-29961953.760000002</v>
      </c>
      <c r="F102" s="243">
        <v>7740238.4800000004</v>
      </c>
      <c r="G102" s="244" t="s">
        <v>946</v>
      </c>
    </row>
    <row r="103" spans="1:14" x14ac:dyDescent="0.3">
      <c r="A103" s="239" t="s">
        <v>35</v>
      </c>
      <c r="B103" s="239" t="s">
        <v>35</v>
      </c>
      <c r="C103" s="25" t="s">
        <v>947</v>
      </c>
      <c r="D103" s="240"/>
      <c r="E103" s="240"/>
      <c r="F103" s="240"/>
      <c r="G103" s="241" t="s">
        <v>35</v>
      </c>
    </row>
    <row r="104" spans="1:14" x14ac:dyDescent="0.3">
      <c r="A104" s="239" t="s">
        <v>774</v>
      </c>
      <c r="B104" s="239" t="s">
        <v>948</v>
      </c>
      <c r="C104" s="25" t="s">
        <v>949</v>
      </c>
      <c r="D104" s="240">
        <v>-457600.2</v>
      </c>
      <c r="E104" s="240">
        <v>-115558.91</v>
      </c>
      <c r="F104" s="240">
        <v>-342041.29</v>
      </c>
      <c r="G104" s="241" t="s">
        <v>950</v>
      </c>
    </row>
    <row r="105" spans="1:14" x14ac:dyDescent="0.3">
      <c r="A105" s="242" t="s">
        <v>35</v>
      </c>
      <c r="B105" s="242" t="s">
        <v>35</v>
      </c>
      <c r="C105" s="25" t="s">
        <v>951</v>
      </c>
      <c r="D105" s="315">
        <v>-457600.2</v>
      </c>
      <c r="E105" s="243">
        <v>-115558.91</v>
      </c>
      <c r="F105" s="243">
        <v>-342041.29</v>
      </c>
      <c r="G105" s="244" t="s">
        <v>950</v>
      </c>
      <c r="M105" s="245">
        <f>D105</f>
        <v>-457600.2</v>
      </c>
      <c r="N105" s="245">
        <f>E105</f>
        <v>-115558.91</v>
      </c>
    </row>
    <row r="106" spans="1:14" x14ac:dyDescent="0.3">
      <c r="A106" s="239" t="s">
        <v>766</v>
      </c>
      <c r="B106" s="239" t="s">
        <v>952</v>
      </c>
      <c r="C106" s="25" t="s">
        <v>953</v>
      </c>
      <c r="D106" s="240">
        <v>-802585.38</v>
      </c>
      <c r="E106" s="240">
        <v>-530177.4</v>
      </c>
      <c r="F106" s="240">
        <v>-272407.98</v>
      </c>
      <c r="G106" s="241" t="s">
        <v>954</v>
      </c>
    </row>
    <row r="107" spans="1:14" x14ac:dyDescent="0.3">
      <c r="A107" s="242" t="s">
        <v>35</v>
      </c>
      <c r="B107" s="242" t="s">
        <v>35</v>
      </c>
      <c r="C107" s="25" t="s">
        <v>955</v>
      </c>
      <c r="D107" s="243">
        <v>-802585.38</v>
      </c>
      <c r="E107" s="243">
        <v>-530177.4</v>
      </c>
      <c r="F107" s="243">
        <v>-272407.98</v>
      </c>
      <c r="G107" s="244" t="s">
        <v>954</v>
      </c>
    </row>
    <row r="108" spans="1:14" x14ac:dyDescent="0.3">
      <c r="A108" s="239" t="s">
        <v>766</v>
      </c>
      <c r="B108" s="239" t="s">
        <v>956</v>
      </c>
      <c r="C108" s="25" t="s">
        <v>957</v>
      </c>
      <c r="D108" s="240">
        <v>-17587574.34</v>
      </c>
      <c r="E108" s="240">
        <v>-17946365.219999999</v>
      </c>
      <c r="F108" s="240">
        <v>358790.88</v>
      </c>
      <c r="G108" s="241" t="s">
        <v>958</v>
      </c>
    </row>
    <row r="109" spans="1:14" x14ac:dyDescent="0.3">
      <c r="A109" s="242" t="s">
        <v>35</v>
      </c>
      <c r="B109" s="242" t="s">
        <v>35</v>
      </c>
      <c r="C109" s="25" t="s">
        <v>959</v>
      </c>
      <c r="D109" s="317">
        <v>-17587574.34</v>
      </c>
      <c r="E109" s="243">
        <v>-17946365.219999999</v>
      </c>
      <c r="F109" s="243">
        <v>358790.88</v>
      </c>
      <c r="G109" s="244" t="s">
        <v>958</v>
      </c>
    </row>
    <row r="110" spans="1:14" x14ac:dyDescent="0.3">
      <c r="A110" s="239" t="s">
        <v>766</v>
      </c>
      <c r="B110" s="239" t="s">
        <v>960</v>
      </c>
      <c r="C110" s="25" t="s">
        <v>961</v>
      </c>
      <c r="D110" s="240">
        <v>-28766605.460000001</v>
      </c>
      <c r="E110" s="240">
        <v>-28879859.460000001</v>
      </c>
      <c r="F110" s="240">
        <v>113254</v>
      </c>
      <c r="G110" s="241" t="s">
        <v>878</v>
      </c>
    </row>
    <row r="111" spans="1:14" x14ac:dyDescent="0.3">
      <c r="A111" s="239" t="s">
        <v>766</v>
      </c>
      <c r="B111" s="239" t="s">
        <v>962</v>
      </c>
      <c r="C111" s="25" t="s">
        <v>963</v>
      </c>
      <c r="D111" s="240">
        <v>775873.35</v>
      </c>
      <c r="E111" s="240">
        <v>909521.35</v>
      </c>
      <c r="F111" s="240">
        <v>-133648</v>
      </c>
      <c r="G111" s="241" t="s">
        <v>964</v>
      </c>
    </row>
    <row r="112" spans="1:14" x14ac:dyDescent="0.3">
      <c r="A112" s="242" t="s">
        <v>35</v>
      </c>
      <c r="B112" s="242" t="s">
        <v>35</v>
      </c>
      <c r="C112" s="25" t="s">
        <v>965</v>
      </c>
      <c r="D112" s="317">
        <v>-27990732.109999999</v>
      </c>
      <c r="E112" s="243">
        <v>-27970338.109999999</v>
      </c>
      <c r="F112" s="243">
        <v>-20394</v>
      </c>
      <c r="G112" s="244" t="s">
        <v>966</v>
      </c>
    </row>
    <row r="113" spans="1:7" x14ac:dyDescent="0.3">
      <c r="A113" s="242" t="s">
        <v>35</v>
      </c>
      <c r="B113" s="242" t="s">
        <v>35</v>
      </c>
      <c r="C113" s="25" t="s">
        <v>967</v>
      </c>
      <c r="D113" s="243">
        <v>-46838492.030000001</v>
      </c>
      <c r="E113" s="243">
        <v>-46562439.640000001</v>
      </c>
      <c r="F113" s="243">
        <v>-276052.39</v>
      </c>
      <c r="G113" s="244" t="s">
        <v>968</v>
      </c>
    </row>
    <row r="114" spans="1:7" x14ac:dyDescent="0.3">
      <c r="A114" s="242" t="s">
        <v>35</v>
      </c>
      <c r="B114" s="242" t="s">
        <v>35</v>
      </c>
      <c r="C114" s="25" t="s">
        <v>969</v>
      </c>
      <c r="D114" s="243">
        <v>-176593640.72999999</v>
      </c>
      <c r="E114" s="243">
        <v>-180478674.91999999</v>
      </c>
      <c r="F114" s="243">
        <v>3885034.19</v>
      </c>
      <c r="G114" s="244" t="s">
        <v>871</v>
      </c>
    </row>
    <row r="115" spans="1:7" x14ac:dyDescent="0.3">
      <c r="A115" s="247" t="s">
        <v>35</v>
      </c>
      <c r="B115" s="247" t="s">
        <v>35</v>
      </c>
      <c r="C115" s="248" t="s">
        <v>35</v>
      </c>
      <c r="D115" s="249">
        <v>0</v>
      </c>
      <c r="E115" s="249">
        <v>0</v>
      </c>
      <c r="F115" s="249">
        <v>0</v>
      </c>
      <c r="G115" s="250" t="s">
        <v>35</v>
      </c>
    </row>
    <row r="117" spans="1:7" x14ac:dyDescent="0.3">
      <c r="D117" s="251">
        <f>D61</f>
        <v>176593640.72999999</v>
      </c>
      <c r="E117" s="251" t="s">
        <v>970</v>
      </c>
    </row>
    <row r="118" spans="1:7" ht="16.2" x14ac:dyDescent="0.45">
      <c r="D118" s="254">
        <f>'Balance Sheets &amp; Capitalization'!N83</f>
        <v>170017324.87</v>
      </c>
      <c r="E118" s="251" t="s">
        <v>971</v>
      </c>
    </row>
    <row r="119" spans="1:7" x14ac:dyDescent="0.3">
      <c r="D119" s="251">
        <f>D117-D118</f>
        <v>6576315.8599999845</v>
      </c>
    </row>
  </sheetData>
  <pageMargins left="0.7" right="0.7" top="0.75" bottom="0.75" header="0.3" footer="0.3"/>
  <pageSetup scale="3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82CE-4A78-4BEF-A3AB-1AEDE246C991}">
  <sheetPr>
    <tabColor rgb="FF66FFFF"/>
    <pageSetUpPr fitToPage="1"/>
  </sheetPr>
  <dimension ref="A1:W70"/>
  <sheetViews>
    <sheetView workbookViewId="0">
      <selection activeCell="H15" sqref="H15"/>
    </sheetView>
  </sheetViews>
  <sheetFormatPr defaultColWidth="9.109375" defaultRowHeight="13.8" x14ac:dyDescent="0.3"/>
  <cols>
    <col min="1" max="1" width="3.6640625" style="261" customWidth="1"/>
    <col min="2" max="3" width="3.88671875" style="261" customWidth="1"/>
    <col min="4" max="4" width="4.109375" style="261" customWidth="1"/>
    <col min="5" max="5" width="24.109375" style="261" customWidth="1"/>
    <col min="6" max="7" width="11.44140625" style="261" customWidth="1"/>
    <col min="8" max="8" width="13.6640625" style="265" bestFit="1" customWidth="1"/>
    <col min="9" max="9" width="15" style="261" customWidth="1"/>
    <col min="10" max="12" width="12.88671875" style="267" bestFit="1" customWidth="1"/>
    <col min="13" max="13" width="12" style="261" bestFit="1" customWidth="1"/>
    <col min="14" max="14" width="11" style="261" bestFit="1" customWidth="1"/>
    <col min="15" max="15" width="10.44140625" style="261" bestFit="1" customWidth="1"/>
    <col min="16" max="19" width="9.109375" style="261"/>
    <col min="20" max="20" width="9.5546875" style="261" bestFit="1" customWidth="1"/>
    <col min="21" max="22" width="10.109375" style="261" bestFit="1" customWidth="1"/>
    <col min="23" max="23" width="14.88671875" style="261" bestFit="1" customWidth="1"/>
    <col min="24" max="16384" width="9.109375" style="261"/>
  </cols>
  <sheetData>
    <row r="1" spans="1:23" x14ac:dyDescent="0.3">
      <c r="A1" s="261" t="s">
        <v>140</v>
      </c>
      <c r="F1" s="262" t="s">
        <v>972</v>
      </c>
      <c r="G1" s="263" t="s">
        <v>973</v>
      </c>
      <c r="H1" s="261"/>
      <c r="J1" s="261"/>
      <c r="K1" s="264" t="s">
        <v>974</v>
      </c>
      <c r="L1" s="264"/>
    </row>
    <row r="2" spans="1:23" x14ac:dyDescent="0.3">
      <c r="A2" s="261" t="s">
        <v>142</v>
      </c>
      <c r="I2" s="266" t="s">
        <v>975</v>
      </c>
      <c r="K2" s="267" t="s">
        <v>976</v>
      </c>
      <c r="M2" s="267"/>
      <c r="N2" s="268" t="s">
        <v>408</v>
      </c>
    </row>
    <row r="3" spans="1:23" ht="14.4" x14ac:dyDescent="0.3">
      <c r="A3" s="261" t="s">
        <v>977</v>
      </c>
      <c r="F3" s="269" t="s">
        <v>978</v>
      </c>
      <c r="H3" s="270" t="s">
        <v>979</v>
      </c>
      <c r="I3" s="265"/>
      <c r="K3"/>
    </row>
    <row r="4" spans="1:23" ht="14.4" x14ac:dyDescent="0.3">
      <c r="A4" s="271"/>
      <c r="B4" s="271"/>
      <c r="C4" s="271"/>
      <c r="D4" s="271"/>
      <c r="E4" s="271"/>
      <c r="F4" s="272">
        <v>40178</v>
      </c>
      <c r="G4" s="273">
        <v>44196</v>
      </c>
      <c r="H4" s="273">
        <v>44286</v>
      </c>
      <c r="I4" s="274" t="s">
        <v>146</v>
      </c>
      <c r="K4"/>
      <c r="N4" s="273">
        <v>44196</v>
      </c>
      <c r="O4" s="275" t="s">
        <v>146</v>
      </c>
    </row>
    <row r="5" spans="1:23" ht="16.2" x14ac:dyDescent="0.45">
      <c r="A5" s="261" t="s">
        <v>147</v>
      </c>
      <c r="F5" s="276">
        <f>+F35</f>
        <v>199027425</v>
      </c>
      <c r="G5" s="277">
        <f>G35</f>
        <v>276048694.57999998</v>
      </c>
      <c r="H5" s="318">
        <f>+H35</f>
        <v>277645551.06</v>
      </c>
      <c r="I5" s="277">
        <f>I35</f>
        <v>301255706.79076922</v>
      </c>
      <c r="K5"/>
      <c r="N5" s="261">
        <v>2882525</v>
      </c>
      <c r="O5" s="261">
        <v>2882525</v>
      </c>
      <c r="Q5" s="261" t="s">
        <v>980</v>
      </c>
    </row>
    <row r="6" spans="1:23" ht="14.4" x14ac:dyDescent="0.3">
      <c r="F6" s="278"/>
      <c r="G6" s="279"/>
      <c r="H6" s="279"/>
      <c r="I6" s="279"/>
      <c r="K6"/>
    </row>
    <row r="7" spans="1:23" ht="14.4" x14ac:dyDescent="0.3">
      <c r="A7" s="261" t="s">
        <v>149</v>
      </c>
      <c r="C7" s="261" t="s">
        <v>150</v>
      </c>
      <c r="F7" s="278">
        <v>596121</v>
      </c>
      <c r="G7" s="280">
        <v>574003.72</v>
      </c>
      <c r="H7" s="281">
        <f>'[42]Tab 55 p4'!O5</f>
        <v>604905.27461538452</v>
      </c>
      <c r="I7" s="281">
        <f>H7</f>
        <v>604905.27461538452</v>
      </c>
      <c r="K7"/>
      <c r="N7" s="261">
        <v>0</v>
      </c>
      <c r="O7" s="261">
        <v>0</v>
      </c>
    </row>
    <row r="8" spans="1:23" ht="14.4" x14ac:dyDescent="0.3">
      <c r="C8" s="261" t="s">
        <v>152</v>
      </c>
      <c r="F8" s="278">
        <v>1678137</v>
      </c>
      <c r="G8" s="280">
        <f>1045907.88+N8</f>
        <v>1189022.8799999999</v>
      </c>
      <c r="H8" s="281">
        <f>'[42]Tab 55 p4'!O7</f>
        <v>1072740.6115384614</v>
      </c>
      <c r="I8" s="281">
        <f t="shared" ref="I8:I11" si="0">H8</f>
        <v>1072740.6115384614</v>
      </c>
      <c r="K8"/>
      <c r="N8" s="261">
        <v>143115</v>
      </c>
      <c r="O8" s="261">
        <v>143115</v>
      </c>
    </row>
    <row r="9" spans="1:23" ht="14.4" x14ac:dyDescent="0.3">
      <c r="D9" s="261" t="s">
        <v>368</v>
      </c>
      <c r="F9" s="278">
        <v>-47027</v>
      </c>
      <c r="G9" s="46">
        <v>0</v>
      </c>
      <c r="H9" s="46">
        <v>0</v>
      </c>
      <c r="I9" s="281">
        <f t="shared" si="0"/>
        <v>0</v>
      </c>
      <c r="K9"/>
      <c r="N9" s="261">
        <v>0</v>
      </c>
      <c r="O9" s="261">
        <v>0</v>
      </c>
    </row>
    <row r="10" spans="1:23" ht="14.4" x14ac:dyDescent="0.3">
      <c r="C10" s="261" t="s">
        <v>153</v>
      </c>
      <c r="F10" s="278">
        <v>3777901</v>
      </c>
      <c r="G10" s="280">
        <v>1345275.49</v>
      </c>
      <c r="H10" s="281">
        <f>'[42]Tab 55 p4'!O6</f>
        <v>1143702.0207692308</v>
      </c>
      <c r="I10" s="281">
        <f t="shared" si="0"/>
        <v>1143702.0207692308</v>
      </c>
      <c r="K10"/>
      <c r="N10" s="261">
        <v>0</v>
      </c>
      <c r="O10" s="261">
        <v>0</v>
      </c>
      <c r="Q10" s="282" t="s">
        <v>981</v>
      </c>
      <c r="R10" s="282"/>
      <c r="S10" s="282"/>
      <c r="T10" s="282"/>
      <c r="U10" s="282"/>
    </row>
    <row r="11" spans="1:23" ht="14.4" x14ac:dyDescent="0.3">
      <c r="C11" s="261" t="s">
        <v>154</v>
      </c>
      <c r="F11" s="278">
        <v>4542382</v>
      </c>
      <c r="G11" s="280">
        <v>1746957</v>
      </c>
      <c r="H11" s="281">
        <f>'[42]Tab 55 p5'!G15</f>
        <v>1747660.73</v>
      </c>
      <c r="I11" s="281">
        <f t="shared" si="0"/>
        <v>1747660.73</v>
      </c>
      <c r="K11"/>
      <c r="N11" s="261">
        <v>0</v>
      </c>
      <c r="O11" s="261">
        <v>0</v>
      </c>
      <c r="Q11" s="282"/>
      <c r="R11" s="282"/>
      <c r="S11" s="282"/>
      <c r="T11" s="282"/>
      <c r="U11" s="282"/>
    </row>
    <row r="12" spans="1:23" ht="16.2" x14ac:dyDescent="0.45">
      <c r="C12" s="261" t="s">
        <v>156</v>
      </c>
      <c r="F12" s="276">
        <f>+[43]Return!N53/8</f>
        <v>1650364.8333333333</v>
      </c>
      <c r="G12" s="283">
        <f>([42]Return!I48/8)+N12</f>
        <v>2117135.1825000006</v>
      </c>
      <c r="H12" s="284">
        <f>(+[42]Return!J48-[42]Return!J41)/8</f>
        <v>2000868.7136554644</v>
      </c>
      <c r="I12" s="284">
        <f>(+[42]Return!K48-[42]Return!K41)/8</f>
        <v>2000868.7136554644</v>
      </c>
      <c r="K12"/>
      <c r="N12" s="261">
        <v>206686.75</v>
      </c>
      <c r="O12" s="261">
        <v>206686.75</v>
      </c>
      <c r="Q12" s="282"/>
      <c r="R12" s="282"/>
      <c r="S12" s="282"/>
      <c r="T12" s="282">
        <v>2009</v>
      </c>
      <c r="U12" s="282">
        <v>2020</v>
      </c>
    </row>
    <row r="13" spans="1:23" ht="16.2" x14ac:dyDescent="0.45">
      <c r="D13" s="261" t="s">
        <v>5</v>
      </c>
      <c r="F13" s="276">
        <f>SUM(F7:F12)</f>
        <v>12197878.833333334</v>
      </c>
      <c r="G13" s="45">
        <f>SUM(G7:G12)</f>
        <v>6972394.2725000009</v>
      </c>
      <c r="H13" s="45">
        <f>SUM(H7:H12)</f>
        <v>6569877.3505785409</v>
      </c>
      <c r="I13" s="45">
        <f>SUM(I7:I12)</f>
        <v>6569877.3505785409</v>
      </c>
      <c r="K13"/>
      <c r="N13" s="45">
        <f>SUM(N7:N12)</f>
        <v>349801.75</v>
      </c>
      <c r="O13" s="45">
        <f>SUM(O7:O12)</f>
        <v>349801.75</v>
      </c>
      <c r="Q13" s="282"/>
      <c r="R13" s="282"/>
      <c r="S13" s="282"/>
      <c r="T13" s="282"/>
      <c r="U13" s="282"/>
    </row>
    <row r="14" spans="1:23" ht="14.4" x14ac:dyDescent="0.3">
      <c r="F14" s="278"/>
      <c r="G14" s="46"/>
      <c r="H14" s="285"/>
      <c r="I14" s="285"/>
      <c r="K14"/>
      <c r="Q14" s="282" t="s">
        <v>982</v>
      </c>
      <c r="R14" s="282"/>
      <c r="S14" s="282"/>
      <c r="T14" s="286">
        <v>195036489</v>
      </c>
      <c r="U14" s="286">
        <v>264963112</v>
      </c>
      <c r="W14" s="287">
        <f>265024086.53-U14</f>
        <v>60974.530000001192</v>
      </c>
    </row>
    <row r="15" spans="1:23" ht="14.4" x14ac:dyDescent="0.3">
      <c r="A15" s="261" t="s">
        <v>158</v>
      </c>
      <c r="C15" s="261" t="s">
        <v>983</v>
      </c>
      <c r="F15" s="278">
        <f>+F43</f>
        <v>-70117834</v>
      </c>
      <c r="G15" s="281">
        <f>+G43</f>
        <v>-116957436.78</v>
      </c>
      <c r="H15" s="325">
        <f>+H43</f>
        <v>-118940848.98</v>
      </c>
      <c r="I15" s="281">
        <f>+I43</f>
        <v>-127857042.66777468</v>
      </c>
      <c r="K15"/>
      <c r="N15" s="261">
        <v>-848224</v>
      </c>
      <c r="O15" s="261">
        <v>-848224</v>
      </c>
      <c r="Q15" s="282"/>
      <c r="R15" s="282"/>
      <c r="S15" s="282"/>
      <c r="T15" s="282"/>
      <c r="U15" s="282"/>
    </row>
    <row r="16" spans="1:23" ht="14.4" x14ac:dyDescent="0.3">
      <c r="C16" s="261" t="s">
        <v>161</v>
      </c>
      <c r="F16" s="278">
        <v>-54605</v>
      </c>
      <c r="G16" s="281">
        <f>'[42]3 31 21 Bal Sheet'!J105</f>
        <v>-115558.91</v>
      </c>
      <c r="H16" s="281">
        <f>'[42]3 31 21 Bal Sheet'!I105</f>
        <v>-457600.2</v>
      </c>
      <c r="I16" s="281">
        <f t="shared" ref="I16" si="1">H16</f>
        <v>-457600.2</v>
      </c>
      <c r="K16"/>
      <c r="N16" s="261">
        <v>0</v>
      </c>
      <c r="O16" s="261">
        <v>0</v>
      </c>
      <c r="Q16" s="282"/>
      <c r="R16" s="282" t="s">
        <v>984</v>
      </c>
      <c r="S16" s="282"/>
      <c r="T16" s="286">
        <v>4208069</v>
      </c>
      <c r="U16" s="288">
        <v>4208069</v>
      </c>
    </row>
    <row r="17" spans="1:22" ht="16.2" x14ac:dyDescent="0.45">
      <c r="C17" s="261" t="s">
        <v>985</v>
      </c>
      <c r="F17" s="276">
        <f>+F51</f>
        <v>-29427209</v>
      </c>
      <c r="G17" s="45">
        <f>+G51</f>
        <v>-43195788.000000007</v>
      </c>
      <c r="H17" s="284">
        <f>+H51</f>
        <v>-42472111</v>
      </c>
      <c r="I17" s="284">
        <f>+I51</f>
        <v>-42774952.343603849</v>
      </c>
      <c r="K17"/>
      <c r="N17" s="261">
        <v>-156442</v>
      </c>
      <c r="O17" s="261">
        <v>-156442</v>
      </c>
      <c r="Q17" s="282"/>
      <c r="R17" s="282" t="s">
        <v>550</v>
      </c>
      <c r="S17" s="282"/>
      <c r="T17" s="286">
        <v>501971</v>
      </c>
      <c r="U17" s="288">
        <v>4575747</v>
      </c>
    </row>
    <row r="18" spans="1:22" ht="15.6" x14ac:dyDescent="0.45">
      <c r="D18" s="261" t="s">
        <v>5</v>
      </c>
      <c r="F18" s="276">
        <f>SUM(F15:F17)</f>
        <v>-99599648</v>
      </c>
      <c r="G18" s="45">
        <f>SUM(G15:G17)</f>
        <v>-160268783.69</v>
      </c>
      <c r="H18" s="45">
        <f>SUM(H15:H17)</f>
        <v>-161870560.18000001</v>
      </c>
      <c r="I18" s="45">
        <f>SUM(I15:I17)</f>
        <v>-171089595.21137851</v>
      </c>
      <c r="N18" s="45">
        <f>SUM(N15:N17)</f>
        <v>-1004666</v>
      </c>
      <c r="O18" s="45">
        <f>SUM(O15:O17)</f>
        <v>-1004666</v>
      </c>
      <c r="Q18" s="282"/>
      <c r="R18" s="282" t="s">
        <v>986</v>
      </c>
      <c r="S18" s="282"/>
      <c r="T18" s="286">
        <v>-580759</v>
      </c>
      <c r="U18" s="288">
        <v>-580759</v>
      </c>
    </row>
    <row r="19" spans="1:22" x14ac:dyDescent="0.3">
      <c r="F19" s="278"/>
      <c r="G19" s="46"/>
      <c r="H19" s="46"/>
      <c r="I19" s="46"/>
      <c r="Q19" s="282"/>
      <c r="R19" s="282" t="s">
        <v>987</v>
      </c>
      <c r="S19" s="282"/>
      <c r="T19" s="286">
        <v>-138345</v>
      </c>
      <c r="U19" s="282"/>
      <c r="V19" s="261" t="s">
        <v>988</v>
      </c>
    </row>
    <row r="20" spans="1:22" ht="15.6" x14ac:dyDescent="0.45">
      <c r="A20" s="261" t="s">
        <v>142</v>
      </c>
      <c r="F20" s="289">
        <f>+F18+F13+F5</f>
        <v>111625655.83333333</v>
      </c>
      <c r="G20" s="47">
        <f>+G18+G13+G5</f>
        <v>122752305.16249999</v>
      </c>
      <c r="H20" s="47">
        <f>+H18+H13+H5</f>
        <v>122344868.23057854</v>
      </c>
      <c r="I20" s="47">
        <f>+I18+I13+I5</f>
        <v>136735988.92996925</v>
      </c>
      <c r="N20" s="47">
        <f>+N18+N13+N5</f>
        <v>2227660.75</v>
      </c>
      <c r="O20" s="47">
        <f>+O18+O13+O5</f>
        <v>2227660.75</v>
      </c>
      <c r="Q20" s="282"/>
      <c r="R20" s="282"/>
      <c r="S20" s="282"/>
      <c r="T20" s="286">
        <v>199027425</v>
      </c>
      <c r="U20" s="286">
        <v>273166169</v>
      </c>
      <c r="V20" s="290">
        <f>SUM(U14:U19)</f>
        <v>273166169</v>
      </c>
    </row>
    <row r="21" spans="1:22" x14ac:dyDescent="0.3">
      <c r="F21" s="278"/>
      <c r="G21" s="46"/>
      <c r="H21" s="285"/>
      <c r="I21" s="285"/>
      <c r="Q21" s="282"/>
      <c r="R21" s="282"/>
      <c r="S21" s="282"/>
      <c r="T21" s="282"/>
      <c r="U21" s="282"/>
    </row>
    <row r="22" spans="1:22" x14ac:dyDescent="0.3">
      <c r="F22" s="278"/>
      <c r="G22" s="279"/>
      <c r="H22" s="285"/>
      <c r="I22" s="285"/>
      <c r="Q22" s="282"/>
      <c r="R22" s="282"/>
      <c r="S22" s="282"/>
      <c r="T22" s="282"/>
      <c r="U22" s="282"/>
    </row>
    <row r="23" spans="1:22" x14ac:dyDescent="0.3">
      <c r="F23" s="278"/>
      <c r="G23" s="279"/>
      <c r="H23" s="285"/>
      <c r="I23" s="285"/>
      <c r="Q23" s="282"/>
      <c r="R23" s="282"/>
      <c r="S23" s="282"/>
      <c r="T23" s="282"/>
      <c r="U23" s="282"/>
    </row>
    <row r="24" spans="1:22" ht="15.6" x14ac:dyDescent="0.45">
      <c r="A24" s="261" t="s">
        <v>142</v>
      </c>
      <c r="F24" s="289">
        <f>+F22+F20</f>
        <v>111625655.83333333</v>
      </c>
      <c r="G24" s="291">
        <f>+G22+G20</f>
        <v>122752305.16249999</v>
      </c>
      <c r="H24" s="47">
        <f>+H22+H20</f>
        <v>122344868.23057854</v>
      </c>
      <c r="I24" s="47">
        <f>+I22+I20</f>
        <v>136735988.92996925</v>
      </c>
      <c r="N24" s="291">
        <f>+N22+N20</f>
        <v>2227660.75</v>
      </c>
      <c r="O24" s="291">
        <f>+O22+O20</f>
        <v>2227660.75</v>
      </c>
      <c r="Q24" s="282" t="s">
        <v>989</v>
      </c>
      <c r="R24" s="282"/>
      <c r="S24" s="282"/>
      <c r="T24" s="282"/>
      <c r="U24" s="282"/>
    </row>
    <row r="25" spans="1:22" x14ac:dyDescent="0.3">
      <c r="F25" s="278"/>
      <c r="G25" s="279"/>
      <c r="H25" s="285"/>
      <c r="I25" s="285"/>
      <c r="Q25" s="282"/>
      <c r="R25" s="282"/>
      <c r="S25" s="282"/>
      <c r="T25" s="282"/>
      <c r="U25" s="282"/>
    </row>
    <row r="26" spans="1:22" x14ac:dyDescent="0.3">
      <c r="A26" s="261" t="s">
        <v>990</v>
      </c>
      <c r="F26" s="292">
        <v>7.9702541716516848E-2</v>
      </c>
      <c r="G26" s="293">
        <v>0</v>
      </c>
      <c r="H26" s="294">
        <f>I26</f>
        <v>7.6497723496176007E-2</v>
      </c>
      <c r="I26" s="294">
        <f>'[42]Capital Structure'!O18</f>
        <v>7.6497723496176007E-2</v>
      </c>
      <c r="N26" s="261">
        <v>6.0532631140336829E-2</v>
      </c>
      <c r="O26" s="261">
        <v>6.0532631140336829E-2</v>
      </c>
      <c r="Q26" s="282"/>
      <c r="R26" s="282" t="s">
        <v>991</v>
      </c>
      <c r="S26" s="282"/>
      <c r="T26" s="286">
        <v>194957701</v>
      </c>
      <c r="U26" s="286">
        <v>269019074</v>
      </c>
    </row>
    <row r="27" spans="1:22" x14ac:dyDescent="0.3">
      <c r="F27" s="278"/>
      <c r="G27" s="279"/>
      <c r="H27" s="285"/>
      <c r="I27" s="285"/>
      <c r="Q27" s="282"/>
      <c r="R27" s="282" t="s">
        <v>984</v>
      </c>
      <c r="S27" s="282"/>
      <c r="T27" s="286">
        <v>4208069</v>
      </c>
      <c r="U27" s="286">
        <v>4208069</v>
      </c>
    </row>
    <row r="28" spans="1:22" ht="15.6" x14ac:dyDescent="0.45">
      <c r="A28" s="261" t="s">
        <v>992</v>
      </c>
      <c r="F28" s="289">
        <f>+F26*F20</f>
        <v>8896848.4906898011</v>
      </c>
      <c r="G28" s="291">
        <f>+G26*G20</f>
        <v>0</v>
      </c>
      <c r="H28" s="47">
        <f>+H26*H20</f>
        <v>9359103.9010788854</v>
      </c>
      <c r="I28" s="47">
        <f>+I26*I20</f>
        <v>10459991.87314097</v>
      </c>
      <c r="N28" s="261">
        <v>134846.16648555608</v>
      </c>
      <c r="O28" s="261">
        <v>134846.16648555608</v>
      </c>
      <c r="Q28" s="282"/>
      <c r="R28" s="282"/>
      <c r="S28" s="282"/>
      <c r="T28" s="286">
        <v>199165770</v>
      </c>
      <c r="U28" s="286">
        <v>273227143</v>
      </c>
      <c r="V28" s="290">
        <f>U26+U27</f>
        <v>273227143</v>
      </c>
    </row>
    <row r="29" spans="1:22" x14ac:dyDescent="0.3">
      <c r="F29" s="278"/>
      <c r="G29" s="279"/>
      <c r="H29" s="285"/>
      <c r="I29" s="285"/>
      <c r="Q29" s="282"/>
      <c r="R29" s="282" t="s">
        <v>993</v>
      </c>
      <c r="S29" s="282"/>
      <c r="T29" s="286">
        <v>-138345</v>
      </c>
      <c r="U29" s="286">
        <v>-60974</v>
      </c>
      <c r="V29" s="269" t="s">
        <v>994</v>
      </c>
    </row>
    <row r="30" spans="1:22" x14ac:dyDescent="0.3">
      <c r="A30" s="295" t="s">
        <v>995</v>
      </c>
      <c r="B30" s="295"/>
      <c r="C30" s="295"/>
      <c r="D30" s="295"/>
      <c r="E30" s="295"/>
      <c r="F30" s="278"/>
      <c r="G30" s="279"/>
      <c r="H30" s="285"/>
      <c r="I30" s="285"/>
      <c r="Q30" s="282"/>
      <c r="R30" s="282"/>
      <c r="S30" s="282"/>
      <c r="T30" s="286">
        <v>199027425</v>
      </c>
      <c r="U30" s="286">
        <v>273166169</v>
      </c>
      <c r="V30" s="290">
        <f>U28+U29</f>
        <v>273166169</v>
      </c>
    </row>
    <row r="31" spans="1:22" x14ac:dyDescent="0.3">
      <c r="F31" s="278"/>
      <c r="G31" s="279"/>
      <c r="H31" s="285"/>
      <c r="I31" s="285"/>
      <c r="Q31" s="282"/>
      <c r="R31" s="282"/>
      <c r="S31" s="282"/>
      <c r="T31" s="282"/>
      <c r="U31" s="282"/>
    </row>
    <row r="32" spans="1:22" x14ac:dyDescent="0.3">
      <c r="B32" s="261" t="s">
        <v>996</v>
      </c>
      <c r="F32" s="278"/>
      <c r="G32" s="279"/>
      <c r="H32" s="285"/>
      <c r="I32" s="285"/>
      <c r="Q32" s="282" t="s">
        <v>997</v>
      </c>
      <c r="R32" s="282"/>
      <c r="S32" s="282"/>
      <c r="T32" s="282" t="s">
        <v>998</v>
      </c>
      <c r="U32" s="282" t="s">
        <v>998</v>
      </c>
    </row>
    <row r="33" spans="1:22" x14ac:dyDescent="0.3">
      <c r="C33" s="261" t="s">
        <v>999</v>
      </c>
      <c r="F33" s="278">
        <v>199165770</v>
      </c>
      <c r="G33" s="296">
        <f>'[42]3 31 21 Bal Sheet'!J13</f>
        <v>276109668.57999998</v>
      </c>
      <c r="H33" s="281">
        <f>'[42]3 31 21 Bal Sheet'!I13</f>
        <v>277645551.06</v>
      </c>
      <c r="I33" s="281">
        <f>'[42]2022 capex &amp; dep'!AF48</f>
        <v>301255706.79076922</v>
      </c>
      <c r="N33" s="261">
        <v>2882525</v>
      </c>
      <c r="O33" s="261">
        <v>2882525</v>
      </c>
      <c r="Q33" s="282"/>
      <c r="R33" s="282"/>
      <c r="S33" s="282"/>
      <c r="T33" s="282"/>
      <c r="U33" s="282"/>
    </row>
    <row r="34" spans="1:22" ht="15.6" x14ac:dyDescent="0.45">
      <c r="C34" s="261" t="s">
        <v>1000</v>
      </c>
      <c r="F34" s="276">
        <v>-138345</v>
      </c>
      <c r="G34" s="297">
        <f>U29</f>
        <v>-60974</v>
      </c>
      <c r="H34" s="297">
        <v>0</v>
      </c>
      <c r="I34" s="297">
        <f>H34</f>
        <v>0</v>
      </c>
      <c r="N34" s="261">
        <v>0</v>
      </c>
      <c r="O34" s="261">
        <v>0</v>
      </c>
      <c r="Q34" s="282"/>
      <c r="R34" s="282"/>
      <c r="S34" s="282"/>
      <c r="T34" s="282"/>
      <c r="U34" s="282"/>
    </row>
    <row r="35" spans="1:22" ht="15.6" x14ac:dyDescent="0.45">
      <c r="C35" s="261" t="s">
        <v>1001</v>
      </c>
      <c r="F35" s="276">
        <f>+F34+F33</f>
        <v>199027425</v>
      </c>
      <c r="G35" s="298">
        <f>+G34+G33</f>
        <v>276048694.57999998</v>
      </c>
      <c r="H35" s="297">
        <f>+H34+H33</f>
        <v>277645551.06</v>
      </c>
      <c r="I35" s="297">
        <f>+I34+I33</f>
        <v>301255706.79076922</v>
      </c>
      <c r="N35" s="298">
        <f>+N34+N33</f>
        <v>2882525</v>
      </c>
      <c r="O35" s="298">
        <f>+O34+O33</f>
        <v>2882525</v>
      </c>
      <c r="Q35" s="282"/>
      <c r="R35" s="282"/>
      <c r="S35" s="282"/>
      <c r="T35" s="282"/>
      <c r="U35" s="282"/>
    </row>
    <row r="36" spans="1:22" ht="15.6" x14ac:dyDescent="0.45">
      <c r="F36" s="289"/>
      <c r="G36" s="291"/>
      <c r="H36" s="299"/>
      <c r="I36" s="299"/>
      <c r="Q36" s="282"/>
      <c r="R36" s="282"/>
      <c r="S36" s="282"/>
      <c r="T36" s="282"/>
      <c r="U36" s="282"/>
    </row>
    <row r="37" spans="1:22" x14ac:dyDescent="0.3">
      <c r="B37" s="261" t="s">
        <v>1002</v>
      </c>
      <c r="F37" s="278"/>
      <c r="G37" s="279"/>
      <c r="H37" s="285"/>
      <c r="I37" s="285"/>
      <c r="Q37" s="282" t="s">
        <v>1003</v>
      </c>
      <c r="R37" s="282"/>
      <c r="S37" s="282"/>
      <c r="T37" s="286">
        <v>-70252241</v>
      </c>
      <c r="U37" s="286">
        <v>-114108809</v>
      </c>
    </row>
    <row r="38" spans="1:22" x14ac:dyDescent="0.3">
      <c r="C38" s="261" t="s">
        <v>1002</v>
      </c>
      <c r="F38" s="278">
        <v>-70176978</v>
      </c>
      <c r="G38" s="296">
        <f>'[42]3 31 21 Bal Sheet'!J15</f>
        <v>-116997280.78</v>
      </c>
      <c r="H38" s="281">
        <f>'[42]3 31 21 Bal Sheet'!I15</f>
        <v>-118940848.98</v>
      </c>
      <c r="I38" s="281">
        <f>'[42]2022 capex &amp; dep'!AF57</f>
        <v>-127857042.66777468</v>
      </c>
      <c r="N38" s="261">
        <v>-848224</v>
      </c>
      <c r="O38" s="261">
        <v>-848224</v>
      </c>
      <c r="Q38" s="282" t="s">
        <v>987</v>
      </c>
      <c r="R38" s="282"/>
      <c r="S38" s="282"/>
      <c r="T38" s="282"/>
      <c r="U38" s="286">
        <v>60974</v>
      </c>
    </row>
    <row r="39" spans="1:22" ht="15.6" x14ac:dyDescent="0.45">
      <c r="C39" s="261" t="s">
        <v>1004</v>
      </c>
      <c r="F39" s="276">
        <v>134408</v>
      </c>
      <c r="G39" s="300">
        <v>39844</v>
      </c>
      <c r="H39" s="301">
        <v>0</v>
      </c>
      <c r="I39" s="284">
        <f>H39</f>
        <v>0</v>
      </c>
      <c r="N39" s="261">
        <v>0</v>
      </c>
      <c r="O39" s="261">
        <v>0</v>
      </c>
      <c r="Q39" s="282" t="s">
        <v>1005</v>
      </c>
      <c r="R39" s="282"/>
      <c r="S39" s="282"/>
      <c r="T39" s="282"/>
      <c r="U39" s="286">
        <v>-2621007</v>
      </c>
    </row>
    <row r="40" spans="1:22" ht="15.6" x14ac:dyDescent="0.45">
      <c r="B40" s="261" t="s">
        <v>1006</v>
      </c>
      <c r="F40" s="302">
        <f>+F39+F38</f>
        <v>-70042570</v>
      </c>
      <c r="G40" s="303">
        <f>+G39+G38</f>
        <v>-116957436.78</v>
      </c>
      <c r="H40" s="304">
        <f>+H39+H38</f>
        <v>-118940848.98</v>
      </c>
      <c r="I40" s="305">
        <f>+I39+I38</f>
        <v>-127857042.66777468</v>
      </c>
      <c r="N40" s="303">
        <f>+N39+N38</f>
        <v>-848224</v>
      </c>
      <c r="O40" s="303">
        <f>+O39+O38</f>
        <v>-848224</v>
      </c>
      <c r="Q40" s="282" t="s">
        <v>1007</v>
      </c>
      <c r="R40" s="282"/>
      <c r="S40" s="282"/>
      <c r="T40" s="282"/>
      <c r="U40" s="286">
        <v>580759</v>
      </c>
    </row>
    <row r="41" spans="1:22" x14ac:dyDescent="0.3">
      <c r="D41" s="261" t="s">
        <v>1008</v>
      </c>
      <c r="F41" s="278">
        <f>-'[43]Schedule 4'!H120</f>
        <v>0</v>
      </c>
      <c r="G41" s="46">
        <v>0</v>
      </c>
      <c r="H41" s="285">
        <v>0</v>
      </c>
      <c r="I41" s="281">
        <v>0</v>
      </c>
      <c r="J41" s="267" t="s">
        <v>1009</v>
      </c>
      <c r="N41" s="261">
        <v>0</v>
      </c>
      <c r="O41" s="261">
        <v>0</v>
      </c>
      <c r="Q41" s="282"/>
      <c r="R41" s="282"/>
      <c r="S41" s="282"/>
      <c r="T41" s="286">
        <v>-70252241</v>
      </c>
      <c r="U41" s="286">
        <v>-116088083</v>
      </c>
      <c r="V41" s="290">
        <f>SUM(U35:U40)</f>
        <v>-116088083</v>
      </c>
    </row>
    <row r="42" spans="1:22" x14ac:dyDescent="0.3">
      <c r="C42" s="261" t="s">
        <v>1010</v>
      </c>
      <c r="F42" s="278">
        <v>-75264</v>
      </c>
      <c r="G42" s="306">
        <v>0</v>
      </c>
      <c r="H42" s="307">
        <v>0</v>
      </c>
      <c r="I42" s="281">
        <f>H42</f>
        <v>0</v>
      </c>
      <c r="N42" s="261">
        <v>0</v>
      </c>
      <c r="O42" s="261">
        <v>0</v>
      </c>
    </row>
    <row r="43" spans="1:22" ht="15.6" x14ac:dyDescent="0.45">
      <c r="C43" s="261" t="s">
        <v>1011</v>
      </c>
      <c r="F43" s="308">
        <f>SUM(F40:F42)</f>
        <v>-70117834</v>
      </c>
      <c r="G43" s="309">
        <f>SUM(G40:G42)</f>
        <v>-116957436.78</v>
      </c>
      <c r="H43" s="310">
        <f>SUM(H40:H42)</f>
        <v>-118940848.98</v>
      </c>
      <c r="I43" s="310">
        <f>SUM(I40:I42)</f>
        <v>-127857042.66777468</v>
      </c>
      <c r="N43" s="309">
        <f>SUM(N40:N42)</f>
        <v>-848224</v>
      </c>
      <c r="O43" s="309">
        <f>SUM(O40:O42)</f>
        <v>-848224</v>
      </c>
    </row>
    <row r="44" spans="1:22" x14ac:dyDescent="0.3">
      <c r="F44" s="278"/>
      <c r="G44" s="279"/>
      <c r="H44" s="285"/>
      <c r="I44" s="285"/>
    </row>
    <row r="45" spans="1:22" ht="15.6" x14ac:dyDescent="0.45">
      <c r="A45" s="261" t="s">
        <v>1012</v>
      </c>
      <c r="F45" s="308">
        <f>+F43+F35</f>
        <v>128909591</v>
      </c>
      <c r="G45" s="311">
        <f>+G43+G35</f>
        <v>159091257.79999998</v>
      </c>
      <c r="H45" s="299">
        <f>+H43+H35</f>
        <v>158704702.07999998</v>
      </c>
      <c r="I45" s="310">
        <f>+I43+I35</f>
        <v>173398664.12299454</v>
      </c>
      <c r="N45" s="311">
        <f>+N43+N35</f>
        <v>2034301</v>
      </c>
      <c r="O45" s="311">
        <f>+O43+O35</f>
        <v>2034301</v>
      </c>
      <c r="Q45" s="261" t="s">
        <v>1013</v>
      </c>
      <c r="T45" s="312">
        <v>128775184</v>
      </c>
      <c r="U45" s="312">
        <v>157078086</v>
      </c>
      <c r="V45" s="290">
        <f>U20+U41</f>
        <v>157078086</v>
      </c>
    </row>
    <row r="46" spans="1:22" x14ac:dyDescent="0.3">
      <c r="F46" s="278"/>
      <c r="G46" s="279">
        <f>+G45-F45</f>
        <v>30181666.799999982</v>
      </c>
      <c r="H46" s="285">
        <f>+H45-G45</f>
        <v>-386555.71999999881</v>
      </c>
      <c r="I46" s="285">
        <f>+I45-H45</f>
        <v>14693962.042994559</v>
      </c>
      <c r="Q46" s="261" t="s">
        <v>1014</v>
      </c>
      <c r="T46" s="312">
        <v>128775184</v>
      </c>
      <c r="U46" s="312">
        <v>157078086</v>
      </c>
      <c r="V46" s="290">
        <f>U30+U41</f>
        <v>157078086</v>
      </c>
    </row>
    <row r="47" spans="1:22" x14ac:dyDescent="0.3">
      <c r="A47" s="261" t="s">
        <v>24</v>
      </c>
      <c r="F47" s="278"/>
      <c r="G47" s="279"/>
      <c r="H47" s="285"/>
      <c r="I47" s="285"/>
    </row>
    <row r="48" spans="1:22" x14ac:dyDescent="0.3">
      <c r="B48" s="261" t="s">
        <v>1015</v>
      </c>
      <c r="F48" s="278">
        <v>-157656</v>
      </c>
      <c r="G48" s="279">
        <v>0</v>
      </c>
      <c r="H48" s="285">
        <v>0</v>
      </c>
      <c r="I48" s="285">
        <v>0</v>
      </c>
      <c r="N48" s="261">
        <v>0</v>
      </c>
      <c r="O48" s="261">
        <v>0</v>
      </c>
      <c r="T48" s="261" t="s">
        <v>998</v>
      </c>
      <c r="U48" s="261" t="s">
        <v>998</v>
      </c>
    </row>
    <row r="49" spans="2:15" x14ac:dyDescent="0.3">
      <c r="B49" s="261" t="s">
        <v>1016</v>
      </c>
      <c r="F49" s="278"/>
      <c r="G49" s="281">
        <f>-('[42]ADIT 12 31 20'!K54+'[42]ADIT 12 31 20'!K55)</f>
        <v>-13915089.000000006</v>
      </c>
      <c r="H49" s="281">
        <f>-('[42]ADIT 3 31 21'!K56+'[42]ADIT 3 31 21'!K57)</f>
        <v>-13179041</v>
      </c>
      <c r="I49" s="281">
        <f>H49</f>
        <v>-13179041</v>
      </c>
    </row>
    <row r="50" spans="2:15" ht="15.6" x14ac:dyDescent="0.45">
      <c r="B50" s="261" t="s">
        <v>1017</v>
      </c>
      <c r="F50" s="276">
        <v>-29269553</v>
      </c>
      <c r="G50" s="284">
        <f>-'[42]ADIT 12 31 20'!K57-G49</f>
        <v>-29280699</v>
      </c>
      <c r="H50" s="284">
        <f>-'[42]ADIT 3 31 21'!K59-H49</f>
        <v>-29293070</v>
      </c>
      <c r="I50" s="284">
        <f>'[42]2022 capex &amp; dep'!AF67-I49</f>
        <v>-29595911.343603849</v>
      </c>
      <c r="N50" s="261">
        <v>-156442</v>
      </c>
      <c r="O50" s="261">
        <v>-156442</v>
      </c>
    </row>
    <row r="51" spans="2:15" ht="15.6" x14ac:dyDescent="0.45">
      <c r="C51" s="261" t="s">
        <v>1018</v>
      </c>
      <c r="F51" s="276">
        <f>+F50+F48</f>
        <v>-29427209</v>
      </c>
      <c r="G51" s="298">
        <f>SUM(G48:G50)</f>
        <v>-43195788.000000007</v>
      </c>
      <c r="H51" s="298">
        <f>SUM(H48:H50)</f>
        <v>-42472111</v>
      </c>
      <c r="I51" s="298">
        <f>SUM(I48:I50)</f>
        <v>-42774952.343603849</v>
      </c>
      <c r="N51" s="298">
        <f>SUM(N48:N50)</f>
        <v>-156442</v>
      </c>
      <c r="O51" s="298">
        <f>SUM(O48:O50)</f>
        <v>-156442</v>
      </c>
    </row>
    <row r="52" spans="2:15" x14ac:dyDescent="0.3">
      <c r="B52" s="261" t="s">
        <v>1019</v>
      </c>
      <c r="F52" s="278">
        <v>-216839</v>
      </c>
      <c r="G52" s="279">
        <v>0</v>
      </c>
      <c r="H52" s="285">
        <v>0</v>
      </c>
      <c r="I52" s="285">
        <v>0</v>
      </c>
    </row>
    <row r="53" spans="2:15" ht="15.6" x14ac:dyDescent="0.45">
      <c r="B53" s="261" t="s">
        <v>1020</v>
      </c>
      <c r="F53" s="276">
        <v>-1860584</v>
      </c>
      <c r="G53" s="298">
        <f>5363044+N53</f>
        <v>5440955</v>
      </c>
      <c r="H53" s="313">
        <f>5363044+N53</f>
        <v>5440955</v>
      </c>
      <c r="I53" s="313">
        <v>5363044</v>
      </c>
      <c r="N53" s="261">
        <v>77911</v>
      </c>
      <c r="O53" s="261">
        <v>77911</v>
      </c>
    </row>
    <row r="54" spans="2:15" ht="15.6" x14ac:dyDescent="0.45">
      <c r="C54" s="261" t="s">
        <v>1021</v>
      </c>
      <c r="F54" s="276">
        <f>SUM(F52:F53)</f>
        <v>-2077423</v>
      </c>
      <c r="G54" s="298">
        <f>SUM(G52:G53)</f>
        <v>5440955</v>
      </c>
      <c r="H54" s="313">
        <f>SUM(H52:H53)</f>
        <v>5440955</v>
      </c>
      <c r="I54" s="313">
        <f>SUM(I52:I53)</f>
        <v>5363044</v>
      </c>
      <c r="N54" s="298">
        <f>SUM(N52:N53)</f>
        <v>77911</v>
      </c>
      <c r="O54" s="298">
        <f>SUM(O52:O53)</f>
        <v>77911</v>
      </c>
    </row>
    <row r="55" spans="2:15" ht="15.6" x14ac:dyDescent="0.45">
      <c r="F55" s="289">
        <f>+F54+F51</f>
        <v>-31504632</v>
      </c>
      <c r="G55" s="291">
        <f>+G54+G51</f>
        <v>-37754833.000000007</v>
      </c>
      <c r="H55" s="299">
        <f>+H54+H51</f>
        <v>-37031156</v>
      </c>
      <c r="I55" s="299">
        <f>+I54+I51</f>
        <v>-37411908.343603849</v>
      </c>
      <c r="N55" s="291">
        <f>+N54+N51</f>
        <v>-78531</v>
      </c>
      <c r="O55" s="291">
        <f>+O54+O51</f>
        <v>-78531</v>
      </c>
    </row>
    <row r="56" spans="2:15" x14ac:dyDescent="0.3">
      <c r="F56" s="278"/>
      <c r="G56" s="279"/>
      <c r="H56" s="285"/>
      <c r="I56" s="285"/>
    </row>
    <row r="57" spans="2:15" x14ac:dyDescent="0.3">
      <c r="B57" s="261" t="s">
        <v>1022</v>
      </c>
      <c r="D57" s="269"/>
      <c r="F57" s="278"/>
      <c r="G57" s="279"/>
      <c r="H57" s="285"/>
      <c r="I57" s="285"/>
      <c r="N57" s="261">
        <v>0</v>
      </c>
      <c r="O57" s="261">
        <v>0</v>
      </c>
    </row>
    <row r="58" spans="2:15" x14ac:dyDescent="0.3">
      <c r="B58" s="261" t="s">
        <v>1023</v>
      </c>
      <c r="F58" s="278">
        <v>-374495</v>
      </c>
      <c r="G58" s="279">
        <v>0</v>
      </c>
      <c r="H58" s="285">
        <v>0</v>
      </c>
      <c r="I58" s="285">
        <v>0</v>
      </c>
      <c r="N58" s="261">
        <v>-78531</v>
      </c>
      <c r="O58" s="261">
        <v>-78531</v>
      </c>
    </row>
    <row r="59" spans="2:15" ht="15.6" x14ac:dyDescent="0.45">
      <c r="B59" s="261" t="s">
        <v>1024</v>
      </c>
      <c r="F59" s="276">
        <v>-31130136</v>
      </c>
      <c r="G59" s="298">
        <v>-23360373</v>
      </c>
      <c r="H59" s="313">
        <v>-23360373</v>
      </c>
      <c r="I59" s="313">
        <v>-23360373</v>
      </c>
      <c r="N59" s="261">
        <v>-78531</v>
      </c>
      <c r="O59" s="261">
        <v>-78531</v>
      </c>
    </row>
    <row r="60" spans="2:15" ht="15.6" x14ac:dyDescent="0.45">
      <c r="F60" s="289">
        <f>+F59+F58</f>
        <v>-31504631</v>
      </c>
      <c r="G60" s="291">
        <f>+G59+G58</f>
        <v>-23360373</v>
      </c>
      <c r="H60" s="299">
        <f>+H59+H58</f>
        <v>-23360373</v>
      </c>
      <c r="I60" s="299">
        <f>+I59+I58</f>
        <v>-23360373</v>
      </c>
      <c r="N60" s="291">
        <f>+N59+N58</f>
        <v>-157062</v>
      </c>
      <c r="O60" s="291">
        <f>+O59+O58</f>
        <v>-157062</v>
      </c>
    </row>
    <row r="61" spans="2:15" x14ac:dyDescent="0.3">
      <c r="F61" s="278"/>
      <c r="G61" s="279"/>
      <c r="H61" s="285"/>
      <c r="I61" s="279"/>
      <c r="N61" s="261">
        <v>0</v>
      </c>
    </row>
    <row r="62" spans="2:15" x14ac:dyDescent="0.3">
      <c r="F62" s="278">
        <f>+F55-F60</f>
        <v>-1</v>
      </c>
      <c r="G62" s="279">
        <f>+G55-G60</f>
        <v>-14394460.000000007</v>
      </c>
      <c r="H62" s="285">
        <f>+H55-H60</f>
        <v>-13670783</v>
      </c>
      <c r="I62" s="279"/>
      <c r="N62" s="279">
        <f>+N55-N60</f>
        <v>78531</v>
      </c>
      <c r="O62" s="279">
        <f>+O55-O60</f>
        <v>78531</v>
      </c>
    </row>
    <row r="63" spans="2:15" x14ac:dyDescent="0.3">
      <c r="F63" s="267"/>
      <c r="G63" s="279"/>
      <c r="H63" s="285"/>
      <c r="N63" s="261">
        <v>-156442</v>
      </c>
    </row>
    <row r="64" spans="2:15" x14ac:dyDescent="0.3">
      <c r="F64" s="267"/>
      <c r="G64" s="279">
        <f>+G50-F50</f>
        <v>-11146</v>
      </c>
      <c r="H64" s="279">
        <f>+H50-G50</f>
        <v>-12371</v>
      </c>
      <c r="I64" s="267"/>
    </row>
    <row r="65" spans="6:14" x14ac:dyDescent="0.3">
      <c r="F65" s="267"/>
      <c r="G65" s="279"/>
      <c r="H65" s="279"/>
      <c r="N65" s="261">
        <v>-7.6902090693560091E-2</v>
      </c>
    </row>
    <row r="66" spans="6:14" x14ac:dyDescent="0.3">
      <c r="F66" s="267"/>
      <c r="G66" s="314">
        <f>+G64/G46</f>
        <v>-3.6929703299222715E-4</v>
      </c>
      <c r="H66" s="314">
        <f>+H64/H46</f>
        <v>3.2003148213665129E-2</v>
      </c>
    </row>
    <row r="67" spans="6:14" x14ac:dyDescent="0.3">
      <c r="F67" s="267"/>
      <c r="H67" s="279"/>
    </row>
    <row r="68" spans="6:14" x14ac:dyDescent="0.3">
      <c r="F68" s="267"/>
      <c r="H68" s="279"/>
    </row>
    <row r="69" spans="6:14" x14ac:dyDescent="0.3">
      <c r="F69" s="267"/>
      <c r="H69" s="279"/>
    </row>
    <row r="70" spans="6:14" x14ac:dyDescent="0.3">
      <c r="F70" s="267"/>
      <c r="H70" s="279"/>
    </row>
  </sheetData>
  <pageMargins left="0.7" right="0.7" top="0.75" bottom="0.75" header="0.3" footer="0.3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3FC0-943C-468A-A9FD-D412FCD3BDE6}">
  <dimension ref="A2:E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39" sqref="C39"/>
    </sheetView>
  </sheetViews>
  <sheetFormatPr defaultRowHeight="14.4" x14ac:dyDescent="0.3"/>
  <cols>
    <col min="1" max="1" width="8.33203125" style="1" bestFit="1" customWidth="1"/>
    <col min="2" max="2" width="53.88671875" bestFit="1" customWidth="1"/>
    <col min="3" max="3" width="15.6640625" style="1" customWidth="1"/>
    <col min="4" max="4" width="17.88671875" style="1" customWidth="1"/>
    <col min="5" max="5" width="18" style="1" customWidth="1"/>
  </cols>
  <sheetData>
    <row r="2" spans="1:5" x14ac:dyDescent="0.3">
      <c r="A2" s="255" t="s">
        <v>121</v>
      </c>
      <c r="B2" s="255"/>
      <c r="C2" s="255"/>
      <c r="D2" s="255"/>
      <c r="E2" s="255"/>
    </row>
    <row r="3" spans="1:5" s="3" customFormat="1" ht="63" customHeight="1" x14ac:dyDescent="0.3">
      <c r="A3" s="2" t="s">
        <v>30</v>
      </c>
      <c r="B3" s="3" t="s">
        <v>31</v>
      </c>
      <c r="C3" s="2" t="s">
        <v>32</v>
      </c>
      <c r="D3" s="2" t="s">
        <v>33</v>
      </c>
      <c r="E3" s="2" t="s">
        <v>34</v>
      </c>
    </row>
    <row r="4" spans="1:5" x14ac:dyDescent="0.3">
      <c r="A4" s="1">
        <v>1</v>
      </c>
      <c r="B4" s="30" t="s">
        <v>0</v>
      </c>
      <c r="C4" s="4"/>
      <c r="D4" s="4"/>
      <c r="E4" s="4"/>
    </row>
    <row r="5" spans="1:5" x14ac:dyDescent="0.3">
      <c r="A5" s="1">
        <f>A4+1</f>
        <v>2</v>
      </c>
      <c r="B5" s="30" t="s">
        <v>1</v>
      </c>
      <c r="C5" s="4"/>
      <c r="D5" s="4"/>
      <c r="E5" s="4"/>
    </row>
    <row r="6" spans="1:5" x14ac:dyDescent="0.3">
      <c r="A6" s="1">
        <f t="shared" ref="A6:A45" si="0">A5+1</f>
        <v>3</v>
      </c>
      <c r="B6" t="s">
        <v>2</v>
      </c>
      <c r="C6" s="19">
        <f t="shared" ref="C6:C12" si="1">E6+D6</f>
        <v>64034228.956923082</v>
      </c>
      <c r="D6" s="19">
        <f>'Balance Sheets &amp; Capitalization'!O88</f>
        <v>66670000.78461539</v>
      </c>
      <c r="E6" s="19">
        <f>'Balance Sheets &amp; Capitalization'!AE88</f>
        <v>-2635771.8276923085</v>
      </c>
    </row>
    <row r="7" spans="1:5" x14ac:dyDescent="0.3">
      <c r="A7" s="1">
        <f t="shared" si="0"/>
        <v>4</v>
      </c>
      <c r="B7" t="s">
        <v>3</v>
      </c>
      <c r="C7" s="19">
        <f t="shared" si="1"/>
        <v>44357261.488461532</v>
      </c>
      <c r="D7" s="19">
        <f>'Balance Sheets &amp; Capitalization'!O87</f>
        <v>44038461.488461532</v>
      </c>
      <c r="E7" s="19">
        <f>'Balance Sheets &amp; Capitalization'!AE87</f>
        <v>318800</v>
      </c>
    </row>
    <row r="8" spans="1:5" x14ac:dyDescent="0.3">
      <c r="A8" s="1">
        <f t="shared" si="0"/>
        <v>5</v>
      </c>
      <c r="B8" t="s">
        <v>4</v>
      </c>
      <c r="C8" s="20">
        <f t="shared" si="1"/>
        <v>17313656.173269231</v>
      </c>
      <c r="D8" s="20">
        <f>'Balance Sheets &amp; Capitalization'!O86</f>
        <v>12928167.372500001</v>
      </c>
      <c r="E8" s="20">
        <f>'Balance Sheets &amp; Capitalization'!AE86</f>
        <v>4385488.8007692304</v>
      </c>
    </row>
    <row r="9" spans="1:5" x14ac:dyDescent="0.3">
      <c r="A9" s="1">
        <f t="shared" si="0"/>
        <v>6</v>
      </c>
      <c r="B9" t="s">
        <v>5</v>
      </c>
      <c r="C9" s="19">
        <f>SUM(C6:C8)</f>
        <v>125705146.61865385</v>
      </c>
      <c r="D9" s="19">
        <f t="shared" ref="D9:E9" si="2">SUM(D6:D8)</f>
        <v>123636629.64557692</v>
      </c>
      <c r="E9" s="19">
        <f t="shared" si="2"/>
        <v>2068516.9730769219</v>
      </c>
    </row>
    <row r="10" spans="1:5" x14ac:dyDescent="0.3">
      <c r="A10" s="1">
        <f t="shared" si="0"/>
        <v>7</v>
      </c>
      <c r="B10" s="30" t="s">
        <v>134</v>
      </c>
      <c r="C10" s="19"/>
      <c r="D10" s="19"/>
      <c r="E10" s="19"/>
    </row>
    <row r="11" spans="1:5" x14ac:dyDescent="0.3">
      <c r="A11" s="1">
        <f t="shared" si="0"/>
        <v>8</v>
      </c>
      <c r="B11" t="s">
        <v>6</v>
      </c>
      <c r="C11" s="19">
        <f t="shared" si="1"/>
        <v>0</v>
      </c>
      <c r="D11" s="19">
        <v>0</v>
      </c>
      <c r="E11" s="19">
        <v>0</v>
      </c>
    </row>
    <row r="12" spans="1:5" x14ac:dyDescent="0.3">
      <c r="A12" s="1">
        <f t="shared" si="0"/>
        <v>9</v>
      </c>
      <c r="B12" t="s">
        <v>7</v>
      </c>
      <c r="C12" s="20">
        <f t="shared" si="1"/>
        <v>0</v>
      </c>
      <c r="D12" s="20">
        <v>0</v>
      </c>
      <c r="E12" s="20">
        <v>0</v>
      </c>
    </row>
    <row r="13" spans="1:5" x14ac:dyDescent="0.3">
      <c r="A13" s="1">
        <f t="shared" si="0"/>
        <v>10</v>
      </c>
      <c r="B13" t="s">
        <v>5</v>
      </c>
      <c r="C13" s="19">
        <f>C11+C12</f>
        <v>0</v>
      </c>
      <c r="D13" s="19">
        <f t="shared" ref="D13:E13" si="3">D11+D12</f>
        <v>0</v>
      </c>
      <c r="E13" s="19">
        <f t="shared" si="3"/>
        <v>0</v>
      </c>
    </row>
    <row r="14" spans="1:5" ht="15" thickBot="1" x14ac:dyDescent="0.35">
      <c r="A14" s="1">
        <f t="shared" si="0"/>
        <v>11</v>
      </c>
      <c r="B14" s="30" t="s">
        <v>8</v>
      </c>
      <c r="C14" s="21">
        <f>C9+C13</f>
        <v>125705146.61865385</v>
      </c>
      <c r="D14" s="21">
        <f t="shared" ref="D14:E14" si="4">D9+D13</f>
        <v>123636629.64557692</v>
      </c>
      <c r="E14" s="21">
        <f t="shared" si="4"/>
        <v>2068516.9730769219</v>
      </c>
    </row>
    <row r="15" spans="1:5" ht="15" thickTop="1" x14ac:dyDescent="0.3">
      <c r="A15" s="1">
        <f t="shared" si="0"/>
        <v>12</v>
      </c>
      <c r="C15" s="19"/>
      <c r="D15" s="19"/>
      <c r="E15" s="19"/>
    </row>
    <row r="16" spans="1:5" x14ac:dyDescent="0.3">
      <c r="A16" s="1">
        <f t="shared" si="0"/>
        <v>13</v>
      </c>
      <c r="B16" s="30" t="s">
        <v>9</v>
      </c>
      <c r="C16" s="19"/>
      <c r="D16" s="19"/>
      <c r="E16" s="19"/>
    </row>
    <row r="17" spans="1:5" x14ac:dyDescent="0.3">
      <c r="A17" s="1">
        <f t="shared" si="0"/>
        <v>14</v>
      </c>
      <c r="B17" t="s">
        <v>10</v>
      </c>
      <c r="C17" s="19">
        <f>E17+D17</f>
        <v>0</v>
      </c>
      <c r="D17" s="19">
        <v>0</v>
      </c>
      <c r="E17" s="19">
        <v>0</v>
      </c>
    </row>
    <row r="18" spans="1:5" x14ac:dyDescent="0.3">
      <c r="A18" s="1">
        <f t="shared" si="0"/>
        <v>15</v>
      </c>
      <c r="B18" t="s">
        <v>11</v>
      </c>
      <c r="C18" s="19">
        <f t="shared" ref="C18:C23" si="5">E18+D18</f>
        <v>1312357.5784615388</v>
      </c>
      <c r="D18" s="19">
        <f>'Balance Sheets &amp; Capitalization'!O24</f>
        <v>1312357.5784615388</v>
      </c>
      <c r="E18" s="19">
        <f>'Balance Sheets &amp; Capitalization'!AE24</f>
        <v>0</v>
      </c>
    </row>
    <row r="19" spans="1:5" x14ac:dyDescent="0.3">
      <c r="A19" s="1">
        <f t="shared" si="0"/>
        <v>16</v>
      </c>
      <c r="B19" t="s">
        <v>12</v>
      </c>
      <c r="C19" s="19">
        <f t="shared" si="5"/>
        <v>575972.84769230767</v>
      </c>
      <c r="D19" s="19">
        <f>'Balance Sheets &amp; Capitalization'!O5</f>
        <v>562462.36461538461</v>
      </c>
      <c r="E19" s="19">
        <f>'Balance Sheets &amp; Capitalization'!AE5</f>
        <v>13510.483076923074</v>
      </c>
    </row>
    <row r="20" spans="1:5" x14ac:dyDescent="0.3">
      <c r="A20" s="1">
        <f t="shared" si="0"/>
        <v>17</v>
      </c>
      <c r="B20" t="s">
        <v>13</v>
      </c>
      <c r="C20" s="19">
        <f t="shared" si="5"/>
        <v>4727770.79</v>
      </c>
      <c r="D20" s="19">
        <f>SUM('Balance Sheets &amp; Capitalization'!O7:O9)</f>
        <v>4517525.8946153848</v>
      </c>
      <c r="E20" s="19">
        <f>SUM('Balance Sheets &amp; Capitalization'!AE7:AE9)</f>
        <v>210244.89538461537</v>
      </c>
    </row>
    <row r="21" spans="1:5" x14ac:dyDescent="0.3">
      <c r="A21" s="1">
        <f t="shared" si="0"/>
        <v>18</v>
      </c>
      <c r="B21" t="s">
        <v>14</v>
      </c>
      <c r="C21" s="19">
        <f t="shared" si="5"/>
        <v>805174.46230769227</v>
      </c>
      <c r="D21" s="19">
        <f>'Balance Sheets &amp; Capitalization'!O20</f>
        <v>767562.01230769232</v>
      </c>
      <c r="E21" s="19">
        <f>'Balance Sheets &amp; Capitalization'!AE20</f>
        <v>37612.450000000004</v>
      </c>
    </row>
    <row r="22" spans="1:5" x14ac:dyDescent="0.3">
      <c r="A22" s="1">
        <f t="shared" si="0"/>
        <v>19</v>
      </c>
      <c r="B22" t="s">
        <v>15</v>
      </c>
      <c r="C22" s="19">
        <f t="shared" si="5"/>
        <v>10326128.78846154</v>
      </c>
      <c r="D22" s="19">
        <f>'Balance Sheets &amp; Capitalization'!O35</f>
        <v>10309465.753076924</v>
      </c>
      <c r="E22" s="19">
        <f>'Balance Sheets &amp; Capitalization'!AE35</f>
        <v>16663.035384615388</v>
      </c>
    </row>
    <row r="23" spans="1:5" x14ac:dyDescent="0.3">
      <c r="A23" s="1">
        <f t="shared" si="0"/>
        <v>20</v>
      </c>
      <c r="B23" t="s">
        <v>16</v>
      </c>
      <c r="C23" s="20">
        <f t="shared" si="5"/>
        <v>1850417.8599999999</v>
      </c>
      <c r="D23" s="20">
        <f>'Balance Sheets &amp; Capitalization'!O37</f>
        <v>1650563.8053846152</v>
      </c>
      <c r="E23" s="20">
        <f>'Balance Sheets &amp; Capitalization'!AE37</f>
        <v>199854.05461538464</v>
      </c>
    </row>
    <row r="24" spans="1:5" x14ac:dyDescent="0.3">
      <c r="A24" s="1">
        <f t="shared" si="0"/>
        <v>21</v>
      </c>
      <c r="B24" t="s">
        <v>5</v>
      </c>
      <c r="C24" s="19">
        <f>SUM(C17:C23)</f>
        <v>19597822.32692308</v>
      </c>
      <c r="D24" s="19">
        <f t="shared" ref="D24:E24" si="6">SUM(D17:D23)</f>
        <v>19119937.408461537</v>
      </c>
      <c r="E24" s="19">
        <f t="shared" si="6"/>
        <v>477884.9184615385</v>
      </c>
    </row>
    <row r="25" spans="1:5" x14ac:dyDescent="0.3">
      <c r="A25" s="1">
        <f t="shared" si="0"/>
        <v>22</v>
      </c>
      <c r="C25" s="19"/>
      <c r="D25" s="19"/>
      <c r="E25" s="19"/>
    </row>
    <row r="26" spans="1:5" x14ac:dyDescent="0.3">
      <c r="A26" s="1">
        <f t="shared" si="0"/>
        <v>23</v>
      </c>
      <c r="B26" s="30" t="s">
        <v>133</v>
      </c>
      <c r="C26" s="19"/>
      <c r="D26" s="19"/>
      <c r="E26" s="19"/>
    </row>
    <row r="27" spans="1:5" x14ac:dyDescent="0.3">
      <c r="A27" s="1">
        <f t="shared" si="0"/>
        <v>24</v>
      </c>
      <c r="B27" t="s">
        <v>17</v>
      </c>
      <c r="C27" s="19">
        <f>E27+D27</f>
        <v>0</v>
      </c>
      <c r="D27" s="19">
        <v>0</v>
      </c>
      <c r="E27" s="19">
        <v>0</v>
      </c>
    </row>
    <row r="28" spans="1:5" x14ac:dyDescent="0.3">
      <c r="A28" s="1">
        <f t="shared" si="0"/>
        <v>25</v>
      </c>
      <c r="B28" t="s">
        <v>18</v>
      </c>
      <c r="C28" s="19">
        <f t="shared" ref="C28:C34" si="7">E28+D28</f>
        <v>0</v>
      </c>
      <c r="D28" s="31">
        <v>0</v>
      </c>
      <c r="E28" s="31">
        <v>0</v>
      </c>
    </row>
    <row r="29" spans="1:5" x14ac:dyDescent="0.3">
      <c r="A29" s="1">
        <f t="shared" si="0"/>
        <v>26</v>
      </c>
      <c r="B29" t="s">
        <v>19</v>
      </c>
      <c r="C29" s="19">
        <f t="shared" si="7"/>
        <v>18809792.240000006</v>
      </c>
      <c r="D29" s="19">
        <f>-'Balance Sheets &amp; Capitalization'!O97</f>
        <v>19093127.009230774</v>
      </c>
      <c r="E29" s="19">
        <f>-'Balance Sheets &amp; Capitalization'!AE96</f>
        <v>-283334.76923076925</v>
      </c>
    </row>
    <row r="30" spans="1:5" x14ac:dyDescent="0.3">
      <c r="A30" s="1">
        <f t="shared" si="0"/>
        <v>27</v>
      </c>
      <c r="B30" t="s">
        <v>20</v>
      </c>
      <c r="C30" s="19">
        <f t="shared" si="7"/>
        <v>2932114.8753846157</v>
      </c>
      <c r="D30" s="19">
        <f>'Balance Sheets &amp; Capitalization'!O68</f>
        <v>2932114.8753846157</v>
      </c>
      <c r="E30" s="19">
        <f>'Balance Sheets &amp; Capitalization'!AE68</f>
        <v>0</v>
      </c>
    </row>
    <row r="31" spans="1:5" x14ac:dyDescent="0.3">
      <c r="A31" s="1">
        <f t="shared" si="0"/>
        <v>28</v>
      </c>
      <c r="B31" t="s">
        <v>21</v>
      </c>
      <c r="C31" s="19">
        <f t="shared" si="7"/>
        <v>1987313.4961538462</v>
      </c>
      <c r="D31" s="19">
        <f>'Balance Sheets &amp; Capitalization'!O56</f>
        <v>1929698.0023076923</v>
      </c>
      <c r="E31" s="19">
        <f>'Balance Sheets &amp; Capitalization'!AE56</f>
        <v>57615.49384615384</v>
      </c>
    </row>
    <row r="32" spans="1:5" x14ac:dyDescent="0.3">
      <c r="A32" s="1">
        <f t="shared" si="0"/>
        <v>29</v>
      </c>
      <c r="B32" t="s">
        <v>22</v>
      </c>
      <c r="C32" s="19">
        <f t="shared" si="7"/>
        <v>1796424.1330769195</v>
      </c>
      <c r="D32" s="19">
        <f>'Balance Sheets &amp; Capitalization'!O73-D29</f>
        <v>1722859.9469230734</v>
      </c>
      <c r="E32" s="19">
        <f>'Balance Sheets &amp; Capitalization'!AE73-E29</f>
        <v>73564.186153846153</v>
      </c>
    </row>
    <row r="33" spans="1:5" x14ac:dyDescent="0.3">
      <c r="A33" s="1">
        <f t="shared" si="0"/>
        <v>30</v>
      </c>
      <c r="B33" t="s">
        <v>23</v>
      </c>
      <c r="C33" s="19">
        <f t="shared" si="7"/>
        <v>2505484.884615385</v>
      </c>
      <c r="D33" s="19">
        <f>'Balance Sheets &amp; Capitalization'!O69</f>
        <v>2349858.403846154</v>
      </c>
      <c r="E33" s="19">
        <f>'Balance Sheets &amp; Capitalization'!AE69</f>
        <v>155626.48076923078</v>
      </c>
    </row>
    <row r="34" spans="1:5" x14ac:dyDescent="0.3">
      <c r="A34" s="1">
        <f t="shared" si="0"/>
        <v>31</v>
      </c>
      <c r="B34" t="s">
        <v>24</v>
      </c>
      <c r="C34" s="20">
        <f t="shared" si="7"/>
        <v>-17467872.210512813</v>
      </c>
      <c r="D34" s="20">
        <f>'Balance Sheets &amp; Capitalization'!O67-'Tab 55 p12 (DT)'!C59</f>
        <v>-17833033.043846145</v>
      </c>
      <c r="E34" s="20">
        <f>'Balance Sheets &amp; Capitalization'!AE67-'Tab 55 p12 (DT)'!G59</f>
        <v>365160.83333333331</v>
      </c>
    </row>
    <row r="35" spans="1:5" x14ac:dyDescent="0.3">
      <c r="A35" s="1">
        <f t="shared" si="0"/>
        <v>32</v>
      </c>
      <c r="B35" t="s">
        <v>5</v>
      </c>
      <c r="C35" s="19">
        <f>SUM(C27:C34)</f>
        <v>10563257.418717962</v>
      </c>
      <c r="D35" s="19">
        <f t="shared" ref="D35:E35" si="8">SUM(D27:D34)</f>
        <v>10194625.193846166</v>
      </c>
      <c r="E35" s="19">
        <f t="shared" si="8"/>
        <v>368632.22487179481</v>
      </c>
    </row>
    <row r="36" spans="1:5" x14ac:dyDescent="0.3">
      <c r="A36" s="1">
        <f t="shared" si="0"/>
        <v>33</v>
      </c>
      <c r="C36" s="19"/>
      <c r="D36" s="19"/>
      <c r="E36" s="19"/>
    </row>
    <row r="37" spans="1:5" x14ac:dyDescent="0.3">
      <c r="A37" s="1">
        <f t="shared" si="0"/>
        <v>34</v>
      </c>
      <c r="B37" t="s">
        <v>25</v>
      </c>
      <c r="C37" s="19"/>
      <c r="D37" s="19"/>
      <c r="E37" s="19"/>
    </row>
    <row r="38" spans="1:5" x14ac:dyDescent="0.3">
      <c r="A38" s="1">
        <f t="shared" si="0"/>
        <v>35</v>
      </c>
      <c r="B38" t="s">
        <v>26</v>
      </c>
      <c r="C38" s="19">
        <f>E38+D38</f>
        <v>2000868.7136554644</v>
      </c>
      <c r="D38" s="19">
        <f>'Tab 55 p6'!J34</f>
        <v>2000868.7136554644</v>
      </c>
      <c r="E38" s="19"/>
    </row>
    <row r="39" spans="1:5" x14ac:dyDescent="0.3">
      <c r="A39" s="1">
        <f t="shared" si="0"/>
        <v>36</v>
      </c>
      <c r="B39" t="s">
        <v>139</v>
      </c>
      <c r="C39" s="19">
        <f>E39+D39</f>
        <v>1747660.73</v>
      </c>
      <c r="D39" s="19">
        <f>'Tab 55 p5'!G15</f>
        <v>1747660.73</v>
      </c>
      <c r="E39" s="19"/>
    </row>
    <row r="40" spans="1:5" x14ac:dyDescent="0.3">
      <c r="A40" s="1">
        <f t="shared" si="0"/>
        <v>37</v>
      </c>
      <c r="B40" t="s">
        <v>27</v>
      </c>
      <c r="C40" s="20">
        <f>E40+D40</f>
        <v>0</v>
      </c>
      <c r="D40" s="20"/>
      <c r="E40" s="20"/>
    </row>
    <row r="41" spans="1:5" x14ac:dyDescent="0.3">
      <c r="A41" s="1">
        <f t="shared" si="0"/>
        <v>38</v>
      </c>
      <c r="B41" t="s">
        <v>5</v>
      </c>
      <c r="C41" s="19">
        <f>SUM(C38:C40)</f>
        <v>3748529.4436554643</v>
      </c>
      <c r="D41" s="19">
        <f t="shared" ref="D41:E41" si="9">SUM(D38:D40)</f>
        <v>3748529.4436554643</v>
      </c>
      <c r="E41" s="19">
        <f t="shared" si="9"/>
        <v>0</v>
      </c>
    </row>
    <row r="42" spans="1:5" x14ac:dyDescent="0.3">
      <c r="A42" s="1">
        <f t="shared" si="0"/>
        <v>39</v>
      </c>
      <c r="C42" s="19"/>
      <c r="D42" s="19"/>
      <c r="E42" s="19"/>
    </row>
    <row r="43" spans="1:5" x14ac:dyDescent="0.3">
      <c r="A43" s="1">
        <f t="shared" si="0"/>
        <v>40</v>
      </c>
      <c r="B43" t="s">
        <v>28</v>
      </c>
      <c r="C43" s="20">
        <f>-C24+C35+C41</f>
        <v>-5286035.4645496532</v>
      </c>
      <c r="D43" s="20">
        <f>-D24+D35+D41</f>
        <v>-5176782.7709599063</v>
      </c>
      <c r="E43" s="20">
        <f>-E24+E35+E41</f>
        <v>-109252.69358974369</v>
      </c>
    </row>
    <row r="44" spans="1:5" x14ac:dyDescent="0.3">
      <c r="A44" s="1">
        <f t="shared" si="0"/>
        <v>41</v>
      </c>
      <c r="C44" s="19"/>
      <c r="D44" s="19"/>
      <c r="E44" s="19"/>
    </row>
    <row r="45" spans="1:5" ht="15" thickBot="1" x14ac:dyDescent="0.35">
      <c r="A45" s="1">
        <f t="shared" si="0"/>
        <v>42</v>
      </c>
      <c r="B45" s="30" t="s">
        <v>29</v>
      </c>
      <c r="C45" s="21">
        <f>C14+C43</f>
        <v>120419111.1541042</v>
      </c>
      <c r="D45" s="21">
        <f t="shared" ref="D45:E45" si="10">D14+D43</f>
        <v>118459846.87461701</v>
      </c>
      <c r="E45" s="21">
        <f t="shared" si="10"/>
        <v>1959264.2794871782</v>
      </c>
    </row>
    <row r="46" spans="1:5" ht="15" thickTop="1" x14ac:dyDescent="0.3"/>
    <row r="47" spans="1:5" x14ac:dyDescent="0.3">
      <c r="B47" s="32" t="s">
        <v>122</v>
      </c>
      <c r="C47" s="33">
        <f>C48-C45</f>
        <v>1925757.0764743388</v>
      </c>
      <c r="D47" s="22">
        <f t="shared" ref="D47:E47" si="11">D48-D45</f>
        <v>-118459846.87461701</v>
      </c>
      <c r="E47" s="22">
        <f t="shared" si="11"/>
        <v>-1959264.2794871782</v>
      </c>
    </row>
    <row r="48" spans="1:5" x14ac:dyDescent="0.3">
      <c r="B48" s="23" t="s">
        <v>138</v>
      </c>
      <c r="C48" s="31">
        <f>'Tab 55 p1'!G32</f>
        <v>122344868.23057854</v>
      </c>
      <c r="D48" s="24"/>
      <c r="E48" s="24"/>
    </row>
  </sheetData>
  <mergeCells count="1">
    <mergeCell ref="A2:E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BFBC-1B45-4614-A2F9-3E5156DB77CD}">
  <dimension ref="A1"/>
  <sheetViews>
    <sheetView showGridLines="0" workbookViewId="0">
      <selection activeCell="F14" sqref="F14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84C5-ABB1-4F6E-AA4A-EF420A596BDC}">
  <dimension ref="A1:AE171"/>
  <sheetViews>
    <sheetView showGridLines="0" topLeftCell="A52" workbookViewId="0">
      <pane xSplit="1" topLeftCell="K1" activePane="topRight" state="frozen"/>
      <selection pane="topRight" activeCell="N67" sqref="N67"/>
    </sheetView>
  </sheetViews>
  <sheetFormatPr defaultRowHeight="14.4" outlineLevelCol="1" x14ac:dyDescent="0.3"/>
  <cols>
    <col min="1" max="1" width="53.88671875" bestFit="1" customWidth="1"/>
    <col min="2" max="14" width="14.33203125" customWidth="1" outlineLevel="1"/>
    <col min="15" max="15" width="16.6640625" style="1" bestFit="1" customWidth="1"/>
    <col min="16" max="16" width="1.33203125" customWidth="1"/>
    <col min="17" max="17" width="53.88671875" bestFit="1" customWidth="1"/>
    <col min="18" max="26" width="12.44140625" customWidth="1" outlineLevel="1"/>
    <col min="27" max="30" width="12.33203125" customWidth="1" outlineLevel="1"/>
    <col min="31" max="31" width="13.88671875" bestFit="1" customWidth="1"/>
  </cols>
  <sheetData>
    <row r="1" spans="1:31" x14ac:dyDescent="0.3">
      <c r="B1" s="256" t="s">
        <v>114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R1" s="256" t="s">
        <v>115</v>
      </c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13"/>
    </row>
    <row r="2" spans="1:31" x14ac:dyDescent="0.3">
      <c r="A2" s="5" t="s">
        <v>35</v>
      </c>
      <c r="B2" s="6" t="s">
        <v>36</v>
      </c>
      <c r="C2" s="6" t="s">
        <v>36</v>
      </c>
      <c r="D2" s="6" t="s">
        <v>36</v>
      </c>
      <c r="E2" s="6" t="s">
        <v>36</v>
      </c>
      <c r="F2" s="6" t="s">
        <v>36</v>
      </c>
      <c r="G2" s="6" t="s">
        <v>36</v>
      </c>
      <c r="H2" s="6" t="s">
        <v>36</v>
      </c>
      <c r="I2" s="6" t="s">
        <v>36</v>
      </c>
      <c r="J2" s="6" t="s">
        <v>36</v>
      </c>
      <c r="K2" s="6" t="s">
        <v>36</v>
      </c>
      <c r="L2" s="6" t="s">
        <v>36</v>
      </c>
      <c r="M2" s="6" t="s">
        <v>36</v>
      </c>
      <c r="N2" s="6" t="s">
        <v>36</v>
      </c>
      <c r="O2" s="9" t="s">
        <v>112</v>
      </c>
      <c r="R2" s="14" t="s">
        <v>36</v>
      </c>
      <c r="S2" s="14" t="s">
        <v>36</v>
      </c>
      <c r="T2" s="14" t="s">
        <v>36</v>
      </c>
      <c r="U2" s="14" t="s">
        <v>36</v>
      </c>
      <c r="V2" s="14" t="s">
        <v>36</v>
      </c>
      <c r="W2" s="14" t="s">
        <v>36</v>
      </c>
      <c r="X2" s="14" t="s">
        <v>36</v>
      </c>
      <c r="Y2" s="14" t="s">
        <v>36</v>
      </c>
      <c r="Z2" s="14" t="s">
        <v>36</v>
      </c>
      <c r="AA2" s="14" t="s">
        <v>36</v>
      </c>
      <c r="AB2" s="14" t="s">
        <v>36</v>
      </c>
      <c r="AC2" s="14" t="s">
        <v>36</v>
      </c>
      <c r="AD2" s="14" t="s">
        <v>36</v>
      </c>
      <c r="AE2" s="9" t="s">
        <v>112</v>
      </c>
    </row>
    <row r="3" spans="1:31" x14ac:dyDescent="0.3">
      <c r="A3" s="5" t="s">
        <v>37</v>
      </c>
      <c r="B3" s="6" t="s">
        <v>38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47</v>
      </c>
      <c r="L3" s="6" t="s">
        <v>48</v>
      </c>
      <c r="M3" s="6" t="s">
        <v>49</v>
      </c>
      <c r="N3" s="6" t="s">
        <v>50</v>
      </c>
      <c r="O3" s="10" t="s">
        <v>113</v>
      </c>
      <c r="R3" s="14" t="s">
        <v>38</v>
      </c>
      <c r="S3" s="14" t="s">
        <v>39</v>
      </c>
      <c r="T3" s="14" t="s">
        <v>40</v>
      </c>
      <c r="U3" s="14" t="s">
        <v>41</v>
      </c>
      <c r="V3" s="14" t="s">
        <v>42</v>
      </c>
      <c r="W3" s="14" t="s">
        <v>43</v>
      </c>
      <c r="X3" s="14" t="s">
        <v>44</v>
      </c>
      <c r="Y3" s="14" t="s">
        <v>45</v>
      </c>
      <c r="Z3" s="14" t="s">
        <v>46</v>
      </c>
      <c r="AA3" s="14" t="s">
        <v>47</v>
      </c>
      <c r="AB3" s="14" t="s">
        <v>48</v>
      </c>
      <c r="AC3" s="14" t="s">
        <v>49</v>
      </c>
      <c r="AD3" s="14" t="s">
        <v>50</v>
      </c>
      <c r="AE3" s="10" t="s">
        <v>116</v>
      </c>
    </row>
    <row r="4" spans="1:31" x14ac:dyDescent="0.3">
      <c r="A4" s="6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"/>
    </row>
    <row r="5" spans="1:31" x14ac:dyDescent="0.3">
      <c r="A5" s="6" t="s">
        <v>52</v>
      </c>
      <c r="B5" s="8">
        <v>401405.83</v>
      </c>
      <c r="C5" s="8">
        <v>384458.32</v>
      </c>
      <c r="D5" s="8">
        <v>168123.96</v>
      </c>
      <c r="E5" s="8">
        <v>348283.61</v>
      </c>
      <c r="F5" s="8">
        <v>140494.17000000001</v>
      </c>
      <c r="G5" s="8">
        <v>165124.20000000001</v>
      </c>
      <c r="H5" s="8">
        <v>214779.39</v>
      </c>
      <c r="I5" s="8">
        <v>144194.04</v>
      </c>
      <c r="J5" s="8">
        <v>196732.4</v>
      </c>
      <c r="K5" s="8">
        <v>366071.43</v>
      </c>
      <c r="L5" s="8">
        <v>207427.22</v>
      </c>
      <c r="M5" s="8">
        <v>4182534.79</v>
      </c>
      <c r="N5" s="8">
        <v>392381.38</v>
      </c>
      <c r="O5" s="11">
        <f>IFERROR(AVERAGE(B5:N5),0)</f>
        <v>562462.36461538461</v>
      </c>
      <c r="R5" s="16">
        <v>13291.89</v>
      </c>
      <c r="S5" s="16">
        <v>14853.71</v>
      </c>
      <c r="T5" s="16">
        <v>11602.54</v>
      </c>
      <c r="U5" s="16">
        <v>11554.43</v>
      </c>
      <c r="V5" s="16">
        <v>11228.97</v>
      </c>
      <c r="W5" s="16">
        <v>10746.19</v>
      </c>
      <c r="X5" s="16">
        <v>9744.3700000000008</v>
      </c>
      <c r="Y5" s="16">
        <v>11874.64</v>
      </c>
      <c r="Z5" s="16">
        <v>12510.73</v>
      </c>
      <c r="AA5" s="16">
        <v>14439.64</v>
      </c>
      <c r="AB5" s="16">
        <v>16129.05</v>
      </c>
      <c r="AC5" s="16">
        <v>25292.85</v>
      </c>
      <c r="AD5" s="16">
        <v>12367.27</v>
      </c>
      <c r="AE5" s="11">
        <f>IFERROR(AVERAGE(R5:AD5),0)</f>
        <v>13510.483076923074</v>
      </c>
    </row>
    <row r="6" spans="1:31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">
        <f t="shared" ref="O6:O69" si="0">IFERROR(AVERAGE(B6:N6),0)</f>
        <v>0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1">
        <f t="shared" ref="AE6:AE69" si="1">IFERROR(AVERAGE(R6:AD6),0)</f>
        <v>0</v>
      </c>
    </row>
    <row r="7" spans="1:31" x14ac:dyDescent="0.3">
      <c r="A7" s="6" t="s">
        <v>54</v>
      </c>
      <c r="B7" s="8">
        <v>5151860.51</v>
      </c>
      <c r="C7" s="8">
        <v>3747198.13</v>
      </c>
      <c r="D7" s="8">
        <v>3197683.4</v>
      </c>
      <c r="E7" s="8">
        <v>2383950.9700000002</v>
      </c>
      <c r="F7" s="8">
        <v>1566820.57</v>
      </c>
      <c r="G7" s="8">
        <v>1457599.47</v>
      </c>
      <c r="H7" s="8">
        <v>2310824.4700000002</v>
      </c>
      <c r="I7" s="8">
        <v>1635605.55</v>
      </c>
      <c r="J7" s="8">
        <v>2657892.48</v>
      </c>
      <c r="K7" s="8">
        <v>7432410.2699999996</v>
      </c>
      <c r="L7" s="8">
        <v>6860231.79</v>
      </c>
      <c r="M7" s="8">
        <v>7790001.9000000004</v>
      </c>
      <c r="N7" s="8">
        <v>6104911.1699999999</v>
      </c>
      <c r="O7" s="11">
        <f t="shared" si="0"/>
        <v>4022845.4369230769</v>
      </c>
      <c r="R7" s="16">
        <v>239537.4</v>
      </c>
      <c r="S7" s="16">
        <v>188204.45</v>
      </c>
      <c r="T7" s="16">
        <v>146665.97</v>
      </c>
      <c r="U7" s="16">
        <v>106493.15</v>
      </c>
      <c r="V7" s="16">
        <v>91685.74</v>
      </c>
      <c r="W7" s="16">
        <v>87479.75</v>
      </c>
      <c r="X7" s="16">
        <v>85528.57</v>
      </c>
      <c r="Y7" s="16">
        <v>98814.46</v>
      </c>
      <c r="Z7" s="16">
        <v>162721.32</v>
      </c>
      <c r="AA7" s="16">
        <v>292213.40999999997</v>
      </c>
      <c r="AB7" s="16">
        <v>411390.07</v>
      </c>
      <c r="AC7" s="16">
        <v>384694.8</v>
      </c>
      <c r="AD7" s="16">
        <v>256890.88</v>
      </c>
      <c r="AE7" s="11">
        <f t="shared" si="1"/>
        <v>196332.30538461538</v>
      </c>
    </row>
    <row r="8" spans="1:31" x14ac:dyDescent="0.3">
      <c r="A8" s="6" t="s">
        <v>55</v>
      </c>
      <c r="B8" s="8">
        <v>3051.45</v>
      </c>
      <c r="C8" s="8">
        <v>2202.09</v>
      </c>
      <c r="D8" s="8">
        <v>13002.09</v>
      </c>
      <c r="E8" s="8">
        <v>13848.18</v>
      </c>
      <c r="F8" s="8">
        <v>13928.4</v>
      </c>
      <c r="G8" s="8">
        <v>15397.4</v>
      </c>
      <c r="H8" s="8">
        <v>14656.12</v>
      </c>
      <c r="I8" s="8">
        <v>15589.47</v>
      </c>
      <c r="J8" s="8">
        <v>16269.16</v>
      </c>
      <c r="K8" s="8">
        <v>15153.55</v>
      </c>
      <c r="L8" s="8">
        <v>14976.61</v>
      </c>
      <c r="M8" s="8">
        <v>14976.61</v>
      </c>
      <c r="N8" s="8">
        <v>14892.05</v>
      </c>
      <c r="O8" s="11">
        <f t="shared" si="0"/>
        <v>12918.706153846153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1">
        <f t="shared" si="1"/>
        <v>0</v>
      </c>
    </row>
    <row r="9" spans="1:31" x14ac:dyDescent="0.3">
      <c r="A9" s="6" t="s">
        <v>56</v>
      </c>
      <c r="B9" s="8">
        <v>173127.11</v>
      </c>
      <c r="C9" s="8">
        <v>32244.880000000001</v>
      </c>
      <c r="D9" s="8">
        <v>81112.649999999994</v>
      </c>
      <c r="E9" s="8">
        <v>198828.73</v>
      </c>
      <c r="F9" s="8">
        <v>199872.18</v>
      </c>
      <c r="G9" s="8">
        <v>889550.69</v>
      </c>
      <c r="H9" s="8">
        <v>334885.21999999997</v>
      </c>
      <c r="I9" s="8">
        <v>275436.65000000002</v>
      </c>
      <c r="J9" s="8">
        <v>440679.36</v>
      </c>
      <c r="K9" s="8">
        <v>529539.89</v>
      </c>
      <c r="L9" s="8">
        <v>1369472.45</v>
      </c>
      <c r="M9" s="8">
        <v>1267843.07</v>
      </c>
      <c r="N9" s="8">
        <v>470309.89</v>
      </c>
      <c r="O9" s="11">
        <f t="shared" si="0"/>
        <v>481761.75153846148</v>
      </c>
      <c r="R9" s="16">
        <v>5043.84</v>
      </c>
      <c r="S9" s="16">
        <v>2669.2</v>
      </c>
      <c r="T9" s="16">
        <v>3010.82</v>
      </c>
      <c r="U9" s="16">
        <v>33.549999999999997</v>
      </c>
      <c r="V9" s="16">
        <v>19664.169999999998</v>
      </c>
      <c r="W9" s="16">
        <v>23491.23</v>
      </c>
      <c r="X9" s="16">
        <v>3591.84</v>
      </c>
      <c r="Y9" s="16">
        <v>1947.63</v>
      </c>
      <c r="Z9" s="16">
        <v>9067.2099999999991</v>
      </c>
      <c r="AA9" s="16">
        <v>29301.65</v>
      </c>
      <c r="AB9" s="16">
        <v>17185.57</v>
      </c>
      <c r="AC9" s="16">
        <v>30541.5</v>
      </c>
      <c r="AD9" s="16">
        <v>35315.46</v>
      </c>
      <c r="AE9" s="11">
        <f t="shared" si="1"/>
        <v>13912.589999999998</v>
      </c>
    </row>
    <row r="10" spans="1:31" x14ac:dyDescent="0.3">
      <c r="A10" s="6" t="s">
        <v>57</v>
      </c>
      <c r="B10" s="8">
        <v>3046780.03</v>
      </c>
      <c r="C10" s="8">
        <v>4395163.9400000004</v>
      </c>
      <c r="D10" s="8">
        <v>4798965.6900000004</v>
      </c>
      <c r="E10" s="8">
        <v>2978975.94</v>
      </c>
      <c r="F10" s="8">
        <v>2568234.2599999998</v>
      </c>
      <c r="G10" s="8">
        <v>1276721.73</v>
      </c>
      <c r="H10" s="8">
        <v>1012168.66</v>
      </c>
      <c r="I10" s="8">
        <v>1024770.9</v>
      </c>
      <c r="J10" s="8">
        <v>575846.30000000005</v>
      </c>
      <c r="K10" s="7"/>
      <c r="L10" s="7"/>
      <c r="M10" s="7"/>
      <c r="N10" s="7"/>
      <c r="O10" s="12">
        <f t="shared" si="0"/>
        <v>2408625.2722222223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1">
        <f t="shared" si="1"/>
        <v>0</v>
      </c>
    </row>
    <row r="11" spans="1:31" x14ac:dyDescent="0.3">
      <c r="A11" s="6" t="s">
        <v>58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2">
        <f t="shared" si="0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1">
        <f t="shared" si="1"/>
        <v>0</v>
      </c>
    </row>
    <row r="12" spans="1:31" x14ac:dyDescent="0.3">
      <c r="A12" s="6" t="s">
        <v>59</v>
      </c>
      <c r="B12" s="8">
        <v>549092.13</v>
      </c>
      <c r="C12" s="8">
        <v>553335.39</v>
      </c>
      <c r="D12" s="8">
        <v>571955.72</v>
      </c>
      <c r="E12" s="8">
        <v>671519.54</v>
      </c>
      <c r="F12" s="8">
        <v>633020.21</v>
      </c>
      <c r="G12" s="8">
        <v>617482.99</v>
      </c>
      <c r="H12" s="8">
        <v>594298.24</v>
      </c>
      <c r="I12" s="8">
        <v>575294.59</v>
      </c>
      <c r="J12" s="8">
        <v>609276.77</v>
      </c>
      <c r="K12" s="8">
        <v>601154.29</v>
      </c>
      <c r="L12" s="8">
        <v>600820.81000000006</v>
      </c>
      <c r="M12" s="8">
        <v>593693.56999999995</v>
      </c>
      <c r="N12" s="8">
        <v>689562.46</v>
      </c>
      <c r="O12" s="11">
        <f t="shared" si="0"/>
        <v>604654.3623076923</v>
      </c>
      <c r="R12" s="16">
        <v>465.98</v>
      </c>
      <c r="S12" s="16">
        <v>465.98</v>
      </c>
      <c r="T12" s="16">
        <v>465.98</v>
      </c>
      <c r="U12" s="16">
        <v>465.98</v>
      </c>
      <c r="V12" s="16">
        <v>465.98</v>
      </c>
      <c r="W12" s="16">
        <v>465.98</v>
      </c>
      <c r="X12" s="16">
        <v>465.98</v>
      </c>
      <c r="Y12" s="15"/>
      <c r="Z12" s="15"/>
      <c r="AA12" s="15"/>
      <c r="AB12" s="15"/>
      <c r="AC12" s="15"/>
      <c r="AD12" s="15"/>
      <c r="AE12" s="11">
        <f t="shared" si="1"/>
        <v>465.98</v>
      </c>
    </row>
    <row r="13" spans="1:31" x14ac:dyDescent="0.3">
      <c r="A13" s="6" t="s">
        <v>60</v>
      </c>
      <c r="B13" s="8">
        <v>539870.9</v>
      </c>
      <c r="C13" s="8">
        <v>1249915.8799999999</v>
      </c>
      <c r="D13" s="8">
        <v>1637946.53</v>
      </c>
      <c r="E13" s="8">
        <v>1638107.01</v>
      </c>
      <c r="F13" s="8">
        <v>1638107.01</v>
      </c>
      <c r="G13" s="8">
        <v>1560039.01</v>
      </c>
      <c r="H13" s="8">
        <v>1560039.01</v>
      </c>
      <c r="I13" s="8">
        <v>1560039.01</v>
      </c>
      <c r="J13" s="8">
        <v>1560039.01</v>
      </c>
      <c r="K13" s="8">
        <v>875744.24</v>
      </c>
      <c r="L13" s="8">
        <v>425656.64</v>
      </c>
      <c r="M13" s="8">
        <v>401058.91</v>
      </c>
      <c r="N13" s="8">
        <v>221563.11</v>
      </c>
      <c r="O13" s="11">
        <f t="shared" si="0"/>
        <v>1143702.0207692308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1">
        <f t="shared" si="1"/>
        <v>0</v>
      </c>
    </row>
    <row r="14" spans="1:31" x14ac:dyDescent="0.3">
      <c r="A14" s="6" t="s">
        <v>61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f t="shared" si="0"/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1">
        <f t="shared" si="1"/>
        <v>0</v>
      </c>
    </row>
    <row r="15" spans="1:31" x14ac:dyDescent="0.3">
      <c r="A15" s="6" t="s">
        <v>62</v>
      </c>
      <c r="B15" s="8">
        <v>436648.55</v>
      </c>
      <c r="C15" s="8">
        <v>411832.06</v>
      </c>
      <c r="D15" s="8">
        <v>156281.01</v>
      </c>
      <c r="E15" s="8">
        <v>376067.97</v>
      </c>
      <c r="F15" s="8">
        <v>445611.05</v>
      </c>
      <c r="G15" s="8">
        <v>620876.77</v>
      </c>
      <c r="H15" s="8">
        <v>964823.84</v>
      </c>
      <c r="I15" s="8">
        <v>874972.12</v>
      </c>
      <c r="J15" s="8">
        <v>1262788.1100000001</v>
      </c>
      <c r="K15" s="8">
        <v>471468.41</v>
      </c>
      <c r="L15" s="8">
        <v>362822.89</v>
      </c>
      <c r="M15" s="8">
        <v>-105712.71</v>
      </c>
      <c r="N15" s="8">
        <v>184035.81</v>
      </c>
      <c r="O15" s="11">
        <f t="shared" si="0"/>
        <v>497116.60615384614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1">
        <f t="shared" si="1"/>
        <v>0</v>
      </c>
    </row>
    <row r="16" spans="1:31" x14ac:dyDescent="0.3">
      <c r="A16" s="6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">
        <f t="shared" si="0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1">
        <f t="shared" si="1"/>
        <v>0</v>
      </c>
    </row>
    <row r="17" spans="1:31" x14ac:dyDescent="0.3">
      <c r="A17" s="6" t="s">
        <v>63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2">
        <f t="shared" si="0"/>
        <v>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1">
        <f t="shared" si="1"/>
        <v>0</v>
      </c>
    </row>
    <row r="18" spans="1:31" x14ac:dyDescent="0.3">
      <c r="A18" s="6" t="s">
        <v>64</v>
      </c>
      <c r="B18" s="7"/>
      <c r="C18" s="7"/>
      <c r="D18" s="7"/>
      <c r="E18" s="8">
        <v>413915</v>
      </c>
      <c r="F18" s="8">
        <v>413915</v>
      </c>
      <c r="G18" s="8">
        <v>413915</v>
      </c>
      <c r="H18" s="8">
        <v>1032174</v>
      </c>
      <c r="I18" s="8">
        <v>413915</v>
      </c>
      <c r="J18" s="8">
        <v>413915</v>
      </c>
      <c r="K18" s="8">
        <v>413915</v>
      </c>
      <c r="L18" s="8">
        <v>413915</v>
      </c>
      <c r="M18" s="8">
        <v>413915</v>
      </c>
      <c r="N18" s="8">
        <v>-631505</v>
      </c>
      <c r="O18" s="11">
        <f t="shared" si="0"/>
        <v>371198.9</v>
      </c>
      <c r="R18" s="15"/>
      <c r="S18" s="15"/>
      <c r="T18" s="15"/>
      <c r="U18" s="16">
        <v>94738</v>
      </c>
      <c r="V18" s="16">
        <v>94738</v>
      </c>
      <c r="W18" s="16">
        <v>94738</v>
      </c>
      <c r="X18" s="16">
        <v>151911</v>
      </c>
      <c r="Y18" s="16">
        <v>94738</v>
      </c>
      <c r="Z18" s="16">
        <v>94738</v>
      </c>
      <c r="AA18" s="16">
        <v>94738</v>
      </c>
      <c r="AB18" s="16">
        <v>94738</v>
      </c>
      <c r="AC18" s="16">
        <v>94738</v>
      </c>
      <c r="AD18" s="16">
        <v>165382</v>
      </c>
      <c r="AE18" s="11">
        <f t="shared" si="1"/>
        <v>107519.7</v>
      </c>
    </row>
    <row r="19" spans="1:31" x14ac:dyDescent="0.3">
      <c r="A19" s="6" t="s">
        <v>65</v>
      </c>
      <c r="B19" s="7"/>
      <c r="C19" s="7"/>
      <c r="D19" s="7"/>
      <c r="E19" s="8">
        <v>314254.31</v>
      </c>
      <c r="F19" s="8">
        <v>314254.31</v>
      </c>
      <c r="G19" s="8">
        <v>314254.31</v>
      </c>
      <c r="H19" s="8">
        <v>469269.31</v>
      </c>
      <c r="I19" s="8">
        <v>314254.31</v>
      </c>
      <c r="J19" s="8">
        <v>314254.31</v>
      </c>
      <c r="K19" s="8">
        <v>314254.31</v>
      </c>
      <c r="L19" s="8">
        <v>314254.31</v>
      </c>
      <c r="M19" s="8">
        <v>314254.31</v>
      </c>
      <c r="N19" s="8">
        <v>131757.31</v>
      </c>
      <c r="O19" s="11">
        <f t="shared" si="0"/>
        <v>311506.11</v>
      </c>
      <c r="R19" s="15"/>
      <c r="S19" s="15"/>
      <c r="T19" s="15"/>
      <c r="U19" s="16">
        <v>23398</v>
      </c>
      <c r="V19" s="16">
        <v>23398</v>
      </c>
      <c r="W19" s="16">
        <v>23398</v>
      </c>
      <c r="X19" s="16">
        <v>37727</v>
      </c>
      <c r="Y19" s="16">
        <v>23398</v>
      </c>
      <c r="Z19" s="16">
        <v>23398</v>
      </c>
      <c r="AA19" s="16">
        <v>23398</v>
      </c>
      <c r="AB19" s="16">
        <v>23398</v>
      </c>
      <c r="AC19" s="16">
        <v>23398</v>
      </c>
      <c r="AD19" s="16">
        <v>41066</v>
      </c>
      <c r="AE19" s="11">
        <f t="shared" si="1"/>
        <v>26597.7</v>
      </c>
    </row>
    <row r="20" spans="1:31" x14ac:dyDescent="0.3">
      <c r="A20" s="6" t="s">
        <v>66</v>
      </c>
      <c r="B20" s="8">
        <v>1001353.82</v>
      </c>
      <c r="C20" s="8">
        <v>718767.11</v>
      </c>
      <c r="D20" s="8">
        <v>580807.91</v>
      </c>
      <c r="E20" s="8">
        <v>678071.44</v>
      </c>
      <c r="F20" s="8">
        <v>714365.82</v>
      </c>
      <c r="G20" s="8">
        <v>656978.79</v>
      </c>
      <c r="H20" s="8">
        <v>696699.33</v>
      </c>
      <c r="I20" s="8">
        <v>1115690.6499999999</v>
      </c>
      <c r="J20" s="8">
        <v>808163.62</v>
      </c>
      <c r="K20" s="8">
        <v>993189.49</v>
      </c>
      <c r="L20" s="8">
        <v>907147.99</v>
      </c>
      <c r="M20" s="8">
        <v>623597.30000000005</v>
      </c>
      <c r="N20" s="8">
        <v>483472.89</v>
      </c>
      <c r="O20" s="11">
        <f t="shared" si="0"/>
        <v>767562.01230769232</v>
      </c>
      <c r="R20" s="16">
        <v>51363.15</v>
      </c>
      <c r="S20" s="16">
        <v>47323.87</v>
      </c>
      <c r="T20" s="16">
        <v>44043.61</v>
      </c>
      <c r="U20" s="16">
        <v>39016.82</v>
      </c>
      <c r="V20" s="16">
        <v>33373.25</v>
      </c>
      <c r="W20" s="16">
        <v>34970.58</v>
      </c>
      <c r="X20" s="16">
        <v>29860.95</v>
      </c>
      <c r="Y20" s="16">
        <v>27782.75</v>
      </c>
      <c r="Z20" s="16">
        <v>26452.720000000001</v>
      </c>
      <c r="AA20" s="16">
        <v>24979.200000000001</v>
      </c>
      <c r="AB20" s="16">
        <v>45916.45</v>
      </c>
      <c r="AC20" s="16">
        <v>43214.080000000002</v>
      </c>
      <c r="AD20" s="16">
        <v>40664.42</v>
      </c>
      <c r="AE20" s="11">
        <f t="shared" si="1"/>
        <v>37612.450000000004</v>
      </c>
    </row>
    <row r="21" spans="1:31" x14ac:dyDescent="0.3">
      <c r="A21" s="6" t="s">
        <v>67</v>
      </c>
      <c r="B21" s="8">
        <v>11303190.33</v>
      </c>
      <c r="C21" s="8">
        <v>11495117.800000001</v>
      </c>
      <c r="D21" s="8">
        <v>11205878.960000001</v>
      </c>
      <c r="E21" s="8">
        <v>10015822.699999999</v>
      </c>
      <c r="F21" s="8">
        <v>8648622.9800000004</v>
      </c>
      <c r="G21" s="8">
        <v>7987940.3600000003</v>
      </c>
      <c r="H21" s="8">
        <v>9204617.5899999999</v>
      </c>
      <c r="I21" s="8">
        <v>7949762.29</v>
      </c>
      <c r="J21" s="8">
        <v>8855856.5199999996</v>
      </c>
      <c r="K21" s="8">
        <v>12012900.880000001</v>
      </c>
      <c r="L21" s="8">
        <v>11476725.710000001</v>
      </c>
      <c r="M21" s="8">
        <v>15496162.75</v>
      </c>
      <c r="N21" s="8">
        <v>8061381.0700000003</v>
      </c>
      <c r="O21" s="11">
        <f t="shared" si="0"/>
        <v>10285690.764615385</v>
      </c>
      <c r="R21" s="16">
        <v>309702.26</v>
      </c>
      <c r="S21" s="16">
        <v>253517.21</v>
      </c>
      <c r="T21" s="16">
        <v>205788.92</v>
      </c>
      <c r="U21" s="16">
        <v>275699.93</v>
      </c>
      <c r="V21" s="16">
        <v>274554.11</v>
      </c>
      <c r="W21" s="16">
        <v>275289.73</v>
      </c>
      <c r="X21" s="16">
        <v>318829.71000000002</v>
      </c>
      <c r="Y21" s="16">
        <v>258555.48</v>
      </c>
      <c r="Z21" s="16">
        <v>328887.98</v>
      </c>
      <c r="AA21" s="16">
        <v>479069.9</v>
      </c>
      <c r="AB21" s="16">
        <v>608757.14</v>
      </c>
      <c r="AC21" s="16">
        <v>601879.23</v>
      </c>
      <c r="AD21" s="16">
        <v>551686.03</v>
      </c>
      <c r="AE21" s="11">
        <f t="shared" si="1"/>
        <v>364785.97153846151</v>
      </c>
    </row>
    <row r="22" spans="1:31" x14ac:dyDescent="0.3">
      <c r="A22" s="6" t="s">
        <v>35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2">
        <f t="shared" si="0"/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1">
        <f t="shared" si="1"/>
        <v>0</v>
      </c>
    </row>
    <row r="23" spans="1:31" x14ac:dyDescent="0.3">
      <c r="A23" s="6" t="s">
        <v>68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2">
        <f t="shared" si="0"/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1">
        <f t="shared" si="1"/>
        <v>0</v>
      </c>
    </row>
    <row r="24" spans="1:31" x14ac:dyDescent="0.3">
      <c r="A24" s="6" t="s">
        <v>66</v>
      </c>
      <c r="B24" s="8">
        <v>1127826.3500000001</v>
      </c>
      <c r="C24" s="8">
        <v>1127826.3500000001</v>
      </c>
      <c r="D24" s="8">
        <v>1127826.3500000001</v>
      </c>
      <c r="E24" s="8">
        <v>1275935.58</v>
      </c>
      <c r="F24" s="8">
        <v>1275935.58</v>
      </c>
      <c r="G24" s="8">
        <v>1275935.58</v>
      </c>
      <c r="H24" s="8">
        <v>1341393.44</v>
      </c>
      <c r="I24" s="8">
        <v>1341393.44</v>
      </c>
      <c r="J24" s="8">
        <v>1341393.44</v>
      </c>
      <c r="K24" s="8">
        <v>1470489.22</v>
      </c>
      <c r="L24" s="8">
        <v>1470489.22</v>
      </c>
      <c r="M24" s="8">
        <v>1470489.22</v>
      </c>
      <c r="N24" s="8">
        <v>1413714.75</v>
      </c>
      <c r="O24" s="11">
        <f t="shared" si="0"/>
        <v>1312357.5784615388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1">
        <f t="shared" si="1"/>
        <v>0</v>
      </c>
    </row>
    <row r="25" spans="1:31" x14ac:dyDescent="0.3">
      <c r="A25" s="6" t="s">
        <v>69</v>
      </c>
      <c r="B25" s="8">
        <v>1127826.3500000001</v>
      </c>
      <c r="C25" s="8">
        <v>1127826.3500000001</v>
      </c>
      <c r="D25" s="8">
        <v>1127826.3500000001</v>
      </c>
      <c r="E25" s="8">
        <v>1275935.58</v>
      </c>
      <c r="F25" s="8">
        <v>1275935.58</v>
      </c>
      <c r="G25" s="8">
        <v>1275935.58</v>
      </c>
      <c r="H25" s="8">
        <v>1341393.44</v>
      </c>
      <c r="I25" s="8">
        <v>1341393.44</v>
      </c>
      <c r="J25" s="8">
        <v>1341393.44</v>
      </c>
      <c r="K25" s="8">
        <v>1470489.22</v>
      </c>
      <c r="L25" s="8">
        <v>1470489.22</v>
      </c>
      <c r="M25" s="8">
        <v>1470489.22</v>
      </c>
      <c r="N25" s="8">
        <v>1413714.75</v>
      </c>
      <c r="O25" s="11">
        <f t="shared" si="0"/>
        <v>1312357.5784615388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1">
        <f t="shared" si="1"/>
        <v>0</v>
      </c>
    </row>
    <row r="26" spans="1:31" x14ac:dyDescent="0.3">
      <c r="A26" s="6" t="s">
        <v>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2">
        <f t="shared" si="0"/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1">
        <f t="shared" si="1"/>
        <v>0</v>
      </c>
    </row>
    <row r="27" spans="1:31" x14ac:dyDescent="0.3">
      <c r="A27" s="6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2">
        <f t="shared" si="0"/>
        <v>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1">
        <f t="shared" si="1"/>
        <v>0</v>
      </c>
    </row>
    <row r="28" spans="1:31" x14ac:dyDescent="0.3">
      <c r="A28" s="6" t="s">
        <v>71</v>
      </c>
      <c r="B28" s="8">
        <v>262302747.94999999</v>
      </c>
      <c r="C28" s="8">
        <v>263702102.59</v>
      </c>
      <c r="D28" s="8">
        <v>264618559.25999999</v>
      </c>
      <c r="E28" s="8">
        <v>265720040.19999999</v>
      </c>
      <c r="F28" s="8">
        <v>266864763.12</v>
      </c>
      <c r="G28" s="8">
        <v>267866453.62</v>
      </c>
      <c r="H28" s="8">
        <v>268546471.44999999</v>
      </c>
      <c r="I28" s="8">
        <v>269640192.10000002</v>
      </c>
      <c r="J28" s="8">
        <v>270560360.48000002</v>
      </c>
      <c r="K28" s="8">
        <v>268181602.31999999</v>
      </c>
      <c r="L28" s="8">
        <v>268298139</v>
      </c>
      <c r="M28" s="8">
        <v>268752284.18000001</v>
      </c>
      <c r="N28" s="8">
        <v>269510497.82999998</v>
      </c>
      <c r="O28" s="11">
        <f t="shared" si="0"/>
        <v>267274170.3153846</v>
      </c>
      <c r="R28" s="16">
        <v>2376060.9900000002</v>
      </c>
      <c r="S28" s="16">
        <v>2389021.9900000002</v>
      </c>
      <c r="T28" s="16">
        <v>2390538.35</v>
      </c>
      <c r="U28" s="16">
        <v>2395410.21</v>
      </c>
      <c r="V28" s="16">
        <v>2398033.4300000002</v>
      </c>
      <c r="W28" s="16">
        <v>2419469.58</v>
      </c>
      <c r="X28" s="16">
        <v>2474414.65</v>
      </c>
      <c r="Y28" s="16">
        <v>2493321.5699999998</v>
      </c>
      <c r="Z28" s="16">
        <v>2506852.4900000002</v>
      </c>
      <c r="AA28" s="16">
        <v>2509273.1800000002</v>
      </c>
      <c r="AB28" s="16">
        <v>2517992.0499999998</v>
      </c>
      <c r="AC28" s="16">
        <v>2575796.79</v>
      </c>
      <c r="AD28" s="16">
        <v>2577855.64</v>
      </c>
      <c r="AE28" s="11">
        <f t="shared" si="1"/>
        <v>2463387.7630769229</v>
      </c>
    </row>
    <row r="29" spans="1:31" x14ac:dyDescent="0.3">
      <c r="A29" s="6" t="s">
        <v>72</v>
      </c>
      <c r="B29" s="8">
        <v>-116428227.34</v>
      </c>
      <c r="C29" s="8">
        <v>-117042728.08</v>
      </c>
      <c r="D29" s="8">
        <v>-117472228.18000001</v>
      </c>
      <c r="E29" s="8">
        <v>-117923722.81</v>
      </c>
      <c r="F29" s="8">
        <v>-118449948.90000001</v>
      </c>
      <c r="G29" s="8">
        <v>-118885430.45</v>
      </c>
      <c r="H29" s="8">
        <v>-118955296.04000001</v>
      </c>
      <c r="I29" s="8">
        <v>-119359607.33</v>
      </c>
      <c r="J29" s="8">
        <v>-119865600.36</v>
      </c>
      <c r="K29" s="8">
        <v>-117142440.95</v>
      </c>
      <c r="L29" s="8">
        <v>-117754042.13</v>
      </c>
      <c r="M29" s="8">
        <v>-118378482.38</v>
      </c>
      <c r="N29" s="8">
        <v>-118927358.56999999</v>
      </c>
      <c r="O29" s="11">
        <f t="shared" si="0"/>
        <v>-118198854.88615386</v>
      </c>
      <c r="R29" s="16">
        <v>-694744.43</v>
      </c>
      <c r="S29" s="16">
        <v>-702441.28</v>
      </c>
      <c r="T29" s="16">
        <v>-710106.58</v>
      </c>
      <c r="U29" s="16">
        <v>-717677.18</v>
      </c>
      <c r="V29" s="16">
        <v>-725414.37</v>
      </c>
      <c r="W29" s="16">
        <v>-733154.77</v>
      </c>
      <c r="X29" s="16">
        <v>-741078.44</v>
      </c>
      <c r="Y29" s="16">
        <v>-748890.91</v>
      </c>
      <c r="Z29" s="16">
        <v>-756870.71</v>
      </c>
      <c r="AA29" s="16">
        <v>-758720.03</v>
      </c>
      <c r="AB29" s="16">
        <v>-766620.44</v>
      </c>
      <c r="AC29" s="16">
        <v>-774823.76</v>
      </c>
      <c r="AD29" s="16">
        <v>-782986.6</v>
      </c>
      <c r="AE29" s="11">
        <f t="shared" si="1"/>
        <v>-739502.26923076925</v>
      </c>
    </row>
    <row r="30" spans="1:31" x14ac:dyDescent="0.3">
      <c r="A30" s="6" t="s">
        <v>73</v>
      </c>
      <c r="B30" s="8">
        <v>145874520.61000001</v>
      </c>
      <c r="C30" s="8">
        <v>146659374.50999999</v>
      </c>
      <c r="D30" s="8">
        <v>147146331.08000001</v>
      </c>
      <c r="E30" s="8">
        <v>147796317.38999999</v>
      </c>
      <c r="F30" s="8">
        <v>148414814.22</v>
      </c>
      <c r="G30" s="8">
        <v>148981023.16999999</v>
      </c>
      <c r="H30" s="8">
        <v>149591175.41</v>
      </c>
      <c r="I30" s="8">
        <v>150280584.77000001</v>
      </c>
      <c r="J30" s="8">
        <v>150694760.12</v>
      </c>
      <c r="K30" s="8">
        <v>151039161.37</v>
      </c>
      <c r="L30" s="8">
        <v>150544096.87</v>
      </c>
      <c r="M30" s="8">
        <v>150373801.80000001</v>
      </c>
      <c r="N30" s="8">
        <v>150583139.25999999</v>
      </c>
      <c r="O30" s="11">
        <f t="shared" si="0"/>
        <v>149075315.42923075</v>
      </c>
      <c r="R30" s="16">
        <v>1681316.56</v>
      </c>
      <c r="S30" s="16">
        <v>1686580.71</v>
      </c>
      <c r="T30" s="16">
        <v>1680431.77</v>
      </c>
      <c r="U30" s="16">
        <v>1677733.03</v>
      </c>
      <c r="V30" s="16">
        <v>1672619.06</v>
      </c>
      <c r="W30" s="16">
        <v>1686314.81</v>
      </c>
      <c r="X30" s="16">
        <v>1733336.21</v>
      </c>
      <c r="Y30" s="16">
        <v>1744430.66</v>
      </c>
      <c r="Z30" s="16">
        <v>1749981.78</v>
      </c>
      <c r="AA30" s="16">
        <v>1750553.15</v>
      </c>
      <c r="AB30" s="16">
        <v>1751371.61</v>
      </c>
      <c r="AC30" s="16">
        <v>1800973.03</v>
      </c>
      <c r="AD30" s="16">
        <v>1794869.04</v>
      </c>
      <c r="AE30" s="11">
        <f t="shared" si="1"/>
        <v>1723885.4938461541</v>
      </c>
    </row>
    <row r="31" spans="1:31" x14ac:dyDescent="0.3">
      <c r="A31" s="6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2">
        <f t="shared" si="0"/>
        <v>0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1">
        <f t="shared" si="1"/>
        <v>0</v>
      </c>
    </row>
    <row r="32" spans="1:31" x14ac:dyDescent="0.3">
      <c r="A32" s="6" t="s">
        <v>74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2">
        <f t="shared" si="0"/>
        <v>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1">
        <f t="shared" si="1"/>
        <v>0</v>
      </c>
    </row>
    <row r="33" spans="1:31" x14ac:dyDescent="0.3">
      <c r="A33" s="6" t="s">
        <v>75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2">
        <f t="shared" si="0"/>
        <v>0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1">
        <f t="shared" si="1"/>
        <v>0</v>
      </c>
    </row>
    <row r="34" spans="1:31" x14ac:dyDescent="0.3">
      <c r="A34" s="6" t="s">
        <v>76</v>
      </c>
      <c r="B34" s="8">
        <v>3067757.67</v>
      </c>
      <c r="C34" s="8">
        <v>3046037.91</v>
      </c>
      <c r="D34" s="8">
        <v>3018398.22</v>
      </c>
      <c r="E34" s="8">
        <v>3008133.32</v>
      </c>
      <c r="F34" s="8">
        <v>2963129.32</v>
      </c>
      <c r="G34" s="8">
        <v>2936333.53</v>
      </c>
      <c r="H34" s="8">
        <v>2908045.8</v>
      </c>
      <c r="I34" s="8">
        <v>2884704.97</v>
      </c>
      <c r="J34" s="8">
        <v>2866979.51</v>
      </c>
      <c r="K34" s="8">
        <v>2999524.3</v>
      </c>
      <c r="L34" s="8">
        <v>2983843.33</v>
      </c>
      <c r="M34" s="8">
        <v>2983121.99</v>
      </c>
      <c r="N34" s="8">
        <v>3046882.26</v>
      </c>
      <c r="O34" s="11">
        <f t="shared" si="0"/>
        <v>2977914.7792307693</v>
      </c>
      <c r="R34" s="16">
        <v>192492.08</v>
      </c>
      <c r="S34" s="16">
        <v>191964</v>
      </c>
      <c r="T34" s="16">
        <v>190664.59</v>
      </c>
      <c r="U34" s="16">
        <v>190751.75</v>
      </c>
      <c r="V34" s="16">
        <v>189650.73</v>
      </c>
      <c r="W34" s="16">
        <v>188630.62</v>
      </c>
      <c r="X34" s="16">
        <v>188753.77</v>
      </c>
      <c r="Y34" s="16">
        <v>187764.86</v>
      </c>
      <c r="Z34" s="16">
        <v>191044.68</v>
      </c>
      <c r="AA34" s="16">
        <v>192278.53</v>
      </c>
      <c r="AB34" s="16">
        <v>191123.17</v>
      </c>
      <c r="AC34" s="16">
        <v>189885.26</v>
      </c>
      <c r="AD34" s="16">
        <v>189871.9</v>
      </c>
      <c r="AE34" s="11">
        <f t="shared" si="1"/>
        <v>190375.07230769232</v>
      </c>
    </row>
    <row r="35" spans="1:31" x14ac:dyDescent="0.3">
      <c r="A35" s="6" t="s">
        <v>77</v>
      </c>
      <c r="B35" s="8">
        <v>15977456.17</v>
      </c>
      <c r="C35" s="8">
        <v>15995306.52</v>
      </c>
      <c r="D35" s="8">
        <v>15998872.74</v>
      </c>
      <c r="E35" s="8">
        <v>10622622.92</v>
      </c>
      <c r="F35" s="8">
        <v>10628504.199999999</v>
      </c>
      <c r="G35" s="8">
        <v>10063574.15</v>
      </c>
      <c r="H35" s="8">
        <v>10210311.050000001</v>
      </c>
      <c r="I35" s="8">
        <v>10216584.93</v>
      </c>
      <c r="J35" s="8">
        <v>10222459.99</v>
      </c>
      <c r="K35" s="8">
        <v>5931357.2599999998</v>
      </c>
      <c r="L35" s="8">
        <v>5893627.9500000002</v>
      </c>
      <c r="M35" s="8">
        <v>5888639.3799999999</v>
      </c>
      <c r="N35" s="8">
        <v>6373737.5300000003</v>
      </c>
      <c r="O35" s="11">
        <f t="shared" si="0"/>
        <v>10309465.753076924</v>
      </c>
      <c r="R35" s="16">
        <v>23474.81</v>
      </c>
      <c r="S35" s="16">
        <v>23474.81</v>
      </c>
      <c r="T35" s="16">
        <v>23474.81</v>
      </c>
      <c r="U35" s="16">
        <v>26044.52</v>
      </c>
      <c r="V35" s="16">
        <v>26044.52</v>
      </c>
      <c r="W35" s="16">
        <v>11745</v>
      </c>
      <c r="X35" s="16">
        <v>12654.71</v>
      </c>
      <c r="Y35" s="16">
        <v>12654.71</v>
      </c>
      <c r="Z35" s="16">
        <v>12654.71</v>
      </c>
      <c r="AA35" s="16">
        <v>5995.67</v>
      </c>
      <c r="AB35" s="16">
        <v>5995.67</v>
      </c>
      <c r="AC35" s="16">
        <v>5995.67</v>
      </c>
      <c r="AD35" s="16">
        <v>26409.85</v>
      </c>
      <c r="AE35" s="11">
        <f t="shared" si="1"/>
        <v>16663.035384615388</v>
      </c>
    </row>
    <row r="36" spans="1:31" x14ac:dyDescent="0.3">
      <c r="A36" s="6" t="s">
        <v>78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2">
        <f t="shared" si="0"/>
        <v>0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1">
        <f t="shared" si="1"/>
        <v>0</v>
      </c>
    </row>
    <row r="37" spans="1:31" x14ac:dyDescent="0.3">
      <c r="A37" s="6" t="s">
        <v>55</v>
      </c>
      <c r="B37" s="8">
        <v>5250835.83</v>
      </c>
      <c r="C37" s="8">
        <v>5119662.83</v>
      </c>
      <c r="D37" s="8">
        <v>5111943.83</v>
      </c>
      <c r="E37" s="8">
        <v>587626.64</v>
      </c>
      <c r="F37" s="8">
        <v>579907.64</v>
      </c>
      <c r="G37" s="8">
        <v>572188.64</v>
      </c>
      <c r="H37" s="8">
        <v>623360.79</v>
      </c>
      <c r="I37" s="8">
        <v>592484.79</v>
      </c>
      <c r="J37" s="8">
        <v>598482.79</v>
      </c>
      <c r="K37" s="8">
        <v>627455.23</v>
      </c>
      <c r="L37" s="8">
        <v>627455.23</v>
      </c>
      <c r="M37" s="8">
        <v>627455.23</v>
      </c>
      <c r="N37" s="8">
        <v>538470</v>
      </c>
      <c r="O37" s="11">
        <f t="shared" si="0"/>
        <v>1650563.8053846152</v>
      </c>
      <c r="R37" s="16">
        <v>249445</v>
      </c>
      <c r="S37" s="16">
        <v>249294</v>
      </c>
      <c r="T37" s="16">
        <v>249143</v>
      </c>
      <c r="U37" s="16">
        <v>191883</v>
      </c>
      <c r="V37" s="16">
        <v>191732</v>
      </c>
      <c r="W37" s="16">
        <v>191581</v>
      </c>
      <c r="X37" s="16">
        <v>181837.81</v>
      </c>
      <c r="Y37" s="16">
        <v>191279</v>
      </c>
      <c r="Z37" s="16">
        <v>191128</v>
      </c>
      <c r="AA37" s="16">
        <v>182924</v>
      </c>
      <c r="AB37" s="16">
        <v>182924</v>
      </c>
      <c r="AC37" s="16">
        <v>182925.45</v>
      </c>
      <c r="AD37" s="16">
        <v>162006.45000000001</v>
      </c>
      <c r="AE37" s="11">
        <f t="shared" si="1"/>
        <v>199854.05461538464</v>
      </c>
    </row>
    <row r="38" spans="1:31" x14ac:dyDescent="0.3">
      <c r="A38" s="6" t="s">
        <v>79</v>
      </c>
      <c r="B38" s="8">
        <v>24296049.670000002</v>
      </c>
      <c r="C38" s="8">
        <v>24161007.260000002</v>
      </c>
      <c r="D38" s="8">
        <v>24129214.789999999</v>
      </c>
      <c r="E38" s="8">
        <v>14218382.880000001</v>
      </c>
      <c r="F38" s="8">
        <v>14171541.16</v>
      </c>
      <c r="G38" s="8">
        <v>13572096.32</v>
      </c>
      <c r="H38" s="8">
        <v>13741717.640000001</v>
      </c>
      <c r="I38" s="8">
        <v>13693774.689999999</v>
      </c>
      <c r="J38" s="8">
        <v>13687922.289999999</v>
      </c>
      <c r="K38" s="8">
        <v>9558336.7899999991</v>
      </c>
      <c r="L38" s="8">
        <v>9504926.5099999998</v>
      </c>
      <c r="M38" s="8">
        <v>9499216.5999999996</v>
      </c>
      <c r="N38" s="8">
        <v>9959089.7899999991</v>
      </c>
      <c r="O38" s="11">
        <f t="shared" si="0"/>
        <v>14937944.337692304</v>
      </c>
      <c r="R38" s="16">
        <v>574549.36</v>
      </c>
      <c r="S38" s="16">
        <v>573870.28</v>
      </c>
      <c r="T38" s="16">
        <v>572419.87</v>
      </c>
      <c r="U38" s="16">
        <v>511981.56</v>
      </c>
      <c r="V38" s="16">
        <v>510729.54</v>
      </c>
      <c r="W38" s="16">
        <v>495258.91</v>
      </c>
      <c r="X38" s="16">
        <v>480713.4</v>
      </c>
      <c r="Y38" s="16">
        <v>489165.68</v>
      </c>
      <c r="Z38" s="16">
        <v>492294.5</v>
      </c>
      <c r="AA38" s="16">
        <v>472668.08</v>
      </c>
      <c r="AB38" s="16">
        <v>471512.72</v>
      </c>
      <c r="AC38" s="16">
        <v>470276.26</v>
      </c>
      <c r="AD38" s="16">
        <v>463759.86</v>
      </c>
      <c r="AE38" s="11">
        <f t="shared" si="1"/>
        <v>506092.30923076929</v>
      </c>
    </row>
    <row r="39" spans="1:31" x14ac:dyDescent="0.3">
      <c r="A39" s="6" t="s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2">
        <f t="shared" si="0"/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1">
        <f t="shared" si="1"/>
        <v>0</v>
      </c>
    </row>
    <row r="40" spans="1:31" x14ac:dyDescent="0.3">
      <c r="A40" s="6" t="s">
        <v>80</v>
      </c>
      <c r="B40" s="8">
        <v>182601586.96000001</v>
      </c>
      <c r="C40" s="8">
        <v>183443325.91999999</v>
      </c>
      <c r="D40" s="8">
        <v>183609251.18000001</v>
      </c>
      <c r="E40" s="8">
        <v>173306458.55000001</v>
      </c>
      <c r="F40" s="8">
        <v>172510913.94</v>
      </c>
      <c r="G40" s="8">
        <v>171816995.43000001</v>
      </c>
      <c r="H40" s="8">
        <v>173878904.08000001</v>
      </c>
      <c r="I40" s="8">
        <v>173265515.19</v>
      </c>
      <c r="J40" s="8">
        <v>174579932.37</v>
      </c>
      <c r="K40" s="8">
        <v>174080888.25999999</v>
      </c>
      <c r="L40" s="8">
        <v>172996238.31</v>
      </c>
      <c r="M40" s="8">
        <v>176839670.37</v>
      </c>
      <c r="N40" s="8">
        <v>170017324.87</v>
      </c>
      <c r="O40" s="11">
        <f t="shared" si="0"/>
        <v>175611308.10999998</v>
      </c>
      <c r="R40" s="16">
        <v>2565568.1800000002</v>
      </c>
      <c r="S40" s="16">
        <v>2513968.2000000002</v>
      </c>
      <c r="T40" s="16">
        <v>2458640.56</v>
      </c>
      <c r="U40" s="16">
        <v>2465414.52</v>
      </c>
      <c r="V40" s="16">
        <v>2457902.71</v>
      </c>
      <c r="W40" s="16">
        <v>2456863.4500000002</v>
      </c>
      <c r="X40" s="16">
        <v>2532879.3199999998</v>
      </c>
      <c r="Y40" s="16">
        <v>2492151.8199999998</v>
      </c>
      <c r="Z40" s="16">
        <v>2571164.2599999998</v>
      </c>
      <c r="AA40" s="16">
        <v>2702291.13</v>
      </c>
      <c r="AB40" s="16">
        <v>2831641.47</v>
      </c>
      <c r="AC40" s="16">
        <v>2873128.52</v>
      </c>
      <c r="AD40" s="16">
        <v>2810314.93</v>
      </c>
      <c r="AE40" s="11">
        <f t="shared" si="1"/>
        <v>2594763.7746153846</v>
      </c>
    </row>
    <row r="41" spans="1:31" x14ac:dyDescent="0.3">
      <c r="A41" s="6" t="s">
        <v>35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2">
        <f t="shared" si="0"/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1">
        <f t="shared" si="1"/>
        <v>0</v>
      </c>
    </row>
    <row r="42" spans="1:31" x14ac:dyDescent="0.3">
      <c r="A42" s="6" t="s">
        <v>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2">
        <f t="shared" si="0"/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1">
        <f t="shared" si="1"/>
        <v>0</v>
      </c>
    </row>
    <row r="43" spans="1:31" x14ac:dyDescent="0.3">
      <c r="A43" s="6" t="s">
        <v>82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2">
        <f t="shared" si="0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1">
        <f t="shared" si="1"/>
        <v>0</v>
      </c>
    </row>
    <row r="44" spans="1:31" x14ac:dyDescent="0.3">
      <c r="A44" s="6" t="s">
        <v>83</v>
      </c>
      <c r="B44" s="8">
        <v>2346542.6</v>
      </c>
      <c r="C44" s="8">
        <v>2254471.0299999998</v>
      </c>
      <c r="D44" s="8">
        <v>1467645.95</v>
      </c>
      <c r="E44" s="8">
        <v>1881843.92</v>
      </c>
      <c r="F44" s="8">
        <v>1294461.05</v>
      </c>
      <c r="G44" s="8">
        <v>1204613.42</v>
      </c>
      <c r="H44" s="8">
        <v>2336459.0499999998</v>
      </c>
      <c r="I44" s="8">
        <v>1567534.66</v>
      </c>
      <c r="J44" s="8">
        <v>1760150.98</v>
      </c>
      <c r="K44" s="8">
        <v>3092078.56</v>
      </c>
      <c r="L44" s="8">
        <v>1995938.33</v>
      </c>
      <c r="M44" s="8">
        <v>1926794.41</v>
      </c>
      <c r="N44" s="8">
        <v>2815190.31</v>
      </c>
      <c r="O44" s="11">
        <f t="shared" si="0"/>
        <v>1995671.0976923073</v>
      </c>
      <c r="R44" s="16">
        <v>260383.34</v>
      </c>
      <c r="S44" s="16">
        <v>224759.29</v>
      </c>
      <c r="T44" s="16">
        <v>167689.32999999999</v>
      </c>
      <c r="U44" s="16">
        <v>161542.60999999999</v>
      </c>
      <c r="V44" s="16">
        <v>138463.07999999999</v>
      </c>
      <c r="W44" s="16">
        <v>167172.06</v>
      </c>
      <c r="X44" s="16">
        <v>168990.95</v>
      </c>
      <c r="Y44" s="16">
        <v>144518.82</v>
      </c>
      <c r="Z44" s="16">
        <v>181565.87</v>
      </c>
      <c r="AA44" s="16">
        <v>237821.3</v>
      </c>
      <c r="AB44" s="16">
        <v>319202.23</v>
      </c>
      <c r="AC44" s="16">
        <v>444960.46</v>
      </c>
      <c r="AD44" s="16">
        <v>404936.72</v>
      </c>
      <c r="AE44" s="11">
        <f t="shared" si="1"/>
        <v>232462.00461538459</v>
      </c>
    </row>
    <row r="45" spans="1:31" x14ac:dyDescent="0.3">
      <c r="A45" s="6" t="s">
        <v>56</v>
      </c>
      <c r="B45" s="8">
        <v>331210.13</v>
      </c>
      <c r="C45" s="8">
        <v>919559.46</v>
      </c>
      <c r="D45" s="8">
        <v>1081482.06</v>
      </c>
      <c r="E45" s="8">
        <v>196614.69</v>
      </c>
      <c r="F45" s="8">
        <v>154014.07</v>
      </c>
      <c r="G45" s="8">
        <v>126059.72</v>
      </c>
      <c r="H45" s="8">
        <v>257126.79</v>
      </c>
      <c r="I45" s="8">
        <v>404142.75</v>
      </c>
      <c r="J45" s="8">
        <v>320117.98</v>
      </c>
      <c r="K45" s="8">
        <v>893780.75</v>
      </c>
      <c r="L45" s="8">
        <v>740933.87</v>
      </c>
      <c r="M45" s="8">
        <v>833355.08</v>
      </c>
      <c r="N45" s="8">
        <v>1425749.31</v>
      </c>
      <c r="O45" s="11">
        <f t="shared" si="0"/>
        <v>591088.20461538457</v>
      </c>
      <c r="R45" s="16">
        <v>13438.62</v>
      </c>
      <c r="S45" s="16">
        <v>19184.169999999998</v>
      </c>
      <c r="T45" s="16">
        <v>48476.52</v>
      </c>
      <c r="U45" s="16">
        <v>47866.51</v>
      </c>
      <c r="V45" s="16">
        <v>47015.77</v>
      </c>
      <c r="W45" s="16">
        <v>59163.91</v>
      </c>
      <c r="X45" s="16">
        <v>72758.66</v>
      </c>
      <c r="Y45" s="16">
        <v>67972</v>
      </c>
      <c r="Z45" s="16">
        <v>141244.07</v>
      </c>
      <c r="AA45" s="16">
        <v>72934.880000000005</v>
      </c>
      <c r="AB45" s="16">
        <v>75451.81</v>
      </c>
      <c r="AC45" s="16">
        <v>48933.48</v>
      </c>
      <c r="AD45" s="16">
        <v>58083.1</v>
      </c>
      <c r="AE45" s="11">
        <f t="shared" si="1"/>
        <v>59424.884615384624</v>
      </c>
    </row>
    <row r="46" spans="1:31" x14ac:dyDescent="0.3">
      <c r="A46" s="6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8">
        <v>14283421.33</v>
      </c>
      <c r="L46" s="8">
        <v>12114442.57</v>
      </c>
      <c r="M46" s="8">
        <v>13183292.66</v>
      </c>
      <c r="N46" s="8">
        <v>6131512.9299999997</v>
      </c>
      <c r="O46" s="11">
        <f t="shared" si="0"/>
        <v>11428167.372500001</v>
      </c>
      <c r="R46" s="16">
        <v>5588027.4699999997</v>
      </c>
      <c r="S46" s="16">
        <v>5669376.2300000004</v>
      </c>
      <c r="T46" s="16">
        <v>5755451.8899999997</v>
      </c>
      <c r="U46" s="16">
        <v>5848485.6200000001</v>
      </c>
      <c r="V46" s="16">
        <v>5962728.7000000002</v>
      </c>
      <c r="W46" s="16">
        <v>6028491.29</v>
      </c>
      <c r="X46" s="16">
        <v>6135704.9100000001</v>
      </c>
      <c r="Y46" s="16">
        <v>6272810.4400000004</v>
      </c>
      <c r="Z46" s="16">
        <v>6366220.9400000004</v>
      </c>
      <c r="AA46" s="16">
        <v>758350.89</v>
      </c>
      <c r="AB46" s="16">
        <v>800019.28</v>
      </c>
      <c r="AC46" s="16">
        <v>841807.4</v>
      </c>
      <c r="AD46" s="16">
        <v>983879.35</v>
      </c>
      <c r="AE46" s="11">
        <f t="shared" si="1"/>
        <v>4385488.8007692304</v>
      </c>
    </row>
    <row r="47" spans="1:31" x14ac:dyDescent="0.3">
      <c r="A47" s="6" t="s">
        <v>85</v>
      </c>
      <c r="B47" s="17">
        <v>1500000</v>
      </c>
      <c r="C47" s="17">
        <v>1500000</v>
      </c>
      <c r="D47" s="17">
        <v>1500000</v>
      </c>
      <c r="E47" s="17">
        <v>1500000</v>
      </c>
      <c r="F47" s="17">
        <v>1500000</v>
      </c>
      <c r="G47" s="17">
        <v>1500000</v>
      </c>
      <c r="H47" s="17">
        <v>1500000</v>
      </c>
      <c r="I47" s="17">
        <v>1500000</v>
      </c>
      <c r="J47" s="17">
        <v>1500000</v>
      </c>
      <c r="K47" s="17">
        <v>1500000</v>
      </c>
      <c r="L47" s="17">
        <v>1500000</v>
      </c>
      <c r="M47" s="17">
        <v>1500000</v>
      </c>
      <c r="N47" s="17">
        <v>1500000</v>
      </c>
      <c r="O47" s="12">
        <f t="shared" si="0"/>
        <v>1500000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1">
        <f t="shared" si="1"/>
        <v>0</v>
      </c>
    </row>
    <row r="48" spans="1:31" x14ac:dyDescent="0.3">
      <c r="A48" s="6" t="s">
        <v>86</v>
      </c>
      <c r="B48" s="8">
        <v>54433.33</v>
      </c>
      <c r="C48" s="8">
        <v>217733.33</v>
      </c>
      <c r="D48" s="8">
        <v>381033.33</v>
      </c>
      <c r="E48" s="8">
        <v>54433.33</v>
      </c>
      <c r="F48" s="8">
        <v>217733.33</v>
      </c>
      <c r="G48" s="8">
        <v>381033.33</v>
      </c>
      <c r="H48" s="8">
        <v>54433.33</v>
      </c>
      <c r="I48" s="8">
        <v>217733.33</v>
      </c>
      <c r="J48" s="8">
        <v>381033.33</v>
      </c>
      <c r="K48" s="8">
        <v>52658.33</v>
      </c>
      <c r="L48" s="8">
        <v>210633.33</v>
      </c>
      <c r="M48" s="8">
        <v>368608.33</v>
      </c>
      <c r="N48" s="8">
        <v>52658.33</v>
      </c>
      <c r="O48" s="11">
        <f t="shared" si="0"/>
        <v>203396.79153846158</v>
      </c>
      <c r="R48" s="16">
        <v>3319.29</v>
      </c>
      <c r="S48" s="16">
        <v>4425.72</v>
      </c>
      <c r="T48" s="16">
        <v>5532.15</v>
      </c>
      <c r="U48" s="15"/>
      <c r="V48" s="16">
        <v>1106.43</v>
      </c>
      <c r="W48" s="16">
        <v>2212.86</v>
      </c>
      <c r="X48" s="16">
        <v>3319.29</v>
      </c>
      <c r="Y48" s="16">
        <v>4425.72</v>
      </c>
      <c r="Z48" s="16">
        <v>5532.15</v>
      </c>
      <c r="AA48" s="15"/>
      <c r="AB48" s="16">
        <v>1106.43</v>
      </c>
      <c r="AC48" s="16">
        <v>2212.86</v>
      </c>
      <c r="AD48" s="16">
        <v>3319.29</v>
      </c>
      <c r="AE48" s="11">
        <f t="shared" si="1"/>
        <v>3319.2900000000004</v>
      </c>
    </row>
    <row r="49" spans="1:31" x14ac:dyDescent="0.3">
      <c r="A49" s="6" t="s">
        <v>87</v>
      </c>
      <c r="B49" s="8">
        <v>2499652.36</v>
      </c>
      <c r="C49" s="8">
        <v>2713656.62</v>
      </c>
      <c r="D49" s="8">
        <v>3113457.96</v>
      </c>
      <c r="E49" s="8">
        <v>3342996.68</v>
      </c>
      <c r="F49" s="8">
        <v>3502824.17</v>
      </c>
      <c r="G49" s="8">
        <v>3850535.78</v>
      </c>
      <c r="H49" s="8">
        <v>4277886.41</v>
      </c>
      <c r="I49" s="8">
        <v>4661899.71</v>
      </c>
      <c r="J49" s="8">
        <v>5059794.3</v>
      </c>
      <c r="K49" s="8">
        <v>5142302.3</v>
      </c>
      <c r="L49" s="8">
        <v>5427952.1100000003</v>
      </c>
      <c r="M49" s="8">
        <v>5015754.0999999996</v>
      </c>
      <c r="N49" s="8">
        <v>4930193.1500000004</v>
      </c>
      <c r="O49" s="11">
        <f t="shared" si="0"/>
        <v>4118377.3576923078</v>
      </c>
      <c r="R49" s="16">
        <v>65877.119999999995</v>
      </c>
      <c r="S49" s="16">
        <v>79357.679999999993</v>
      </c>
      <c r="T49" s="16">
        <v>92424.18</v>
      </c>
      <c r="U49" s="16">
        <v>85812.04</v>
      </c>
      <c r="V49" s="16">
        <v>88381.21</v>
      </c>
      <c r="W49" s="16">
        <v>106022.62</v>
      </c>
      <c r="X49" s="16">
        <v>110859.1</v>
      </c>
      <c r="Y49" s="16">
        <v>116181.02</v>
      </c>
      <c r="Z49" s="16">
        <v>130172.92</v>
      </c>
      <c r="AA49" s="16">
        <v>115579.24</v>
      </c>
      <c r="AB49" s="16">
        <v>121669.86</v>
      </c>
      <c r="AC49" s="16">
        <v>126587.99</v>
      </c>
      <c r="AD49" s="16">
        <v>88927.24</v>
      </c>
      <c r="AE49" s="11">
        <f t="shared" si="1"/>
        <v>102142.47846153846</v>
      </c>
    </row>
    <row r="50" spans="1:31" x14ac:dyDescent="0.3">
      <c r="A50" s="6" t="s">
        <v>88</v>
      </c>
      <c r="B50" s="8">
        <v>45150</v>
      </c>
      <c r="C50" s="8">
        <v>-106064</v>
      </c>
      <c r="D50" s="8">
        <v>-170352</v>
      </c>
      <c r="E50" s="7"/>
      <c r="F50" s="8">
        <v>-240107</v>
      </c>
      <c r="G50" s="8">
        <v>-615279</v>
      </c>
      <c r="H50" s="7"/>
      <c r="I50" s="8">
        <v>-834358</v>
      </c>
      <c r="J50" s="8">
        <v>-1041366</v>
      </c>
      <c r="K50" s="8">
        <v>590224</v>
      </c>
      <c r="L50" s="8">
        <v>590224</v>
      </c>
      <c r="M50" s="8">
        <v>590224</v>
      </c>
      <c r="N50" s="8">
        <v>590224</v>
      </c>
      <c r="O50" s="11">
        <f t="shared" si="0"/>
        <v>-54680</v>
      </c>
      <c r="R50" s="16">
        <v>-31070</v>
      </c>
      <c r="S50" s="16">
        <v>-52307</v>
      </c>
      <c r="T50" s="16">
        <v>-77196</v>
      </c>
      <c r="U50" s="15"/>
      <c r="V50" s="16">
        <v>-19641</v>
      </c>
      <c r="W50" s="16">
        <v>-39799</v>
      </c>
      <c r="X50" s="15"/>
      <c r="Y50" s="16">
        <v>-74351</v>
      </c>
      <c r="Z50" s="16">
        <v>-101416</v>
      </c>
      <c r="AA50" s="16">
        <v>-128043</v>
      </c>
      <c r="AB50" s="16">
        <v>-128043</v>
      </c>
      <c r="AC50" s="16">
        <v>-128043</v>
      </c>
      <c r="AD50" s="16">
        <v>-128043</v>
      </c>
      <c r="AE50" s="11">
        <f t="shared" si="1"/>
        <v>-82541.090909090912</v>
      </c>
    </row>
    <row r="51" spans="1:31" x14ac:dyDescent="0.3">
      <c r="A51" s="6" t="s">
        <v>89</v>
      </c>
      <c r="B51" s="8">
        <v>-199201.31</v>
      </c>
      <c r="C51" s="8">
        <v>-237160.31</v>
      </c>
      <c r="D51" s="8">
        <v>-253211.31</v>
      </c>
      <c r="E51" s="7"/>
      <c r="F51" s="8">
        <v>-60177</v>
      </c>
      <c r="G51" s="8">
        <v>-154205</v>
      </c>
      <c r="H51" s="7"/>
      <c r="I51" s="8">
        <v>-209175</v>
      </c>
      <c r="J51" s="8">
        <v>-261057</v>
      </c>
      <c r="K51" s="8">
        <v>148089</v>
      </c>
      <c r="L51" s="8">
        <v>148089</v>
      </c>
      <c r="M51" s="8">
        <v>148089</v>
      </c>
      <c r="N51" s="8">
        <v>148089</v>
      </c>
      <c r="O51" s="11">
        <f t="shared" si="0"/>
        <v>-71075.539090909078</v>
      </c>
      <c r="R51" s="16">
        <v>-7441</v>
      </c>
      <c r="S51" s="16">
        <v>-12764</v>
      </c>
      <c r="T51" s="16">
        <v>-19002</v>
      </c>
      <c r="U51" s="15"/>
      <c r="V51" s="16">
        <v>-4923</v>
      </c>
      <c r="W51" s="16">
        <v>-9975</v>
      </c>
      <c r="X51" s="15"/>
      <c r="Y51" s="16">
        <v>-18634</v>
      </c>
      <c r="Z51" s="16">
        <v>-25417</v>
      </c>
      <c r="AA51" s="16">
        <v>28632</v>
      </c>
      <c r="AB51" s="16">
        <v>28632</v>
      </c>
      <c r="AC51" s="16">
        <v>28632</v>
      </c>
      <c r="AD51" s="16">
        <v>28632</v>
      </c>
      <c r="AE51" s="11">
        <f t="shared" si="1"/>
        <v>1488.3636363636363</v>
      </c>
    </row>
    <row r="52" spans="1:31" x14ac:dyDescent="0.3">
      <c r="A52" s="6" t="s">
        <v>90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2">
        <f t="shared" si="0"/>
        <v>0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1">
        <f t="shared" si="1"/>
        <v>0</v>
      </c>
    </row>
    <row r="53" spans="1:31" x14ac:dyDescent="0.3">
      <c r="A53" s="6" t="s">
        <v>91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2">
        <f t="shared" si="0"/>
        <v>0</v>
      </c>
      <c r="R53" s="16">
        <v>104440.51</v>
      </c>
      <c r="S53" s="16">
        <v>106793.78</v>
      </c>
      <c r="T53" s="16">
        <v>82308.88</v>
      </c>
      <c r="U53" s="16">
        <v>67465.759999999995</v>
      </c>
      <c r="V53" s="16">
        <v>63305.39</v>
      </c>
      <c r="W53" s="16">
        <v>59691.91</v>
      </c>
      <c r="X53" s="16">
        <v>57401.32</v>
      </c>
      <c r="Y53" s="16">
        <v>63892.49</v>
      </c>
      <c r="Z53" s="16">
        <v>90523.02</v>
      </c>
      <c r="AA53" s="16">
        <v>144148.26</v>
      </c>
      <c r="AB53" s="16">
        <v>159026.98000000001</v>
      </c>
      <c r="AC53" s="16">
        <v>107510.44</v>
      </c>
      <c r="AD53" s="16">
        <v>21008.47</v>
      </c>
      <c r="AE53" s="11">
        <f t="shared" si="1"/>
        <v>86732.093076923076</v>
      </c>
    </row>
    <row r="54" spans="1:31" x14ac:dyDescent="0.3">
      <c r="A54" s="6" t="s">
        <v>55</v>
      </c>
      <c r="B54" s="8">
        <v>65313.91</v>
      </c>
      <c r="C54" s="8">
        <v>72570.95</v>
      </c>
      <c r="D54" s="8">
        <v>80695.03</v>
      </c>
      <c r="E54" s="8">
        <v>76456.429999999993</v>
      </c>
      <c r="F54" s="8">
        <v>86076.79</v>
      </c>
      <c r="G54" s="8">
        <v>95568.7</v>
      </c>
      <c r="H54" s="8">
        <v>99289.06</v>
      </c>
      <c r="I54" s="8">
        <v>108914.02</v>
      </c>
      <c r="J54" s="8">
        <v>119264.17</v>
      </c>
      <c r="K54" s="8">
        <v>127339.97</v>
      </c>
      <c r="L54" s="8">
        <v>82165.710000000006</v>
      </c>
      <c r="M54" s="8">
        <v>83045.100000000006</v>
      </c>
      <c r="N54" s="8">
        <v>44824.09</v>
      </c>
      <c r="O54" s="11">
        <f t="shared" si="0"/>
        <v>87809.533076923079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1">
        <f t="shared" si="1"/>
        <v>0</v>
      </c>
    </row>
    <row r="55" spans="1:31" x14ac:dyDescent="0.3">
      <c r="A55" s="6" t="s">
        <v>92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2">
        <f t="shared" si="0"/>
        <v>0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1">
        <f t="shared" si="1"/>
        <v>0</v>
      </c>
    </row>
    <row r="56" spans="1:31" x14ac:dyDescent="0.3">
      <c r="A56" s="6" t="s">
        <v>66</v>
      </c>
      <c r="B56" s="8">
        <v>2264478.59</v>
      </c>
      <c r="C56" s="8">
        <v>2171282.81</v>
      </c>
      <c r="D56" s="8">
        <v>2331789.71</v>
      </c>
      <c r="E56" s="8">
        <v>1953570.09</v>
      </c>
      <c r="F56" s="8">
        <v>1880843.11</v>
      </c>
      <c r="G56" s="8">
        <v>1816186.63</v>
      </c>
      <c r="H56" s="8">
        <v>1804633.01</v>
      </c>
      <c r="I56" s="8">
        <v>1905973.8</v>
      </c>
      <c r="J56" s="8">
        <v>1853952.43</v>
      </c>
      <c r="K56" s="8">
        <v>1726448.43</v>
      </c>
      <c r="L56" s="8">
        <v>1535087.9</v>
      </c>
      <c r="M56" s="8">
        <v>2114186.2200000002</v>
      </c>
      <c r="N56" s="8">
        <v>1727641.3</v>
      </c>
      <c r="O56" s="11">
        <f t="shared" si="0"/>
        <v>1929698.0023076923</v>
      </c>
      <c r="R56" s="16">
        <v>67074.490000000005</v>
      </c>
      <c r="S56" s="16">
        <v>55934.18</v>
      </c>
      <c r="T56" s="16">
        <v>56868.85</v>
      </c>
      <c r="U56" s="16">
        <v>55865.440000000002</v>
      </c>
      <c r="V56" s="16">
        <v>55750.23</v>
      </c>
      <c r="W56" s="16">
        <v>57995.61</v>
      </c>
      <c r="X56" s="16">
        <v>54452.85</v>
      </c>
      <c r="Y56" s="16">
        <v>54312.07</v>
      </c>
      <c r="Z56" s="16">
        <v>55306.59</v>
      </c>
      <c r="AA56" s="16">
        <v>57186.53</v>
      </c>
      <c r="AB56" s="16">
        <v>59966.11</v>
      </c>
      <c r="AC56" s="16">
        <v>59386.52</v>
      </c>
      <c r="AD56" s="16">
        <v>58901.95</v>
      </c>
      <c r="AE56" s="11">
        <f t="shared" si="1"/>
        <v>57615.49384615384</v>
      </c>
    </row>
    <row r="57" spans="1:31" x14ac:dyDescent="0.3">
      <c r="A57" s="6" t="s">
        <v>93</v>
      </c>
      <c r="B57" s="8">
        <v>8907579.6099999994</v>
      </c>
      <c r="C57" s="8">
        <v>9506049.8900000006</v>
      </c>
      <c r="D57" s="8">
        <v>9532540.7300000004</v>
      </c>
      <c r="E57" s="8">
        <v>9005915.1400000006</v>
      </c>
      <c r="F57" s="8">
        <v>8335668.5199999996</v>
      </c>
      <c r="G57" s="8">
        <v>8204513.5800000001</v>
      </c>
      <c r="H57" s="8">
        <v>10329827.65</v>
      </c>
      <c r="I57" s="8">
        <v>9322665.2699999996</v>
      </c>
      <c r="J57" s="8">
        <v>9691890.1899999995</v>
      </c>
      <c r="K57" s="8">
        <v>27556342.670000002</v>
      </c>
      <c r="L57" s="8">
        <v>24345466.82</v>
      </c>
      <c r="M57" s="8">
        <v>25763348.899999999</v>
      </c>
      <c r="N57" s="8">
        <v>19366082.420000002</v>
      </c>
      <c r="O57" s="11">
        <f t="shared" si="0"/>
        <v>13835991.645384613</v>
      </c>
      <c r="R57" s="16">
        <v>6064049.8399999999</v>
      </c>
      <c r="S57" s="16">
        <v>6094760.0499999998</v>
      </c>
      <c r="T57" s="16">
        <v>6112553.7999999998</v>
      </c>
      <c r="U57" s="16">
        <v>6267037.9800000004</v>
      </c>
      <c r="V57" s="16">
        <v>6332186.8099999996</v>
      </c>
      <c r="W57" s="16">
        <v>6430976.2599999998</v>
      </c>
      <c r="X57" s="16">
        <v>6603487.0800000001</v>
      </c>
      <c r="Y57" s="16">
        <v>6631127.5599999996</v>
      </c>
      <c r="Z57" s="16">
        <v>6843732.5599999996</v>
      </c>
      <c r="AA57" s="16">
        <v>1286610.1000000001</v>
      </c>
      <c r="AB57" s="16">
        <v>1437031.7</v>
      </c>
      <c r="AC57" s="16">
        <v>1531988.15</v>
      </c>
      <c r="AD57" s="16">
        <v>1519645.12</v>
      </c>
      <c r="AE57" s="11">
        <f t="shared" si="1"/>
        <v>4858091.3084615385</v>
      </c>
    </row>
    <row r="58" spans="1:31" x14ac:dyDescent="0.3">
      <c r="A58" s="6" t="s">
        <v>35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2">
        <f t="shared" si="0"/>
        <v>0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1">
        <f t="shared" si="1"/>
        <v>0</v>
      </c>
    </row>
    <row r="59" spans="1:31" x14ac:dyDescent="0.3">
      <c r="A59" s="6" t="s">
        <v>94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2">
        <f t="shared" si="0"/>
        <v>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1">
        <f t="shared" si="1"/>
        <v>0</v>
      </c>
    </row>
    <row r="60" spans="1:31" x14ac:dyDescent="0.3">
      <c r="A60" s="6" t="s">
        <v>95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2">
        <f t="shared" si="0"/>
        <v>0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1">
        <f t="shared" si="1"/>
        <v>0</v>
      </c>
    </row>
    <row r="61" spans="1:31" x14ac:dyDescent="0.3">
      <c r="A61" s="6" t="s">
        <v>96</v>
      </c>
      <c r="B61" s="8">
        <v>44499999.950000003</v>
      </c>
      <c r="C61" s="8">
        <v>44499999.950000003</v>
      </c>
      <c r="D61" s="8">
        <v>44499999.950000003</v>
      </c>
      <c r="E61" s="8">
        <v>44499999.950000003</v>
      </c>
      <c r="F61" s="8">
        <v>44499999.950000003</v>
      </c>
      <c r="G61" s="8">
        <v>44499999.950000003</v>
      </c>
      <c r="H61" s="8">
        <v>44499999.950000003</v>
      </c>
      <c r="I61" s="8">
        <v>44499999.950000003</v>
      </c>
      <c r="J61" s="8">
        <v>44499999.950000003</v>
      </c>
      <c r="K61" s="8">
        <v>42999999.950000003</v>
      </c>
      <c r="L61" s="8">
        <v>42999999.950000003</v>
      </c>
      <c r="M61" s="8">
        <v>42999999.950000003</v>
      </c>
      <c r="N61" s="8">
        <v>42999999.950000003</v>
      </c>
      <c r="O61" s="11">
        <f t="shared" si="0"/>
        <v>44038461.488461532</v>
      </c>
      <c r="R61" s="16">
        <v>318800</v>
      </c>
      <c r="S61" s="16">
        <v>318800</v>
      </c>
      <c r="T61" s="16">
        <v>318800</v>
      </c>
      <c r="U61" s="16">
        <v>318800</v>
      </c>
      <c r="V61" s="16">
        <v>318800</v>
      </c>
      <c r="W61" s="16">
        <v>318800</v>
      </c>
      <c r="X61" s="16">
        <v>318800</v>
      </c>
      <c r="Y61" s="16">
        <v>318800</v>
      </c>
      <c r="Z61" s="16">
        <v>318800</v>
      </c>
      <c r="AA61" s="16">
        <v>318800</v>
      </c>
      <c r="AB61" s="16">
        <v>318800</v>
      </c>
      <c r="AC61" s="16">
        <v>318800</v>
      </c>
      <c r="AD61" s="16">
        <v>318800</v>
      </c>
      <c r="AE61" s="11">
        <f t="shared" si="1"/>
        <v>318800</v>
      </c>
    </row>
    <row r="62" spans="1:31" x14ac:dyDescent="0.3">
      <c r="A62" s="6" t="s">
        <v>97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2">
        <f t="shared" si="0"/>
        <v>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1">
        <f t="shared" si="1"/>
        <v>0</v>
      </c>
    </row>
    <row r="63" spans="1:31" x14ac:dyDescent="0.3">
      <c r="A63" s="6" t="s">
        <v>35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2">
        <f t="shared" si="0"/>
        <v>0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1">
        <f t="shared" si="1"/>
        <v>0</v>
      </c>
    </row>
    <row r="64" spans="1:31" x14ac:dyDescent="0.3">
      <c r="A64" s="6" t="s">
        <v>98</v>
      </c>
      <c r="B64" s="8">
        <v>44499999.950000003</v>
      </c>
      <c r="C64" s="8">
        <v>44499999.950000003</v>
      </c>
      <c r="D64" s="8">
        <v>44499999.950000003</v>
      </c>
      <c r="E64" s="8">
        <v>44499999.950000003</v>
      </c>
      <c r="F64" s="8">
        <v>44499999.950000003</v>
      </c>
      <c r="G64" s="8">
        <v>44499999.950000003</v>
      </c>
      <c r="H64" s="8">
        <v>44499999.950000003</v>
      </c>
      <c r="I64" s="8">
        <v>44499999.950000003</v>
      </c>
      <c r="J64" s="8">
        <v>44499999.950000003</v>
      </c>
      <c r="K64" s="8">
        <v>42999999.950000003</v>
      </c>
      <c r="L64" s="8">
        <v>42999999.950000003</v>
      </c>
      <c r="M64" s="8">
        <v>42999999.950000003</v>
      </c>
      <c r="N64" s="8">
        <v>42999999.950000003</v>
      </c>
      <c r="O64" s="11">
        <f t="shared" si="0"/>
        <v>44038461.488461532</v>
      </c>
      <c r="R64" s="16">
        <v>318800</v>
      </c>
      <c r="S64" s="16">
        <v>318800</v>
      </c>
      <c r="T64" s="16">
        <v>318800</v>
      </c>
      <c r="U64" s="16">
        <v>318800</v>
      </c>
      <c r="V64" s="16">
        <v>318800</v>
      </c>
      <c r="W64" s="16">
        <v>318800</v>
      </c>
      <c r="X64" s="16">
        <v>318800</v>
      </c>
      <c r="Y64" s="16">
        <v>318800</v>
      </c>
      <c r="Z64" s="16">
        <v>318800</v>
      </c>
      <c r="AA64" s="16">
        <v>318800</v>
      </c>
      <c r="AB64" s="16">
        <v>318800</v>
      </c>
      <c r="AC64" s="16">
        <v>318800</v>
      </c>
      <c r="AD64" s="16">
        <v>318800</v>
      </c>
      <c r="AE64" s="11">
        <f t="shared" si="1"/>
        <v>318800</v>
      </c>
    </row>
    <row r="65" spans="1:31" x14ac:dyDescent="0.3">
      <c r="A65" s="6" t="s">
        <v>35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2">
        <f t="shared" si="0"/>
        <v>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1">
        <f t="shared" si="1"/>
        <v>0</v>
      </c>
    </row>
    <row r="66" spans="1:31" x14ac:dyDescent="0.3">
      <c r="A66" s="6" t="s">
        <v>99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2">
        <f t="shared" si="0"/>
        <v>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1">
        <f t="shared" si="1"/>
        <v>0</v>
      </c>
    </row>
    <row r="67" spans="1:31" x14ac:dyDescent="0.3">
      <c r="A67" s="6" t="s">
        <v>63</v>
      </c>
      <c r="B67" s="8">
        <v>28900035.109999999</v>
      </c>
      <c r="C67" s="8">
        <v>29144033.109999999</v>
      </c>
      <c r="D67" s="8">
        <v>29232753.109999999</v>
      </c>
      <c r="E67" s="8">
        <v>23491616.109999999</v>
      </c>
      <c r="F67" s="8">
        <v>23668423.109999999</v>
      </c>
      <c r="G67" s="8">
        <v>24031642.109999999</v>
      </c>
      <c r="H67" s="8">
        <v>23989724.109999999</v>
      </c>
      <c r="I67" s="8">
        <v>24260881.109999999</v>
      </c>
      <c r="J67" s="8">
        <v>24674842.109999999</v>
      </c>
      <c r="K67" s="8">
        <v>23303341.109999999</v>
      </c>
      <c r="L67" s="8">
        <v>23303341.109999999</v>
      </c>
      <c r="M67" s="8">
        <v>23303341.109999999</v>
      </c>
      <c r="N67" s="8">
        <v>23291648.109999999</v>
      </c>
      <c r="O67" s="11">
        <f t="shared" si="0"/>
        <v>24968893.956153855</v>
      </c>
      <c r="R67" s="16">
        <v>77249</v>
      </c>
      <c r="S67" s="16">
        <v>80437</v>
      </c>
      <c r="T67" s="16">
        <v>87480</v>
      </c>
      <c r="U67" s="16">
        <v>14170</v>
      </c>
      <c r="V67" s="16">
        <v>10367</v>
      </c>
      <c r="W67" s="16">
        <v>10014</v>
      </c>
      <c r="X67" s="15"/>
      <c r="Y67" s="16">
        <v>6232</v>
      </c>
      <c r="Z67" s="16">
        <v>20414</v>
      </c>
      <c r="AA67" s="16">
        <v>21422</v>
      </c>
      <c r="AB67" s="16">
        <v>21422</v>
      </c>
      <c r="AC67" s="16">
        <v>21422</v>
      </c>
      <c r="AD67" s="16">
        <v>53509</v>
      </c>
      <c r="AE67" s="11">
        <f t="shared" si="1"/>
        <v>35344.833333333336</v>
      </c>
    </row>
    <row r="68" spans="1:31" x14ac:dyDescent="0.3">
      <c r="A68" s="6" t="s">
        <v>100</v>
      </c>
      <c r="B68" s="8">
        <v>4083512.45</v>
      </c>
      <c r="C68" s="8">
        <v>4106530.84</v>
      </c>
      <c r="D68" s="8">
        <v>4129681.28</v>
      </c>
      <c r="E68" s="8">
        <v>4152964.58</v>
      </c>
      <c r="F68" s="8">
        <v>4176381.47</v>
      </c>
      <c r="G68" s="8">
        <v>4199932.75</v>
      </c>
      <c r="H68" s="8">
        <v>4223619.2</v>
      </c>
      <c r="I68" s="8">
        <v>4247441.57</v>
      </c>
      <c r="J68" s="8">
        <v>4271400.7</v>
      </c>
      <c r="K68" s="8">
        <v>130284.83</v>
      </c>
      <c r="L68" s="8">
        <v>131096.29</v>
      </c>
      <c r="M68" s="8">
        <v>131912.85</v>
      </c>
      <c r="N68" s="8">
        <v>132734.57</v>
      </c>
      <c r="O68" s="11">
        <f t="shared" si="0"/>
        <v>2932114.8753846157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1">
        <f t="shared" si="1"/>
        <v>0</v>
      </c>
    </row>
    <row r="69" spans="1:31" x14ac:dyDescent="0.3">
      <c r="A69" s="6" t="s">
        <v>101</v>
      </c>
      <c r="B69" s="8">
        <v>2346060</v>
      </c>
      <c r="C69" s="8">
        <v>2330104</v>
      </c>
      <c r="D69" s="8">
        <v>2333485</v>
      </c>
      <c r="E69" s="8">
        <v>2336866</v>
      </c>
      <c r="F69" s="8">
        <v>2340247</v>
      </c>
      <c r="G69" s="8">
        <v>2343628</v>
      </c>
      <c r="H69" s="8">
        <v>2347009</v>
      </c>
      <c r="I69" s="8">
        <v>2350390</v>
      </c>
      <c r="J69" s="8">
        <v>2353771</v>
      </c>
      <c r="K69" s="8">
        <v>2357152</v>
      </c>
      <c r="L69" s="8">
        <v>2360533</v>
      </c>
      <c r="M69" s="8">
        <v>2363914</v>
      </c>
      <c r="N69" s="8">
        <v>2385000.25</v>
      </c>
      <c r="O69" s="11">
        <f t="shared" si="0"/>
        <v>2349858.403846154</v>
      </c>
      <c r="R69" s="16">
        <v>186238.04</v>
      </c>
      <c r="S69" s="16">
        <v>171194.18</v>
      </c>
      <c r="T69" s="16">
        <v>163624.45000000001</v>
      </c>
      <c r="U69" s="16">
        <v>153946.25</v>
      </c>
      <c r="V69" s="16">
        <v>166400.84</v>
      </c>
      <c r="W69" s="16">
        <v>164734.28</v>
      </c>
      <c r="X69" s="16">
        <v>150927.18</v>
      </c>
      <c r="Y69" s="16">
        <v>148462.10999999999</v>
      </c>
      <c r="Z69" s="16">
        <v>147178.65</v>
      </c>
      <c r="AA69" s="16">
        <v>146110.19</v>
      </c>
      <c r="AB69" s="16">
        <v>143593.43</v>
      </c>
      <c r="AC69" s="16">
        <v>141958.82</v>
      </c>
      <c r="AD69" s="16">
        <v>138775.82999999999</v>
      </c>
      <c r="AE69" s="11">
        <f t="shared" si="1"/>
        <v>155626.48076923078</v>
      </c>
    </row>
    <row r="70" spans="1:31" x14ac:dyDescent="0.3">
      <c r="A70" s="6" t="s">
        <v>102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2">
        <f t="shared" ref="O70:O83" si="2">IFERROR(AVERAGE(B70:N70),0)</f>
        <v>0</v>
      </c>
      <c r="R70" s="16">
        <v>85471.65</v>
      </c>
      <c r="S70" s="16">
        <v>85471.65</v>
      </c>
      <c r="T70" s="16">
        <v>85471.65</v>
      </c>
      <c r="U70" s="16">
        <v>79418.070000000007</v>
      </c>
      <c r="V70" s="16">
        <v>79418.070000000007</v>
      </c>
      <c r="W70" s="16">
        <v>79418.070000000007</v>
      </c>
      <c r="X70" s="16">
        <v>73364.490000000005</v>
      </c>
      <c r="Y70" s="16">
        <v>73364.490000000005</v>
      </c>
      <c r="Z70" s="16">
        <v>73364.490000000005</v>
      </c>
      <c r="AA70" s="16">
        <v>67142.81</v>
      </c>
      <c r="AB70" s="16">
        <v>67142.81</v>
      </c>
      <c r="AC70" s="16">
        <v>67142.81</v>
      </c>
      <c r="AD70" s="16">
        <v>60920.09</v>
      </c>
      <c r="AE70" s="11">
        <f t="shared" ref="AE70:AE83" si="3">IFERROR(AVERAGE(R70:AD70),0)</f>
        <v>75162.396153846159</v>
      </c>
    </row>
    <row r="71" spans="1:31" x14ac:dyDescent="0.3">
      <c r="A71" s="6" t="s">
        <v>103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2">
        <f t="shared" si="2"/>
        <v>0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1">
        <f t="shared" si="3"/>
        <v>0</v>
      </c>
    </row>
    <row r="72" spans="1:31" x14ac:dyDescent="0.3">
      <c r="A72" s="6" t="s">
        <v>104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2">
        <f t="shared" si="2"/>
        <v>0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1">
        <f t="shared" si="3"/>
        <v>0</v>
      </c>
    </row>
    <row r="73" spans="1:31" x14ac:dyDescent="0.3">
      <c r="A73" s="6" t="s">
        <v>66</v>
      </c>
      <c r="B73" s="8">
        <v>20969358.899999999</v>
      </c>
      <c r="C73" s="8">
        <v>20443615.899999999</v>
      </c>
      <c r="D73" s="8">
        <v>20412678.899999999</v>
      </c>
      <c r="E73" s="8">
        <v>20666814.120000001</v>
      </c>
      <c r="F73" s="8">
        <v>20694335.940000001</v>
      </c>
      <c r="G73" s="8">
        <v>20699994.140000001</v>
      </c>
      <c r="H73" s="8">
        <v>20800772.510000002</v>
      </c>
      <c r="I73" s="8">
        <v>20806306.460000001</v>
      </c>
      <c r="J73" s="8">
        <v>20869903.940000001</v>
      </c>
      <c r="K73" s="8">
        <v>20886541.32</v>
      </c>
      <c r="L73" s="8">
        <v>20873213.52</v>
      </c>
      <c r="M73" s="8">
        <v>21242088.969999999</v>
      </c>
      <c r="N73" s="8">
        <v>21242205.809999999</v>
      </c>
      <c r="O73" s="11">
        <f t="shared" si="2"/>
        <v>20815986.956153847</v>
      </c>
      <c r="R73" s="16">
        <v>-172297.72</v>
      </c>
      <c r="S73" s="16">
        <v>-172903.72</v>
      </c>
      <c r="T73" s="16">
        <v>-173509.72</v>
      </c>
      <c r="U73" s="16">
        <v>-169641.79</v>
      </c>
      <c r="V73" s="16">
        <v>-166080.91</v>
      </c>
      <c r="W73" s="16">
        <v>-163874.78</v>
      </c>
      <c r="X73" s="16">
        <v>-164706.74</v>
      </c>
      <c r="Y73" s="16">
        <v>-162493.19</v>
      </c>
      <c r="Z73" s="16">
        <v>-250288.93</v>
      </c>
      <c r="AA73" s="16">
        <v>-278172.27</v>
      </c>
      <c r="AB73" s="16">
        <v>-278172.27</v>
      </c>
      <c r="AC73" s="16">
        <v>-278172.27</v>
      </c>
      <c r="AD73" s="16">
        <v>-296703.27</v>
      </c>
      <c r="AE73" s="11">
        <f t="shared" si="3"/>
        <v>-209770.5830769231</v>
      </c>
    </row>
    <row r="74" spans="1:31" x14ac:dyDescent="0.3">
      <c r="A74" s="6" t="s">
        <v>105</v>
      </c>
      <c r="B74" s="8">
        <v>56298966.460000001</v>
      </c>
      <c r="C74" s="8">
        <v>56024283.850000001</v>
      </c>
      <c r="D74" s="8">
        <v>56108598.289999999</v>
      </c>
      <c r="E74" s="8">
        <v>50648260.810000002</v>
      </c>
      <c r="F74" s="8">
        <v>50879387.520000003</v>
      </c>
      <c r="G74" s="8">
        <v>51275197</v>
      </c>
      <c r="H74" s="8">
        <v>51361124.82</v>
      </c>
      <c r="I74" s="8">
        <v>51665019.140000001</v>
      </c>
      <c r="J74" s="8">
        <v>52169917.75</v>
      </c>
      <c r="K74" s="8">
        <v>46677319.259999998</v>
      </c>
      <c r="L74" s="8">
        <v>46668183.920000002</v>
      </c>
      <c r="M74" s="8">
        <v>47041256.93</v>
      </c>
      <c r="N74" s="8">
        <v>47051588.740000002</v>
      </c>
      <c r="O74" s="11">
        <f t="shared" si="2"/>
        <v>51066854.191538453</v>
      </c>
      <c r="R74" s="16">
        <v>176660.97</v>
      </c>
      <c r="S74" s="16">
        <v>164199.10999999999</v>
      </c>
      <c r="T74" s="16">
        <v>163066.38</v>
      </c>
      <c r="U74" s="16">
        <v>77892.53</v>
      </c>
      <c r="V74" s="16">
        <v>90105</v>
      </c>
      <c r="W74" s="16">
        <v>90291.57</v>
      </c>
      <c r="X74" s="16">
        <v>59584.93</v>
      </c>
      <c r="Y74" s="16">
        <v>65565.41</v>
      </c>
      <c r="Z74" s="16">
        <v>-9331.7900000000009</v>
      </c>
      <c r="AA74" s="16">
        <v>-43497.27</v>
      </c>
      <c r="AB74" s="16">
        <v>-46014.03</v>
      </c>
      <c r="AC74" s="16">
        <v>-47648.639999999999</v>
      </c>
      <c r="AD74" s="16">
        <v>-43498.35</v>
      </c>
      <c r="AE74" s="11">
        <f t="shared" si="3"/>
        <v>53644.293846153851</v>
      </c>
    </row>
    <row r="75" spans="1:31" x14ac:dyDescent="0.3">
      <c r="A75" s="6" t="s">
        <v>35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2">
        <f t="shared" si="2"/>
        <v>0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1">
        <f t="shared" si="3"/>
        <v>0</v>
      </c>
    </row>
    <row r="76" spans="1:31" x14ac:dyDescent="0.3">
      <c r="A76" s="6" t="s">
        <v>106</v>
      </c>
      <c r="B76" s="8">
        <v>109706546.02</v>
      </c>
      <c r="C76" s="8">
        <v>110030333.69</v>
      </c>
      <c r="D76" s="8">
        <v>110141138.97</v>
      </c>
      <c r="E76" s="8">
        <v>104154175.90000001</v>
      </c>
      <c r="F76" s="8">
        <v>103715055.98999999</v>
      </c>
      <c r="G76" s="8">
        <v>103979710.53</v>
      </c>
      <c r="H76" s="8">
        <v>106190952.42</v>
      </c>
      <c r="I76" s="8">
        <v>105487684.36</v>
      </c>
      <c r="J76" s="8">
        <v>106361807.89</v>
      </c>
      <c r="K76" s="8">
        <v>117233661.88</v>
      </c>
      <c r="L76" s="8">
        <v>114013650.69</v>
      </c>
      <c r="M76" s="8">
        <v>115804605.78</v>
      </c>
      <c r="N76" s="8">
        <v>109417671.11</v>
      </c>
      <c r="O76" s="11">
        <f t="shared" si="2"/>
        <v>108941307.3253846</v>
      </c>
      <c r="R76" s="16">
        <v>6559510.8099999996</v>
      </c>
      <c r="S76" s="16">
        <v>6577759.1600000001</v>
      </c>
      <c r="T76" s="16">
        <v>6594420.1799999997</v>
      </c>
      <c r="U76" s="16">
        <v>6663730.5099999998</v>
      </c>
      <c r="V76" s="16">
        <v>6741091.8099999996</v>
      </c>
      <c r="W76" s="16">
        <v>6840067.8300000001</v>
      </c>
      <c r="X76" s="16">
        <v>6981872.0099999998</v>
      </c>
      <c r="Y76" s="16">
        <v>7015492.9699999997</v>
      </c>
      <c r="Z76" s="16">
        <v>7153200.7699999996</v>
      </c>
      <c r="AA76" s="16">
        <v>1561912.83</v>
      </c>
      <c r="AB76" s="16">
        <v>1709817.67</v>
      </c>
      <c r="AC76" s="16">
        <v>1803139.51</v>
      </c>
      <c r="AD76" s="16">
        <v>1794946.77</v>
      </c>
      <c r="AE76" s="11">
        <f t="shared" si="3"/>
        <v>5230535.6023076922</v>
      </c>
    </row>
    <row r="77" spans="1:31" x14ac:dyDescent="0.3">
      <c r="A77" s="6" t="s">
        <v>35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2">
        <f t="shared" si="2"/>
        <v>0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1">
        <f t="shared" si="3"/>
        <v>0</v>
      </c>
    </row>
    <row r="78" spans="1:31" x14ac:dyDescent="0.3">
      <c r="A78" s="6" t="s">
        <v>107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2">
        <f t="shared" si="2"/>
        <v>0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1">
        <f t="shared" si="3"/>
        <v>0</v>
      </c>
    </row>
    <row r="79" spans="1:31" x14ac:dyDescent="0.3">
      <c r="A79" s="6" t="s">
        <v>108</v>
      </c>
      <c r="B79" s="8">
        <v>72895040.939999998</v>
      </c>
      <c r="C79" s="8">
        <v>73412992.230000004</v>
      </c>
      <c r="D79" s="8">
        <v>73468112.209999993</v>
      </c>
      <c r="E79" s="8">
        <v>69152282.650000006</v>
      </c>
      <c r="F79" s="8">
        <v>68795857.950000003</v>
      </c>
      <c r="G79" s="8">
        <v>67837284.900000006</v>
      </c>
      <c r="H79" s="8">
        <v>67687951.659999996</v>
      </c>
      <c r="I79" s="8">
        <v>67777830.829999998</v>
      </c>
      <c r="J79" s="8">
        <v>68218124.480000004</v>
      </c>
      <c r="K79" s="8">
        <v>56847226.380000003</v>
      </c>
      <c r="L79" s="8">
        <v>58982587.619999997</v>
      </c>
      <c r="M79" s="8">
        <v>61035064.590000004</v>
      </c>
      <c r="N79" s="8">
        <v>60599653.759999998</v>
      </c>
      <c r="O79" s="11">
        <f t="shared" si="2"/>
        <v>66670000.78461539</v>
      </c>
      <c r="R79" s="16">
        <v>-3993942.63</v>
      </c>
      <c r="S79" s="16">
        <v>-4063790.96</v>
      </c>
      <c r="T79" s="16">
        <v>-4135779.62</v>
      </c>
      <c r="U79" s="16">
        <v>-4198315.99</v>
      </c>
      <c r="V79" s="16">
        <v>-4283189.0999999996</v>
      </c>
      <c r="W79" s="16">
        <v>-4383204.38</v>
      </c>
      <c r="X79" s="16">
        <v>-4448992.6900000004</v>
      </c>
      <c r="Y79" s="16">
        <v>-4523341.1500000004</v>
      </c>
      <c r="Z79" s="16">
        <v>-4582036.51</v>
      </c>
      <c r="AA79" s="16">
        <v>1140378.3</v>
      </c>
      <c r="AB79" s="16">
        <v>1121823.8</v>
      </c>
      <c r="AC79" s="16">
        <v>1069989.01</v>
      </c>
      <c r="AD79" s="16">
        <v>1015368.16</v>
      </c>
      <c r="AE79" s="11">
        <f t="shared" si="3"/>
        <v>-2635771.8276923085</v>
      </c>
    </row>
    <row r="80" spans="1:31" x14ac:dyDescent="0.3">
      <c r="A80" s="6" t="s">
        <v>109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2">
        <f t="shared" si="2"/>
        <v>0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1">
        <f t="shared" si="3"/>
        <v>0</v>
      </c>
    </row>
    <row r="81" spans="1:31" x14ac:dyDescent="0.3">
      <c r="A81" s="6" t="s">
        <v>110</v>
      </c>
      <c r="B81" s="8">
        <v>72895040.939999998</v>
      </c>
      <c r="C81" s="8">
        <v>73412992.230000004</v>
      </c>
      <c r="D81" s="8">
        <v>73468112.209999993</v>
      </c>
      <c r="E81" s="8">
        <v>69152282.650000006</v>
      </c>
      <c r="F81" s="8">
        <v>68795857.950000003</v>
      </c>
      <c r="G81" s="8">
        <v>67837284.900000006</v>
      </c>
      <c r="H81" s="8">
        <v>67687951.659999996</v>
      </c>
      <c r="I81" s="8">
        <v>67777830.829999998</v>
      </c>
      <c r="J81" s="8">
        <v>68218124.480000004</v>
      </c>
      <c r="K81" s="8">
        <v>56847226.380000003</v>
      </c>
      <c r="L81" s="8">
        <v>58982587.619999997</v>
      </c>
      <c r="M81" s="8">
        <v>61035064.590000004</v>
      </c>
      <c r="N81" s="8">
        <v>60599653.759999998</v>
      </c>
      <c r="O81" s="11">
        <f t="shared" si="2"/>
        <v>66670000.78461539</v>
      </c>
      <c r="R81" s="16">
        <v>-3993942.63</v>
      </c>
      <c r="S81" s="16">
        <v>-4063790.96</v>
      </c>
      <c r="T81" s="16">
        <v>-4135779.62</v>
      </c>
      <c r="U81" s="16">
        <v>-4198315.99</v>
      </c>
      <c r="V81" s="16">
        <v>-4283189.0999999996</v>
      </c>
      <c r="W81" s="16">
        <v>-4383204.38</v>
      </c>
      <c r="X81" s="16">
        <v>-4448992.6900000004</v>
      </c>
      <c r="Y81" s="16">
        <v>-4523341.1500000004</v>
      </c>
      <c r="Z81" s="16">
        <v>-4582036.51</v>
      </c>
      <c r="AA81" s="16">
        <v>1140378.3</v>
      </c>
      <c r="AB81" s="16">
        <v>1121823.8</v>
      </c>
      <c r="AC81" s="16">
        <v>1069989.01</v>
      </c>
      <c r="AD81" s="16">
        <v>1015368.16</v>
      </c>
      <c r="AE81" s="11">
        <f t="shared" si="3"/>
        <v>-2635771.8276923085</v>
      </c>
    </row>
    <row r="82" spans="1:31" x14ac:dyDescent="0.3">
      <c r="A82" s="6" t="s">
        <v>35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2">
        <f t="shared" si="2"/>
        <v>0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1">
        <f t="shared" si="3"/>
        <v>0</v>
      </c>
    </row>
    <row r="83" spans="1:31" x14ac:dyDescent="0.3">
      <c r="A83" s="6" t="s">
        <v>111</v>
      </c>
      <c r="B83" s="8">
        <v>182601586.96000001</v>
      </c>
      <c r="C83" s="8">
        <v>183443325.91999999</v>
      </c>
      <c r="D83" s="8">
        <v>183609251.18000001</v>
      </c>
      <c r="E83" s="8">
        <v>173306458.55000001</v>
      </c>
      <c r="F83" s="8">
        <v>172510913.94</v>
      </c>
      <c r="G83" s="8">
        <v>171816995.43000001</v>
      </c>
      <c r="H83" s="8">
        <v>173878904.08000001</v>
      </c>
      <c r="I83" s="8">
        <v>173265515.19</v>
      </c>
      <c r="J83" s="8">
        <v>174579932.37</v>
      </c>
      <c r="K83" s="8">
        <v>174080888.25999999</v>
      </c>
      <c r="L83" s="8">
        <v>172996238.31</v>
      </c>
      <c r="M83" s="8">
        <v>176839670.37</v>
      </c>
      <c r="N83" s="8">
        <v>170017324.87</v>
      </c>
      <c r="O83" s="11">
        <f t="shared" si="2"/>
        <v>175611308.10999998</v>
      </c>
      <c r="R83" s="16">
        <v>2565568.1800000002</v>
      </c>
      <c r="S83" s="16">
        <v>2513968.2000000002</v>
      </c>
      <c r="T83" s="16">
        <v>2458640.56</v>
      </c>
      <c r="U83" s="16">
        <v>2465414.52</v>
      </c>
      <c r="V83" s="16">
        <v>2457902.71</v>
      </c>
      <c r="W83" s="16">
        <v>2456863.4500000002</v>
      </c>
      <c r="X83" s="16">
        <v>2532879.3199999998</v>
      </c>
      <c r="Y83" s="16">
        <v>2492151.8199999998</v>
      </c>
      <c r="Z83" s="16">
        <v>2571164.2599999998</v>
      </c>
      <c r="AA83" s="16">
        <v>2702291.13</v>
      </c>
      <c r="AB83" s="16">
        <v>2831641.47</v>
      </c>
      <c r="AC83" s="16">
        <v>2873128.52</v>
      </c>
      <c r="AD83" s="16">
        <v>2810314.93</v>
      </c>
      <c r="AE83" s="11">
        <f t="shared" si="3"/>
        <v>2594763.7746153846</v>
      </c>
    </row>
    <row r="86" spans="1:31" x14ac:dyDescent="0.3">
      <c r="A86" t="s">
        <v>117</v>
      </c>
      <c r="B86" s="18">
        <f>B46+B47</f>
        <v>1500000</v>
      </c>
      <c r="C86" s="18">
        <f t="shared" ref="C86:P86" si="4">C46+C47</f>
        <v>1500000</v>
      </c>
      <c r="D86" s="18">
        <f t="shared" si="4"/>
        <v>1500000</v>
      </c>
      <c r="E86" s="18">
        <f t="shared" si="4"/>
        <v>1500000</v>
      </c>
      <c r="F86" s="18">
        <f t="shared" si="4"/>
        <v>1500000</v>
      </c>
      <c r="G86" s="18">
        <f t="shared" si="4"/>
        <v>1500000</v>
      </c>
      <c r="H86" s="18">
        <f t="shared" si="4"/>
        <v>1500000</v>
      </c>
      <c r="I86" s="18">
        <f t="shared" si="4"/>
        <v>1500000</v>
      </c>
      <c r="J86" s="18">
        <f t="shared" si="4"/>
        <v>1500000</v>
      </c>
      <c r="K86" s="18">
        <f t="shared" si="4"/>
        <v>15783421.33</v>
      </c>
      <c r="L86" s="18">
        <f t="shared" si="4"/>
        <v>13614442.57</v>
      </c>
      <c r="M86" s="18">
        <f t="shared" si="4"/>
        <v>14683292.66</v>
      </c>
      <c r="N86" s="18">
        <f t="shared" si="4"/>
        <v>7631512.9299999997</v>
      </c>
      <c r="O86" s="18">
        <f t="shared" si="4"/>
        <v>12928167.372500001</v>
      </c>
      <c r="P86" s="18">
        <f t="shared" si="4"/>
        <v>0</v>
      </c>
      <c r="Q86" s="18"/>
      <c r="R86" s="18">
        <f t="shared" ref="R86:AE86" si="5">R46+R47</f>
        <v>5588027.4699999997</v>
      </c>
      <c r="S86" s="18">
        <f t="shared" si="5"/>
        <v>5669376.2300000004</v>
      </c>
      <c r="T86" s="18">
        <f t="shared" si="5"/>
        <v>5755451.8899999997</v>
      </c>
      <c r="U86" s="18">
        <f t="shared" si="5"/>
        <v>5848485.6200000001</v>
      </c>
      <c r="V86" s="18">
        <f t="shared" si="5"/>
        <v>5962728.7000000002</v>
      </c>
      <c r="W86" s="18">
        <f t="shared" si="5"/>
        <v>6028491.29</v>
      </c>
      <c r="X86" s="18">
        <f t="shared" si="5"/>
        <v>6135704.9100000001</v>
      </c>
      <c r="Y86" s="18">
        <f t="shared" si="5"/>
        <v>6272810.4400000004</v>
      </c>
      <c r="Z86" s="18">
        <f t="shared" si="5"/>
        <v>6366220.9400000004</v>
      </c>
      <c r="AA86" s="18">
        <f t="shared" si="5"/>
        <v>758350.89</v>
      </c>
      <c r="AB86" s="18">
        <f t="shared" si="5"/>
        <v>800019.28</v>
      </c>
      <c r="AC86" s="18">
        <f t="shared" si="5"/>
        <v>841807.4</v>
      </c>
      <c r="AD86" s="18">
        <f t="shared" si="5"/>
        <v>983879.35</v>
      </c>
      <c r="AE86" s="18">
        <f t="shared" si="5"/>
        <v>4385488.8007692304</v>
      </c>
    </row>
    <row r="87" spans="1:31" x14ac:dyDescent="0.3">
      <c r="A87" t="s">
        <v>118</v>
      </c>
      <c r="B87" s="18">
        <f>B61</f>
        <v>44499999.950000003</v>
      </c>
      <c r="C87" s="18">
        <f t="shared" ref="C87:P87" si="6">C61</f>
        <v>44499999.950000003</v>
      </c>
      <c r="D87" s="18">
        <f t="shared" si="6"/>
        <v>44499999.950000003</v>
      </c>
      <c r="E87" s="18">
        <f t="shared" si="6"/>
        <v>44499999.950000003</v>
      </c>
      <c r="F87" s="18">
        <f t="shared" si="6"/>
        <v>44499999.950000003</v>
      </c>
      <c r="G87" s="18">
        <f t="shared" si="6"/>
        <v>44499999.950000003</v>
      </c>
      <c r="H87" s="18">
        <f t="shared" si="6"/>
        <v>44499999.950000003</v>
      </c>
      <c r="I87" s="18">
        <f t="shared" si="6"/>
        <v>44499999.950000003</v>
      </c>
      <c r="J87" s="18">
        <f t="shared" si="6"/>
        <v>44499999.950000003</v>
      </c>
      <c r="K87" s="18">
        <f t="shared" si="6"/>
        <v>42999999.950000003</v>
      </c>
      <c r="L87" s="18">
        <f t="shared" si="6"/>
        <v>42999999.950000003</v>
      </c>
      <c r="M87" s="18">
        <f t="shared" si="6"/>
        <v>42999999.950000003</v>
      </c>
      <c r="N87" s="18">
        <f t="shared" si="6"/>
        <v>42999999.950000003</v>
      </c>
      <c r="O87" s="18">
        <f t="shared" si="6"/>
        <v>44038461.488461532</v>
      </c>
      <c r="P87" s="18">
        <f t="shared" si="6"/>
        <v>0</v>
      </c>
      <c r="Q87" s="18"/>
      <c r="R87" s="18">
        <f t="shared" ref="R87:AE87" si="7">R61</f>
        <v>318800</v>
      </c>
      <c r="S87" s="18">
        <f t="shared" si="7"/>
        <v>318800</v>
      </c>
      <c r="T87" s="18">
        <f t="shared" si="7"/>
        <v>318800</v>
      </c>
      <c r="U87" s="18">
        <f t="shared" si="7"/>
        <v>318800</v>
      </c>
      <c r="V87" s="18">
        <f t="shared" si="7"/>
        <v>318800</v>
      </c>
      <c r="W87" s="18">
        <f t="shared" si="7"/>
        <v>318800</v>
      </c>
      <c r="X87" s="18">
        <f t="shared" si="7"/>
        <v>318800</v>
      </c>
      <c r="Y87" s="18">
        <f t="shared" si="7"/>
        <v>318800</v>
      </c>
      <c r="Z87" s="18">
        <f t="shared" si="7"/>
        <v>318800</v>
      </c>
      <c r="AA87" s="18">
        <f t="shared" si="7"/>
        <v>318800</v>
      </c>
      <c r="AB87" s="18">
        <f t="shared" si="7"/>
        <v>318800</v>
      </c>
      <c r="AC87" s="18">
        <f t="shared" si="7"/>
        <v>318800</v>
      </c>
      <c r="AD87" s="18">
        <f t="shared" si="7"/>
        <v>318800</v>
      </c>
      <c r="AE87" s="18">
        <f t="shared" si="7"/>
        <v>318800</v>
      </c>
    </row>
    <row r="88" spans="1:31" x14ac:dyDescent="0.3">
      <c r="A88" t="s">
        <v>119</v>
      </c>
      <c r="B88" s="18">
        <f>B81</f>
        <v>72895040.939999998</v>
      </c>
      <c r="C88" s="18">
        <f t="shared" ref="C88:P88" si="8">C81</f>
        <v>73412992.230000004</v>
      </c>
      <c r="D88" s="18">
        <f t="shared" si="8"/>
        <v>73468112.209999993</v>
      </c>
      <c r="E88" s="18">
        <f t="shared" si="8"/>
        <v>69152282.650000006</v>
      </c>
      <c r="F88" s="18">
        <f t="shared" si="8"/>
        <v>68795857.950000003</v>
      </c>
      <c r="G88" s="18">
        <f t="shared" si="8"/>
        <v>67837284.900000006</v>
      </c>
      <c r="H88" s="18">
        <f t="shared" si="8"/>
        <v>67687951.659999996</v>
      </c>
      <c r="I88" s="18">
        <f t="shared" si="8"/>
        <v>67777830.829999998</v>
      </c>
      <c r="J88" s="18">
        <f t="shared" si="8"/>
        <v>68218124.480000004</v>
      </c>
      <c r="K88" s="18">
        <f t="shared" si="8"/>
        <v>56847226.380000003</v>
      </c>
      <c r="L88" s="18">
        <f t="shared" si="8"/>
        <v>58982587.619999997</v>
      </c>
      <c r="M88" s="18">
        <f t="shared" si="8"/>
        <v>61035064.590000004</v>
      </c>
      <c r="N88" s="18">
        <f t="shared" si="8"/>
        <v>60599653.759999998</v>
      </c>
      <c r="O88" s="18">
        <f t="shared" si="8"/>
        <v>66670000.78461539</v>
      </c>
      <c r="P88" s="18">
        <f t="shared" si="8"/>
        <v>0</v>
      </c>
      <c r="Q88" s="18"/>
      <c r="R88" s="18">
        <f t="shared" ref="R88:AE88" si="9">R81</f>
        <v>-3993942.63</v>
      </c>
      <c r="S88" s="18">
        <f t="shared" si="9"/>
        <v>-4063790.96</v>
      </c>
      <c r="T88" s="18">
        <f t="shared" si="9"/>
        <v>-4135779.62</v>
      </c>
      <c r="U88" s="18">
        <f t="shared" si="9"/>
        <v>-4198315.99</v>
      </c>
      <c r="V88" s="18">
        <f t="shared" si="9"/>
        <v>-4283189.0999999996</v>
      </c>
      <c r="W88" s="18">
        <f t="shared" si="9"/>
        <v>-4383204.38</v>
      </c>
      <c r="X88" s="18">
        <f t="shared" si="9"/>
        <v>-4448992.6900000004</v>
      </c>
      <c r="Y88" s="18">
        <f t="shared" si="9"/>
        <v>-4523341.1500000004</v>
      </c>
      <c r="Z88" s="18">
        <f t="shared" si="9"/>
        <v>-4582036.51</v>
      </c>
      <c r="AA88" s="18">
        <f t="shared" si="9"/>
        <v>1140378.3</v>
      </c>
      <c r="AB88" s="18">
        <f t="shared" si="9"/>
        <v>1121823.8</v>
      </c>
      <c r="AC88" s="18">
        <f t="shared" si="9"/>
        <v>1069989.01</v>
      </c>
      <c r="AD88" s="18">
        <f t="shared" si="9"/>
        <v>1015368.16</v>
      </c>
      <c r="AE88" s="18">
        <f t="shared" si="9"/>
        <v>-2635771.8276923085</v>
      </c>
    </row>
    <row r="89" spans="1:31" x14ac:dyDescent="0.3">
      <c r="A89" t="s">
        <v>120</v>
      </c>
      <c r="B89" s="18">
        <f>SUM(B86:B88)</f>
        <v>118895040.89</v>
      </c>
      <c r="C89" s="18">
        <f t="shared" ref="C89:R89" si="10">SUM(C86:C88)</f>
        <v>119412992.18000001</v>
      </c>
      <c r="D89" s="18">
        <f t="shared" si="10"/>
        <v>119468112.16</v>
      </c>
      <c r="E89" s="18">
        <f t="shared" si="10"/>
        <v>115152282.60000001</v>
      </c>
      <c r="F89" s="18">
        <f t="shared" si="10"/>
        <v>114795857.90000001</v>
      </c>
      <c r="G89" s="18">
        <f t="shared" si="10"/>
        <v>113837284.85000001</v>
      </c>
      <c r="H89" s="18">
        <f t="shared" si="10"/>
        <v>113687951.61</v>
      </c>
      <c r="I89" s="18">
        <f t="shared" si="10"/>
        <v>113777830.78</v>
      </c>
      <c r="J89" s="18">
        <f t="shared" si="10"/>
        <v>114218124.43000001</v>
      </c>
      <c r="K89" s="18">
        <f t="shared" si="10"/>
        <v>115630647.66</v>
      </c>
      <c r="L89" s="18">
        <f t="shared" si="10"/>
        <v>115597030.14</v>
      </c>
      <c r="M89" s="18">
        <f t="shared" si="10"/>
        <v>118718357.2</v>
      </c>
      <c r="N89" s="18">
        <f t="shared" si="10"/>
        <v>111231166.64</v>
      </c>
      <c r="O89" s="18">
        <f t="shared" si="10"/>
        <v>123636629.64557692</v>
      </c>
      <c r="P89" s="18">
        <f t="shared" si="10"/>
        <v>0</v>
      </c>
      <c r="Q89" s="18"/>
      <c r="R89" s="18">
        <f t="shared" si="10"/>
        <v>1912884.8399999999</v>
      </c>
      <c r="S89" s="18">
        <f t="shared" ref="S89" si="11">SUM(S86:S88)</f>
        <v>1924385.2700000005</v>
      </c>
      <c r="T89" s="18">
        <f t="shared" ref="T89" si="12">SUM(T86:T88)</f>
        <v>1938472.2699999996</v>
      </c>
      <c r="U89" s="18">
        <f t="shared" ref="U89" si="13">SUM(U86:U88)</f>
        <v>1968969.63</v>
      </c>
      <c r="V89" s="18">
        <f t="shared" ref="V89" si="14">SUM(V86:V88)</f>
        <v>1998339.6000000006</v>
      </c>
      <c r="W89" s="18">
        <f t="shared" ref="W89" si="15">SUM(W86:W88)</f>
        <v>1964086.9100000001</v>
      </c>
      <c r="X89" s="18">
        <f t="shared" ref="X89" si="16">SUM(X86:X88)</f>
        <v>2005512.2199999997</v>
      </c>
      <c r="Y89" s="18">
        <f t="shared" ref="Y89" si="17">SUM(Y86:Y88)</f>
        <v>2068269.29</v>
      </c>
      <c r="Z89" s="18">
        <f t="shared" ref="Z89" si="18">SUM(Z86:Z88)</f>
        <v>2102984.4300000006</v>
      </c>
      <c r="AA89" s="18">
        <f t="shared" ref="AA89" si="19">SUM(AA86:AA88)</f>
        <v>2217529.1900000004</v>
      </c>
      <c r="AB89" s="18">
        <f t="shared" ref="AB89" si="20">SUM(AB86:AB88)</f>
        <v>2240643.08</v>
      </c>
      <c r="AC89" s="18">
        <f t="shared" ref="AC89" si="21">SUM(AC86:AC88)</f>
        <v>2230596.41</v>
      </c>
      <c r="AD89" s="18">
        <f t="shared" ref="AD89" si="22">SUM(AD86:AD88)</f>
        <v>2318047.5100000002</v>
      </c>
      <c r="AE89" s="18">
        <f t="shared" ref="AE89" si="23">SUM(AE86:AE88)</f>
        <v>2068516.9730769219</v>
      </c>
    </row>
    <row r="90" spans="1:31" x14ac:dyDescent="0.3">
      <c r="N90" s="1"/>
      <c r="O90"/>
    </row>
    <row r="91" spans="1:31" x14ac:dyDescent="0.3">
      <c r="N91" s="1"/>
      <c r="O91"/>
    </row>
    <row r="92" spans="1:31" x14ac:dyDescent="0.3">
      <c r="A92" s="25" t="s">
        <v>123</v>
      </c>
      <c r="B92" s="14" t="s">
        <v>38</v>
      </c>
      <c r="C92" s="14" t="s">
        <v>39</v>
      </c>
      <c r="D92" s="14" t="s">
        <v>40</v>
      </c>
      <c r="E92" s="14" t="s">
        <v>41</v>
      </c>
      <c r="F92" s="14" t="s">
        <v>42</v>
      </c>
      <c r="G92" s="14" t="s">
        <v>43</v>
      </c>
      <c r="H92" s="14" t="s">
        <v>44</v>
      </c>
      <c r="I92" s="14" t="s">
        <v>45</v>
      </c>
      <c r="J92" s="14" t="s">
        <v>46</v>
      </c>
      <c r="K92" s="14" t="s">
        <v>47</v>
      </c>
      <c r="L92" s="14" t="s">
        <v>48</v>
      </c>
      <c r="M92" s="14" t="s">
        <v>49</v>
      </c>
      <c r="N92" s="14" t="s">
        <v>50</v>
      </c>
      <c r="O92" s="10" t="s">
        <v>113</v>
      </c>
      <c r="R92" s="14" t="s">
        <v>38</v>
      </c>
      <c r="S92" s="14" t="s">
        <v>39</v>
      </c>
      <c r="T92" s="14" t="s">
        <v>40</v>
      </c>
      <c r="U92" s="14" t="s">
        <v>41</v>
      </c>
      <c r="V92" s="14" t="s">
        <v>42</v>
      </c>
      <c r="W92" s="14" t="s">
        <v>43</v>
      </c>
      <c r="X92" s="14" t="s">
        <v>44</v>
      </c>
      <c r="Y92" s="14" t="s">
        <v>45</v>
      </c>
      <c r="Z92" s="14" t="s">
        <v>46</v>
      </c>
      <c r="AA92" s="14" t="s">
        <v>47</v>
      </c>
      <c r="AB92" s="14" t="s">
        <v>48</v>
      </c>
      <c r="AC92" s="14" t="s">
        <v>49</v>
      </c>
      <c r="AD92" s="14" t="s">
        <v>50</v>
      </c>
      <c r="AE92" s="10" t="s">
        <v>116</v>
      </c>
    </row>
    <row r="93" spans="1:31" x14ac:dyDescent="0.3">
      <c r="A93" s="25" t="s">
        <v>124</v>
      </c>
      <c r="B93" s="26">
        <v>-14215647.93</v>
      </c>
      <c r="C93" s="26">
        <v>-13821077.93</v>
      </c>
      <c r="D93" s="26">
        <v>-13797859.93</v>
      </c>
      <c r="E93" s="26">
        <v>-13774641.93</v>
      </c>
      <c r="F93" s="26">
        <v>-13751423.93</v>
      </c>
      <c r="G93" s="26">
        <v>-13728205.93</v>
      </c>
      <c r="H93" s="26">
        <v>-13704988.93</v>
      </c>
      <c r="I93" s="26">
        <v>-13681770.93</v>
      </c>
      <c r="J93" s="26">
        <v>-13699813.93</v>
      </c>
      <c r="K93" s="26">
        <v>-13603094.93</v>
      </c>
      <c r="L93" s="26">
        <v>-13603094.93</v>
      </c>
      <c r="M93" s="26">
        <v>-13603094.93</v>
      </c>
      <c r="N93" s="26">
        <v>-13409657.93</v>
      </c>
      <c r="O93" s="11">
        <f t="shared" ref="O93:O101" si="24">IFERROR(AVERAGE(B93:N93),0)</f>
        <v>-13722644.160769235</v>
      </c>
      <c r="Q93" s="25" t="s">
        <v>123</v>
      </c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11">
        <f t="shared" ref="AE93:AE102" si="25">IFERROR(AVERAGE(R93:AD93),0)</f>
        <v>0</v>
      </c>
    </row>
    <row r="94" spans="1:31" x14ac:dyDescent="0.3">
      <c r="A94" s="25" t="s">
        <v>125</v>
      </c>
      <c r="B94" s="26">
        <v>-4725922</v>
      </c>
      <c r="C94" s="26">
        <v>-4594749</v>
      </c>
      <c r="D94" s="26">
        <v>-4587030</v>
      </c>
      <c r="E94" s="26">
        <v>-4579311</v>
      </c>
      <c r="F94" s="26">
        <v>-4571592</v>
      </c>
      <c r="G94" s="26">
        <v>-4563873</v>
      </c>
      <c r="H94" s="26">
        <v>-4556154</v>
      </c>
      <c r="I94" s="26">
        <v>-4548435</v>
      </c>
      <c r="J94" s="26">
        <v>-4554433</v>
      </c>
      <c r="K94" s="26">
        <v>-4522279</v>
      </c>
      <c r="L94" s="26">
        <v>-4522279</v>
      </c>
      <c r="M94" s="26">
        <v>-4522279</v>
      </c>
      <c r="N94" s="26">
        <v>-4457972</v>
      </c>
      <c r="O94" s="11">
        <f t="shared" si="24"/>
        <v>-4562023.692307692</v>
      </c>
      <c r="Q94" s="25" t="s">
        <v>124</v>
      </c>
      <c r="R94" s="26">
        <v>201602</v>
      </c>
      <c r="S94" s="26">
        <v>202057</v>
      </c>
      <c r="T94" s="26">
        <v>202512</v>
      </c>
      <c r="U94" s="26">
        <v>202967</v>
      </c>
      <c r="V94" s="26">
        <v>203422</v>
      </c>
      <c r="W94" s="26">
        <v>203877</v>
      </c>
      <c r="X94" s="26">
        <v>204332</v>
      </c>
      <c r="Y94" s="26">
        <v>204788</v>
      </c>
      <c r="Z94" s="26">
        <v>205243</v>
      </c>
      <c r="AA94" s="26">
        <v>229917</v>
      </c>
      <c r="AB94" s="26">
        <v>229917</v>
      </c>
      <c r="AC94" s="26">
        <v>229917</v>
      </c>
      <c r="AD94" s="26">
        <v>230617</v>
      </c>
      <c r="AE94" s="11">
        <f t="shared" si="25"/>
        <v>211628.30769230769</v>
      </c>
    </row>
    <row r="95" spans="1:31" x14ac:dyDescent="0.3">
      <c r="A95" s="25" t="s">
        <v>126</v>
      </c>
      <c r="B95" s="27">
        <v>-0.32</v>
      </c>
      <c r="C95" s="27">
        <v>-0.32</v>
      </c>
      <c r="D95" s="27">
        <v>-0.32</v>
      </c>
      <c r="E95" s="27">
        <v>-0.32</v>
      </c>
      <c r="F95" s="27">
        <v>-0.32</v>
      </c>
      <c r="G95" s="27">
        <v>-0.32</v>
      </c>
      <c r="H95" s="27">
        <v>-0.32</v>
      </c>
      <c r="I95" s="27">
        <v>-0.32</v>
      </c>
      <c r="J95" s="27">
        <v>-0.32</v>
      </c>
      <c r="K95" s="27">
        <v>-0.32</v>
      </c>
      <c r="L95" s="27">
        <v>-0.32</v>
      </c>
      <c r="M95" s="27">
        <v>-0.32</v>
      </c>
      <c r="N95" s="27">
        <v>-0.32</v>
      </c>
      <c r="O95" s="11">
        <f t="shared" si="24"/>
        <v>-0.31999999999999995</v>
      </c>
      <c r="Q95" s="25" t="s">
        <v>125</v>
      </c>
      <c r="R95" s="26">
        <v>67021</v>
      </c>
      <c r="S95" s="26">
        <v>67172</v>
      </c>
      <c r="T95" s="26">
        <v>67323</v>
      </c>
      <c r="U95" s="26">
        <v>67474</v>
      </c>
      <c r="V95" s="26">
        <v>67625</v>
      </c>
      <c r="W95" s="26">
        <v>67776</v>
      </c>
      <c r="X95" s="26">
        <v>67927</v>
      </c>
      <c r="Y95" s="26">
        <v>68078</v>
      </c>
      <c r="Z95" s="26">
        <v>68229</v>
      </c>
      <c r="AA95" s="26">
        <v>76432</v>
      </c>
      <c r="AB95" s="26">
        <v>76432</v>
      </c>
      <c r="AC95" s="26">
        <v>76432</v>
      </c>
      <c r="AD95" s="26">
        <v>94263</v>
      </c>
      <c r="AE95" s="11">
        <f t="shared" si="25"/>
        <v>71706.461538461532</v>
      </c>
    </row>
    <row r="96" spans="1:31" x14ac:dyDescent="0.3">
      <c r="A96" s="25" t="s">
        <v>127</v>
      </c>
      <c r="B96" s="26">
        <v>-773892.3</v>
      </c>
      <c r="C96" s="26">
        <v>-773892.3</v>
      </c>
      <c r="D96" s="26">
        <v>-773892.3</v>
      </c>
      <c r="E96" s="26">
        <v>-803932.45</v>
      </c>
      <c r="F96" s="26">
        <v>-803932.45</v>
      </c>
      <c r="G96" s="26">
        <v>-803932.45</v>
      </c>
      <c r="H96" s="26">
        <v>-833377.17</v>
      </c>
      <c r="I96" s="26">
        <v>-833377.17</v>
      </c>
      <c r="J96" s="26">
        <v>-833377.17</v>
      </c>
      <c r="K96" s="26">
        <v>-805931.21</v>
      </c>
      <c r="L96" s="26">
        <v>-805931.21</v>
      </c>
      <c r="M96" s="26">
        <v>-805931.21</v>
      </c>
      <c r="N96" s="26">
        <v>-858565.48</v>
      </c>
      <c r="O96" s="11">
        <f t="shared" si="24"/>
        <v>-808458.83615384623</v>
      </c>
      <c r="Q96" s="25" t="s">
        <v>128</v>
      </c>
      <c r="R96" s="28">
        <v>268623</v>
      </c>
      <c r="S96" s="28">
        <v>269229</v>
      </c>
      <c r="T96" s="28">
        <v>269835</v>
      </c>
      <c r="U96" s="28">
        <v>270441</v>
      </c>
      <c r="V96" s="28">
        <v>271047</v>
      </c>
      <c r="W96" s="28">
        <v>271653</v>
      </c>
      <c r="X96" s="28">
        <v>272259</v>
      </c>
      <c r="Y96" s="28">
        <v>272866</v>
      </c>
      <c r="Z96" s="28">
        <v>273472</v>
      </c>
      <c r="AA96" s="28">
        <v>306349</v>
      </c>
      <c r="AB96" s="28">
        <v>306349</v>
      </c>
      <c r="AC96" s="28">
        <v>306349</v>
      </c>
      <c r="AD96" s="28">
        <v>324880</v>
      </c>
      <c r="AE96" s="11">
        <f t="shared" si="25"/>
        <v>283334.76923076925</v>
      </c>
    </row>
    <row r="97" spans="1:31" x14ac:dyDescent="0.3">
      <c r="A97" s="25" t="s">
        <v>128</v>
      </c>
      <c r="B97" s="28">
        <v>-19715462.550000001</v>
      </c>
      <c r="C97" s="28">
        <v>-19189719.550000001</v>
      </c>
      <c r="D97" s="28">
        <v>-19158782.550000001</v>
      </c>
      <c r="E97" s="28">
        <v>-19157885.699999999</v>
      </c>
      <c r="F97" s="28">
        <v>-19126948.699999999</v>
      </c>
      <c r="G97" s="28">
        <v>-19096011.699999999</v>
      </c>
      <c r="H97" s="28">
        <v>-19094520.420000002</v>
      </c>
      <c r="I97" s="28">
        <v>-19063583.420000002</v>
      </c>
      <c r="J97" s="28">
        <v>-19087624.420000002</v>
      </c>
      <c r="K97" s="28">
        <v>-18931305.460000001</v>
      </c>
      <c r="L97" s="28">
        <v>-18931305.460000001</v>
      </c>
      <c r="M97" s="28">
        <v>-18931305.460000001</v>
      </c>
      <c r="N97" s="28">
        <v>-18726195.73</v>
      </c>
      <c r="O97" s="11">
        <f t="shared" si="24"/>
        <v>-19093127.009230774</v>
      </c>
      <c r="Q97" s="25" t="s">
        <v>129</v>
      </c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11">
        <f t="shared" si="25"/>
        <v>0</v>
      </c>
    </row>
    <row r="98" spans="1:31" x14ac:dyDescent="0.3">
      <c r="A98" s="25" t="s">
        <v>129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11">
        <f t="shared" si="24"/>
        <v>0</v>
      </c>
      <c r="Q98" s="25" t="s">
        <v>135</v>
      </c>
      <c r="R98" s="26">
        <v>-44079.28</v>
      </c>
      <c r="S98" s="26">
        <v>-34657</v>
      </c>
      <c r="T98" s="26">
        <v>-33441</v>
      </c>
      <c r="U98" s="26">
        <v>-32225</v>
      </c>
      <c r="V98" s="26">
        <v>-31009</v>
      </c>
      <c r="W98" s="26">
        <v>-29793</v>
      </c>
      <c r="X98" s="26">
        <v>-17233.25</v>
      </c>
      <c r="Y98" s="26">
        <v>-16017.25</v>
      </c>
      <c r="Z98" s="26">
        <v>-14801.25</v>
      </c>
      <c r="AA98" s="26">
        <v>-13585.25</v>
      </c>
      <c r="AB98" s="26">
        <v>-12519.64</v>
      </c>
      <c r="AC98" s="26">
        <v>-11454.03</v>
      </c>
      <c r="AD98" s="27">
        <v>0</v>
      </c>
      <c r="AE98" s="11">
        <f t="shared" si="25"/>
        <v>-22370.380769230775</v>
      </c>
    </row>
    <row r="99" spans="1:31" x14ac:dyDescent="0.3">
      <c r="A99" s="25" t="s">
        <v>130</v>
      </c>
      <c r="B99" s="26">
        <v>-2346060</v>
      </c>
      <c r="C99" s="26">
        <v>-2330104</v>
      </c>
      <c r="D99" s="26">
        <v>-2333485</v>
      </c>
      <c r="E99" s="26">
        <v>-2336866</v>
      </c>
      <c r="F99" s="26">
        <v>-2340247</v>
      </c>
      <c r="G99" s="26">
        <v>-2343628</v>
      </c>
      <c r="H99" s="26">
        <v>-2347009</v>
      </c>
      <c r="I99" s="26">
        <v>-2350390</v>
      </c>
      <c r="J99" s="26">
        <v>-2353771</v>
      </c>
      <c r="K99" s="26">
        <v>-2357152</v>
      </c>
      <c r="L99" s="26">
        <v>-2360533</v>
      </c>
      <c r="M99" s="26">
        <v>-2363914</v>
      </c>
      <c r="N99" s="27">
        <v>0</v>
      </c>
      <c r="O99" s="11">
        <f t="shared" si="24"/>
        <v>-2166396.846153846</v>
      </c>
      <c r="Q99" s="25" t="s">
        <v>136</v>
      </c>
      <c r="R99" s="27">
        <v>-173</v>
      </c>
      <c r="S99" s="27">
        <v>-256</v>
      </c>
      <c r="T99" s="27">
        <v>-188</v>
      </c>
      <c r="U99" s="27">
        <v>-120</v>
      </c>
      <c r="V99" s="27">
        <v>-52</v>
      </c>
      <c r="W99" s="27">
        <v>16</v>
      </c>
      <c r="X99" s="27">
        <v>84</v>
      </c>
      <c r="Y99" s="27">
        <v>152</v>
      </c>
      <c r="Z99" s="27">
        <v>220</v>
      </c>
      <c r="AA99" s="27">
        <v>288</v>
      </c>
      <c r="AB99" s="27">
        <v>354.67</v>
      </c>
      <c r="AC99" s="27">
        <v>421.34</v>
      </c>
      <c r="AD99" s="27">
        <v>0</v>
      </c>
      <c r="AE99" s="11">
        <f t="shared" si="25"/>
        <v>57.462307692307689</v>
      </c>
    </row>
    <row r="100" spans="1:31" x14ac:dyDescent="0.3">
      <c r="A100" s="25" t="s">
        <v>132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6">
        <v>-2385000.25</v>
      </c>
      <c r="O100" s="11">
        <f t="shared" si="24"/>
        <v>-183461.55769230769</v>
      </c>
      <c r="Q100" s="25" t="s">
        <v>132</v>
      </c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6">
        <v>-9062.31</v>
      </c>
      <c r="AE100" s="11">
        <f t="shared" si="25"/>
        <v>-9062.31</v>
      </c>
    </row>
    <row r="101" spans="1:31" x14ac:dyDescent="0.3">
      <c r="A101" s="25" t="s">
        <v>131</v>
      </c>
      <c r="B101" s="28">
        <v>-2346060</v>
      </c>
      <c r="C101" s="28">
        <v>-2330104</v>
      </c>
      <c r="D101" s="28">
        <v>-2333485</v>
      </c>
      <c r="E101" s="28">
        <v>-2336866</v>
      </c>
      <c r="F101" s="28">
        <v>-2340247</v>
      </c>
      <c r="G101" s="28">
        <v>-2343628</v>
      </c>
      <c r="H101" s="28">
        <v>-2347009</v>
      </c>
      <c r="I101" s="28">
        <v>-2350390</v>
      </c>
      <c r="J101" s="28">
        <v>-2353771</v>
      </c>
      <c r="K101" s="28">
        <v>-2357152</v>
      </c>
      <c r="L101" s="28">
        <v>-2360533</v>
      </c>
      <c r="M101" s="28">
        <v>-2363914</v>
      </c>
      <c r="N101" s="28">
        <v>-2385000.25</v>
      </c>
      <c r="O101" s="11">
        <f t="shared" si="24"/>
        <v>-2349858.403846154</v>
      </c>
      <c r="Q101" s="25" t="s">
        <v>137</v>
      </c>
      <c r="R101" s="26">
        <v>-141985.76</v>
      </c>
      <c r="S101" s="26">
        <v>-136281.18</v>
      </c>
      <c r="T101" s="26">
        <v>-129995.45</v>
      </c>
      <c r="U101" s="26">
        <v>-121601.25</v>
      </c>
      <c r="V101" s="26">
        <v>-135339.84</v>
      </c>
      <c r="W101" s="26">
        <v>-134957.28</v>
      </c>
      <c r="X101" s="26">
        <v>-133777.93</v>
      </c>
      <c r="Y101" s="26">
        <v>-132596.85999999999</v>
      </c>
      <c r="Z101" s="26">
        <v>-132597.4</v>
      </c>
      <c r="AA101" s="26">
        <v>-132812.94</v>
      </c>
      <c r="AB101" s="26">
        <v>-131428.46</v>
      </c>
      <c r="AC101" s="26">
        <v>-130926.13</v>
      </c>
      <c r="AD101" s="26">
        <v>-129713.52</v>
      </c>
      <c r="AE101" s="11">
        <f t="shared" si="25"/>
        <v>-132616.4615384615</v>
      </c>
    </row>
    <row r="102" spans="1:31" x14ac:dyDescent="0.3">
      <c r="N102" s="1"/>
      <c r="O102"/>
      <c r="Q102" s="25" t="s">
        <v>131</v>
      </c>
      <c r="R102" s="28">
        <v>-186238.04</v>
      </c>
      <c r="S102" s="28">
        <v>-171194.18</v>
      </c>
      <c r="T102" s="28">
        <v>-163624.45000000001</v>
      </c>
      <c r="U102" s="28">
        <v>-153946.25</v>
      </c>
      <c r="V102" s="28">
        <v>-166400.84</v>
      </c>
      <c r="W102" s="28">
        <v>-164734.28</v>
      </c>
      <c r="X102" s="28">
        <v>-150927.18</v>
      </c>
      <c r="Y102" s="28">
        <v>-148462.10999999999</v>
      </c>
      <c r="Z102" s="28">
        <v>-147178.65</v>
      </c>
      <c r="AA102" s="28">
        <v>-146110.19</v>
      </c>
      <c r="AB102" s="28">
        <v>-143593.43</v>
      </c>
      <c r="AC102" s="28">
        <v>-141958.82</v>
      </c>
      <c r="AD102" s="28">
        <v>-138775.82999999999</v>
      </c>
      <c r="AE102" s="11">
        <f t="shared" si="25"/>
        <v>-155626.48076923078</v>
      </c>
    </row>
    <row r="103" spans="1:31" x14ac:dyDescent="0.3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/>
    </row>
    <row r="104" spans="1:31" x14ac:dyDescent="0.3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/>
    </row>
    <row r="105" spans="1:31" x14ac:dyDescent="0.3">
      <c r="N105" s="1"/>
      <c r="O105"/>
    </row>
    <row r="106" spans="1:31" x14ac:dyDescent="0.3">
      <c r="N106" s="1"/>
      <c r="O106"/>
    </row>
    <row r="107" spans="1:31" x14ac:dyDescent="0.3">
      <c r="N107" s="1"/>
      <c r="O107"/>
    </row>
    <row r="108" spans="1:31" x14ac:dyDescent="0.3">
      <c r="N108" s="1"/>
      <c r="O108"/>
    </row>
    <row r="109" spans="1:31" x14ac:dyDescent="0.3">
      <c r="N109" s="1"/>
      <c r="O109"/>
    </row>
    <row r="110" spans="1:31" x14ac:dyDescent="0.3">
      <c r="N110" s="1"/>
      <c r="O110"/>
    </row>
    <row r="111" spans="1:31" x14ac:dyDescent="0.3">
      <c r="N111" s="1"/>
      <c r="O111"/>
    </row>
    <row r="112" spans="1:31" x14ac:dyDescent="0.3">
      <c r="N112" s="1"/>
      <c r="O112"/>
    </row>
    <row r="113" spans="14:15" x14ac:dyDescent="0.3">
      <c r="N113" s="1"/>
      <c r="O113"/>
    </row>
    <row r="114" spans="14:15" x14ac:dyDescent="0.3">
      <c r="N114" s="1"/>
      <c r="O114"/>
    </row>
    <row r="115" spans="14:15" x14ac:dyDescent="0.3">
      <c r="N115" s="1"/>
      <c r="O115"/>
    </row>
    <row r="116" spans="14:15" x14ac:dyDescent="0.3">
      <c r="N116" s="1"/>
      <c r="O116"/>
    </row>
    <row r="117" spans="14:15" x14ac:dyDescent="0.3">
      <c r="N117" s="1"/>
      <c r="O117"/>
    </row>
    <row r="118" spans="14:15" x14ac:dyDescent="0.3">
      <c r="N118" s="1"/>
      <c r="O118"/>
    </row>
    <row r="119" spans="14:15" x14ac:dyDescent="0.3">
      <c r="N119" s="1"/>
      <c r="O119"/>
    </row>
    <row r="120" spans="14:15" x14ac:dyDescent="0.3">
      <c r="N120" s="1"/>
      <c r="O120"/>
    </row>
    <row r="121" spans="14:15" x14ac:dyDescent="0.3">
      <c r="N121" s="1"/>
      <c r="O121"/>
    </row>
    <row r="122" spans="14:15" x14ac:dyDescent="0.3">
      <c r="N122" s="1"/>
      <c r="O122"/>
    </row>
    <row r="123" spans="14:15" x14ac:dyDescent="0.3">
      <c r="N123" s="1"/>
      <c r="O123"/>
    </row>
    <row r="124" spans="14:15" x14ac:dyDescent="0.3">
      <c r="N124" s="1"/>
      <c r="O124"/>
    </row>
    <row r="125" spans="14:15" x14ac:dyDescent="0.3">
      <c r="N125" s="1"/>
      <c r="O125"/>
    </row>
    <row r="126" spans="14:15" x14ac:dyDescent="0.3">
      <c r="N126" s="1"/>
      <c r="O126"/>
    </row>
    <row r="127" spans="14:15" x14ac:dyDescent="0.3">
      <c r="N127" s="1"/>
      <c r="O127"/>
    </row>
    <row r="128" spans="14:15" x14ac:dyDescent="0.3">
      <c r="N128" s="1"/>
      <c r="O128"/>
    </row>
    <row r="129" spans="14:15" x14ac:dyDescent="0.3">
      <c r="N129" s="1"/>
      <c r="O129"/>
    </row>
    <row r="130" spans="14:15" x14ac:dyDescent="0.3">
      <c r="N130" s="1"/>
      <c r="O130"/>
    </row>
    <row r="131" spans="14:15" x14ac:dyDescent="0.3">
      <c r="N131" s="1"/>
      <c r="O131"/>
    </row>
    <row r="132" spans="14:15" x14ac:dyDescent="0.3">
      <c r="N132" s="1"/>
      <c r="O132"/>
    </row>
    <row r="133" spans="14:15" x14ac:dyDescent="0.3">
      <c r="N133" s="1"/>
      <c r="O133"/>
    </row>
    <row r="134" spans="14:15" x14ac:dyDescent="0.3">
      <c r="N134" s="1"/>
      <c r="O134"/>
    </row>
    <row r="135" spans="14:15" x14ac:dyDescent="0.3">
      <c r="N135" s="1"/>
      <c r="O135"/>
    </row>
    <row r="136" spans="14:15" x14ac:dyDescent="0.3">
      <c r="N136" s="1"/>
      <c r="O136"/>
    </row>
    <row r="137" spans="14:15" x14ac:dyDescent="0.3">
      <c r="N137" s="1"/>
      <c r="O137"/>
    </row>
    <row r="138" spans="14:15" x14ac:dyDescent="0.3">
      <c r="N138" s="1"/>
      <c r="O138"/>
    </row>
    <row r="139" spans="14:15" x14ac:dyDescent="0.3">
      <c r="N139" s="1"/>
      <c r="O139"/>
    </row>
    <row r="140" spans="14:15" x14ac:dyDescent="0.3">
      <c r="N140" s="1"/>
      <c r="O140"/>
    </row>
    <row r="141" spans="14:15" x14ac:dyDescent="0.3">
      <c r="N141" s="1"/>
      <c r="O141"/>
    </row>
    <row r="142" spans="14:15" x14ac:dyDescent="0.3">
      <c r="N142" s="1"/>
      <c r="O142"/>
    </row>
    <row r="143" spans="14:15" x14ac:dyDescent="0.3">
      <c r="N143" s="1"/>
      <c r="O143"/>
    </row>
    <row r="144" spans="14:15" x14ac:dyDescent="0.3">
      <c r="N144" s="1"/>
      <c r="O144"/>
    </row>
    <row r="145" spans="14:15" x14ac:dyDescent="0.3">
      <c r="N145" s="1"/>
      <c r="O145"/>
    </row>
    <row r="146" spans="14:15" x14ac:dyDescent="0.3">
      <c r="N146" s="1"/>
      <c r="O146"/>
    </row>
    <row r="147" spans="14:15" x14ac:dyDescent="0.3">
      <c r="N147" s="1"/>
      <c r="O147"/>
    </row>
    <row r="148" spans="14:15" x14ac:dyDescent="0.3">
      <c r="N148" s="1"/>
      <c r="O148"/>
    </row>
    <row r="149" spans="14:15" x14ac:dyDescent="0.3">
      <c r="N149" s="1"/>
      <c r="O149"/>
    </row>
    <row r="150" spans="14:15" x14ac:dyDescent="0.3">
      <c r="N150" s="1"/>
      <c r="O150"/>
    </row>
    <row r="151" spans="14:15" x14ac:dyDescent="0.3">
      <c r="N151" s="1"/>
      <c r="O151"/>
    </row>
    <row r="152" spans="14:15" x14ac:dyDescent="0.3">
      <c r="N152" s="1"/>
      <c r="O152"/>
    </row>
    <row r="153" spans="14:15" x14ac:dyDescent="0.3">
      <c r="N153" s="1"/>
      <c r="O153"/>
    </row>
    <row r="154" spans="14:15" x14ac:dyDescent="0.3">
      <c r="N154" s="1"/>
      <c r="O154"/>
    </row>
    <row r="155" spans="14:15" x14ac:dyDescent="0.3">
      <c r="N155" s="1"/>
      <c r="O155"/>
    </row>
    <row r="156" spans="14:15" x14ac:dyDescent="0.3">
      <c r="N156" s="1"/>
      <c r="O156"/>
    </row>
    <row r="157" spans="14:15" x14ac:dyDescent="0.3">
      <c r="N157" s="1"/>
      <c r="O157"/>
    </row>
    <row r="158" spans="14:15" x14ac:dyDescent="0.3">
      <c r="N158" s="1"/>
      <c r="O158"/>
    </row>
    <row r="159" spans="14:15" x14ac:dyDescent="0.3">
      <c r="N159" s="1"/>
      <c r="O159"/>
    </row>
    <row r="160" spans="14:15" x14ac:dyDescent="0.3">
      <c r="N160" s="1"/>
      <c r="O160"/>
    </row>
    <row r="161" spans="14:15" x14ac:dyDescent="0.3">
      <c r="N161" s="1"/>
      <c r="O161"/>
    </row>
    <row r="162" spans="14:15" x14ac:dyDescent="0.3">
      <c r="N162" s="1"/>
      <c r="O162"/>
    </row>
    <row r="163" spans="14:15" x14ac:dyDescent="0.3">
      <c r="N163" s="1"/>
      <c r="O163"/>
    </row>
    <row r="164" spans="14:15" x14ac:dyDescent="0.3">
      <c r="N164" s="1"/>
      <c r="O164"/>
    </row>
    <row r="165" spans="14:15" x14ac:dyDescent="0.3">
      <c r="N165" s="1"/>
      <c r="O165"/>
    </row>
    <row r="166" spans="14:15" x14ac:dyDescent="0.3">
      <c r="N166" s="1"/>
      <c r="O166"/>
    </row>
    <row r="167" spans="14:15" x14ac:dyDescent="0.3">
      <c r="N167" s="1"/>
      <c r="O167"/>
    </row>
    <row r="168" spans="14:15" x14ac:dyDescent="0.3">
      <c r="N168" s="1"/>
      <c r="O168"/>
    </row>
    <row r="169" spans="14:15" x14ac:dyDescent="0.3">
      <c r="N169" s="1"/>
      <c r="O169"/>
    </row>
    <row r="170" spans="14:15" x14ac:dyDescent="0.3">
      <c r="N170" s="1"/>
      <c r="O170"/>
    </row>
    <row r="171" spans="14:15" x14ac:dyDescent="0.3">
      <c r="N171" s="1"/>
      <c r="O171"/>
    </row>
  </sheetData>
  <mergeCells count="2">
    <mergeCell ref="B1:N1"/>
    <mergeCell ref="R1:A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1EB8-BCC3-4F0E-8D54-3EA7E8D4B5D5}">
  <dimension ref="A1"/>
  <sheetViews>
    <sheetView showGridLines="0" workbookViewId="0">
      <selection activeCell="K19" sqref="K19"/>
    </sheetView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388E-B0CD-4103-A935-A4767AB618FA}">
  <sheetPr>
    <tabColor rgb="FF66FF33"/>
    <pageSetUpPr fitToPage="1"/>
  </sheetPr>
  <dimension ref="A1:L34"/>
  <sheetViews>
    <sheetView workbookViewId="0">
      <selection activeCell="G27" sqref="G27"/>
    </sheetView>
  </sheetViews>
  <sheetFormatPr defaultColWidth="9.109375" defaultRowHeight="13.8" x14ac:dyDescent="0.3"/>
  <cols>
    <col min="1" max="1" width="3.6640625" style="34" customWidth="1"/>
    <col min="2" max="3" width="3.88671875" style="34" customWidth="1"/>
    <col min="4" max="4" width="4.109375" style="34" customWidth="1"/>
    <col min="5" max="6" width="24.109375" style="34" customWidth="1"/>
    <col min="7" max="7" width="13.6640625" style="36" bestFit="1" customWidth="1"/>
    <col min="8" max="8" width="15" style="34" customWidth="1"/>
    <col min="9" max="11" width="12.88671875" style="38" bestFit="1" customWidth="1"/>
    <col min="12" max="12" width="12" style="34" bestFit="1" customWidth="1"/>
    <col min="13" max="16384" width="9.109375" style="34"/>
  </cols>
  <sheetData>
    <row r="1" spans="1:12" x14ac:dyDescent="0.3">
      <c r="A1" s="34" t="s">
        <v>140</v>
      </c>
      <c r="G1" s="34"/>
      <c r="I1" s="35" t="s">
        <v>141</v>
      </c>
      <c r="J1" s="34"/>
      <c r="K1" s="34"/>
    </row>
    <row r="2" spans="1:12" x14ac:dyDescent="0.3">
      <c r="A2" s="34" t="s">
        <v>142</v>
      </c>
      <c r="I2" s="37" t="s">
        <v>143</v>
      </c>
      <c r="J2" s="34"/>
      <c r="L2" s="38"/>
    </row>
    <row r="3" spans="1:12" x14ac:dyDescent="0.3">
      <c r="A3" s="39"/>
      <c r="H3" s="36"/>
      <c r="J3" s="40"/>
    </row>
    <row r="4" spans="1:12" x14ac:dyDescent="0.3">
      <c r="A4" s="39"/>
      <c r="H4" s="36"/>
      <c r="J4" s="40"/>
    </row>
    <row r="5" spans="1:12" x14ac:dyDescent="0.3">
      <c r="A5" s="39"/>
      <c r="H5" s="36"/>
      <c r="J5" s="40"/>
    </row>
    <row r="6" spans="1:12" x14ac:dyDescent="0.3">
      <c r="A6" s="39"/>
      <c r="H6" s="36"/>
      <c r="J6" s="40"/>
    </row>
    <row r="7" spans="1:12" x14ac:dyDescent="0.3">
      <c r="A7" s="39"/>
      <c r="H7" s="36"/>
      <c r="J7" s="40"/>
    </row>
    <row r="8" spans="1:12" x14ac:dyDescent="0.3">
      <c r="A8" s="39"/>
      <c r="H8" s="36"/>
      <c r="J8" s="40"/>
    </row>
    <row r="9" spans="1:12" x14ac:dyDescent="0.3">
      <c r="A9" s="39"/>
      <c r="H9" s="36"/>
      <c r="J9" s="40"/>
    </row>
    <row r="10" spans="1:12" x14ac:dyDescent="0.3">
      <c r="A10" s="39"/>
      <c r="B10" s="39"/>
      <c r="C10" s="39"/>
      <c r="D10" s="39"/>
      <c r="E10" s="39"/>
      <c r="F10" s="41" t="s">
        <v>144</v>
      </c>
      <c r="G10" s="42" t="s">
        <v>145</v>
      </c>
      <c r="H10" s="43" t="s">
        <v>146</v>
      </c>
      <c r="J10" s="40"/>
    </row>
    <row r="11" spans="1:12" x14ac:dyDescent="0.3">
      <c r="A11" s="39"/>
      <c r="B11" s="39"/>
      <c r="C11" s="39"/>
      <c r="D11" s="39"/>
      <c r="E11" s="39"/>
      <c r="F11" s="41"/>
      <c r="G11" s="42"/>
      <c r="H11" s="43"/>
      <c r="J11" s="40"/>
    </row>
    <row r="12" spans="1:12" ht="15.6" x14ac:dyDescent="0.45">
      <c r="A12" s="34" t="s">
        <v>147</v>
      </c>
      <c r="F12" s="44" t="s">
        <v>148</v>
      </c>
      <c r="G12" s="45">
        <f>'Tab 55 p2'!P48</f>
        <v>277645551.06</v>
      </c>
      <c r="H12" s="45">
        <f>'Tab 55 p3'!AF48</f>
        <v>301255706.79076922</v>
      </c>
      <c r="J12" s="40"/>
    </row>
    <row r="13" spans="1:12" x14ac:dyDescent="0.3">
      <c r="G13" s="46"/>
      <c r="H13" s="46"/>
      <c r="J13" s="40"/>
    </row>
    <row r="14" spans="1:12" x14ac:dyDescent="0.3">
      <c r="A14" s="34" t="s">
        <v>149</v>
      </c>
      <c r="C14" s="34" t="s">
        <v>150</v>
      </c>
      <c r="F14" s="44" t="s">
        <v>151</v>
      </c>
      <c r="G14" s="46">
        <f>'Tab 55 p4'!O5</f>
        <v>604905.27461538452</v>
      </c>
      <c r="H14" s="46">
        <f>G14</f>
        <v>604905.27461538452</v>
      </c>
      <c r="J14" s="40"/>
    </row>
    <row r="15" spans="1:12" x14ac:dyDescent="0.3">
      <c r="F15" s="44"/>
      <c r="G15" s="46"/>
      <c r="H15" s="46"/>
      <c r="J15" s="40"/>
    </row>
    <row r="16" spans="1:12" x14ac:dyDescent="0.3">
      <c r="C16" s="34" t="s">
        <v>152</v>
      </c>
      <c r="F16" s="44" t="s">
        <v>151</v>
      </c>
      <c r="G16" s="46">
        <f>'Tab 55 p4'!O7</f>
        <v>1072740.6115384614</v>
      </c>
      <c r="H16" s="46">
        <f t="shared" ref="H16:H20" si="0">G16</f>
        <v>1072740.6115384614</v>
      </c>
      <c r="J16" s="40"/>
    </row>
    <row r="17" spans="1:10" x14ac:dyDescent="0.3">
      <c r="F17" s="44"/>
      <c r="G17" s="46"/>
      <c r="H17" s="46"/>
      <c r="J17" s="40"/>
    </row>
    <row r="18" spans="1:10" x14ac:dyDescent="0.3">
      <c r="C18" s="34" t="s">
        <v>153</v>
      </c>
      <c r="F18" s="44" t="s">
        <v>151</v>
      </c>
      <c r="G18" s="46">
        <f>'Tab 55 p4'!O6</f>
        <v>1143702.0207692308</v>
      </c>
      <c r="H18" s="46">
        <f t="shared" si="0"/>
        <v>1143702.0207692308</v>
      </c>
      <c r="J18" s="40"/>
    </row>
    <row r="19" spans="1:10" x14ac:dyDescent="0.3">
      <c r="F19" s="44"/>
      <c r="G19" s="46"/>
      <c r="H19" s="46"/>
      <c r="J19" s="40"/>
    </row>
    <row r="20" spans="1:10" x14ac:dyDescent="0.3">
      <c r="C20" s="34" t="s">
        <v>154</v>
      </c>
      <c r="F20" s="44" t="s">
        <v>155</v>
      </c>
      <c r="G20" s="46">
        <f>'Tab 55 p5'!G15</f>
        <v>1747660.73</v>
      </c>
      <c r="H20" s="46">
        <f t="shared" si="0"/>
        <v>1747660.73</v>
      </c>
      <c r="J20" s="40"/>
    </row>
    <row r="21" spans="1:10" x14ac:dyDescent="0.3">
      <c r="F21" s="44"/>
      <c r="G21" s="46"/>
      <c r="H21" s="46"/>
      <c r="J21" s="40"/>
    </row>
    <row r="22" spans="1:10" ht="15.6" x14ac:dyDescent="0.45">
      <c r="C22" s="34" t="s">
        <v>156</v>
      </c>
      <c r="F22" s="44" t="s">
        <v>157</v>
      </c>
      <c r="G22" s="45">
        <f>(+[36]Return!J48-[36]Return!J41)/8</f>
        <v>2000868.7136554644</v>
      </c>
      <c r="H22" s="45">
        <f>(+[36]Return!K48-[36]Return!K41)/8</f>
        <v>2000868.7136554644</v>
      </c>
      <c r="J22" s="40"/>
    </row>
    <row r="23" spans="1:10" ht="15.6" x14ac:dyDescent="0.45">
      <c r="D23" s="34" t="s">
        <v>5</v>
      </c>
      <c r="G23" s="45">
        <f>SUM(G14:G22)</f>
        <v>6569877.3505785409</v>
      </c>
      <c r="H23" s="45">
        <f>SUM(H14:H22)</f>
        <v>6569877.3505785409</v>
      </c>
      <c r="J23" s="40"/>
    </row>
    <row r="24" spans="1:10" x14ac:dyDescent="0.3">
      <c r="G24" s="46"/>
      <c r="H24" s="46"/>
      <c r="J24" s="40"/>
    </row>
    <row r="25" spans="1:10" x14ac:dyDescent="0.3">
      <c r="A25" s="34" t="s">
        <v>158</v>
      </c>
      <c r="C25" s="34" t="s">
        <v>159</v>
      </c>
      <c r="F25" s="44" t="s">
        <v>160</v>
      </c>
      <c r="G25" s="46">
        <f>'Tab 55 p2'!P55</f>
        <v>-118940848.98</v>
      </c>
      <c r="H25" s="46">
        <f>'Tab 55 p3'!AF57</f>
        <v>-127857042.66777468</v>
      </c>
      <c r="J25" s="40"/>
    </row>
    <row r="26" spans="1:10" x14ac:dyDescent="0.3">
      <c r="F26" s="44"/>
      <c r="G26" s="46"/>
      <c r="H26" s="46"/>
      <c r="J26" s="40"/>
    </row>
    <row r="27" spans="1:10" x14ac:dyDescent="0.3">
      <c r="C27" s="34" t="s">
        <v>161</v>
      </c>
      <c r="F27" s="44" t="s">
        <v>162</v>
      </c>
      <c r="G27" s="46">
        <f>'[36]3 31 21 Bal Sheet'!I105</f>
        <v>-457600.2</v>
      </c>
      <c r="H27" s="46">
        <f t="shared" ref="H27" si="1">G27</f>
        <v>-457600.2</v>
      </c>
      <c r="J27" s="40"/>
    </row>
    <row r="28" spans="1:10" x14ac:dyDescent="0.3">
      <c r="F28" s="44"/>
      <c r="G28" s="46"/>
      <c r="H28" s="46"/>
      <c r="J28" s="40"/>
    </row>
    <row r="29" spans="1:10" ht="15.6" x14ac:dyDescent="0.45">
      <c r="C29" s="34" t="s">
        <v>163</v>
      </c>
      <c r="F29" s="44" t="s">
        <v>164</v>
      </c>
      <c r="G29" s="45">
        <f>-'Tab 55 p12 (DT)'!K59</f>
        <v>-42472111</v>
      </c>
      <c r="H29" s="45">
        <f>'Tab 55 p3'!AF67</f>
        <v>-42774952.343603849</v>
      </c>
      <c r="J29" s="40"/>
    </row>
    <row r="30" spans="1:10" ht="15.6" x14ac:dyDescent="0.45">
      <c r="D30" s="34" t="s">
        <v>5</v>
      </c>
      <c r="G30" s="45">
        <f>SUM(G25:G29)</f>
        <v>-161870560.18000001</v>
      </c>
      <c r="H30" s="45">
        <f>SUM(H25:H29)</f>
        <v>-171089595.21137851</v>
      </c>
    </row>
    <row r="31" spans="1:10" x14ac:dyDescent="0.3">
      <c r="G31" s="46"/>
      <c r="H31" s="46"/>
    </row>
    <row r="32" spans="1:10" ht="15.6" x14ac:dyDescent="0.45">
      <c r="A32" s="34" t="s">
        <v>142</v>
      </c>
      <c r="G32" s="47">
        <f>+G30+G23+G12</f>
        <v>122344868.23057854</v>
      </c>
      <c r="H32" s="47">
        <f>+H30+H23+H12</f>
        <v>136735988.92996925</v>
      </c>
    </row>
    <row r="33" spans="7:8" x14ac:dyDescent="0.3">
      <c r="G33" s="46"/>
      <c r="H33" s="46"/>
    </row>
    <row r="34" spans="7:8" x14ac:dyDescent="0.3">
      <c r="G34" s="46"/>
      <c r="H34" s="46"/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dea 2 - 6 8 21</vt:lpstr>
      <vt:lpstr>Differences</vt:lpstr>
      <vt:lpstr>3 31 21 model Bal Sheet</vt:lpstr>
      <vt:lpstr>Rate base</vt:lpstr>
      <vt:lpstr>RB &amp; Cap Recon</vt:lpstr>
      <vt:lpstr>Support-&gt;</vt:lpstr>
      <vt:lpstr>Balance Sheets &amp; Capitalization</vt:lpstr>
      <vt:lpstr>Rate Base-&gt;</vt:lpstr>
      <vt:lpstr>Tab 55 p1</vt:lpstr>
      <vt:lpstr>Tab 55 p2</vt:lpstr>
      <vt:lpstr>Tab 55 p3</vt:lpstr>
      <vt:lpstr>Tab 55 p4</vt:lpstr>
      <vt:lpstr>Tab 55 p5</vt:lpstr>
      <vt:lpstr>Tab 55 p6</vt:lpstr>
      <vt:lpstr>Tab 55 p7</vt:lpstr>
      <vt:lpstr>Tab 55 p8</vt:lpstr>
      <vt:lpstr>Tab 55 p9</vt:lpstr>
      <vt:lpstr>Tab 55 p10</vt:lpstr>
      <vt:lpstr>Tab 55 p11</vt:lpstr>
      <vt:lpstr>Tab 55 p12 (DT)</vt:lpstr>
      <vt:lpstr>Tab 55 p13(DT)</vt:lpstr>
      <vt:lpstr>'Tab 55 p11'!Print_Area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EJP</dc:creator>
  <cp:lastModifiedBy>Allen, Danny E</cp:lastModifiedBy>
  <cp:lastPrinted>2021-06-08T19:11:21Z</cp:lastPrinted>
  <dcterms:created xsi:type="dcterms:W3CDTF">2021-05-26T15:03:18Z</dcterms:created>
  <dcterms:modified xsi:type="dcterms:W3CDTF">2021-06-08T19:11:58Z</dcterms:modified>
</cp:coreProperties>
</file>