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21075" windowHeight="9780"/>
  </bookViews>
  <sheets>
    <sheet name="Exhibit" sheetId="1" r:id="rId1"/>
    <sheet name="Supporting Schedule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2" l="1"/>
  <c r="J17" i="2"/>
  <c r="J16" i="2"/>
  <c r="J15" i="2"/>
  <c r="J14" i="2"/>
  <c r="J13" i="2"/>
  <c r="J12" i="2"/>
  <c r="J11" i="2"/>
  <c r="J10" i="2"/>
  <c r="J9" i="2"/>
  <c r="J8" i="2"/>
  <c r="J7" i="2"/>
  <c r="J19" i="2"/>
  <c r="D18" i="2"/>
  <c r="D8" i="2"/>
  <c r="D17" i="2"/>
  <c r="D16" i="2"/>
  <c r="D15" i="2"/>
  <c r="D14" i="2"/>
  <c r="D13" i="2"/>
  <c r="D12" i="2"/>
  <c r="D11" i="2"/>
  <c r="D10" i="2"/>
  <c r="D9" i="2"/>
  <c r="D7" i="2"/>
  <c r="H28" i="2" l="1"/>
  <c r="G26" i="2"/>
  <c r="G19" i="2"/>
  <c r="H7" i="2"/>
  <c r="H8" i="2" l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E28" i="2"/>
  <c r="H19" i="2" l="1"/>
  <c r="D19" i="2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2" i="2" s="1"/>
  <c r="E26" i="2" s="1"/>
  <c r="E30" i="2" s="1"/>
  <c r="E34" i="2" s="1"/>
  <c r="E38" i="2" s="1"/>
  <c r="D26" i="2"/>
  <c r="H20" i="2" l="1"/>
  <c r="H22" i="2" s="1"/>
  <c r="H26" i="2" s="1"/>
  <c r="H30" i="2" s="1"/>
  <c r="H34" i="2" s="1"/>
  <c r="H38" i="2" s="1"/>
  <c r="F20" i="1"/>
  <c r="F22" i="1" s="1"/>
  <c r="E20" i="1"/>
  <c r="E22" i="1" s="1"/>
  <c r="F16" i="1" l="1"/>
  <c r="H17" i="1" l="1"/>
  <c r="H16" i="1" l="1"/>
  <c r="H15" i="1" l="1"/>
  <c r="C15" i="1"/>
  <c r="H14" i="1" l="1"/>
  <c r="H5" i="1" l="1"/>
  <c r="F12" i="1" l="1"/>
  <c r="H12" i="1" s="1"/>
  <c r="E12" i="1"/>
  <c r="F11" i="1" l="1"/>
  <c r="H11" i="1" s="1"/>
  <c r="E11" i="1"/>
  <c r="F10" i="1" l="1"/>
  <c r="I10" i="1" s="1"/>
  <c r="E10" i="1"/>
  <c r="F9" i="1" l="1"/>
  <c r="H9" i="1" s="1"/>
  <c r="E9" i="1"/>
  <c r="F8" i="1" l="1"/>
  <c r="H8" i="1" s="1"/>
  <c r="E8" i="1"/>
  <c r="F7" i="1" l="1"/>
  <c r="H7" i="1" s="1"/>
  <c r="F6" i="1" l="1"/>
  <c r="H6" i="1" s="1"/>
  <c r="E6" i="1"/>
  <c r="E5" i="1" l="1"/>
  <c r="F3" i="1" l="1"/>
  <c r="I3" i="1" s="1"/>
  <c r="F4" i="1"/>
  <c r="H4" i="1" s="1"/>
  <c r="H13" i="1" l="1"/>
  <c r="H18" i="1" s="1"/>
  <c r="I13" i="1"/>
  <c r="I18" i="1" s="1"/>
  <c r="F13" i="1"/>
  <c r="F18" i="1" s="1"/>
  <c r="E4" i="1"/>
  <c r="E13" i="1" s="1"/>
  <c r="E18" i="1" s="1"/>
</calcChain>
</file>

<file path=xl/sharedStrings.xml><?xml version="1.0" encoding="utf-8"?>
<sst xmlns="http://schemas.openxmlformats.org/spreadsheetml/2006/main" count="72" uniqueCount="57">
  <si>
    <t>Post Filing Version</t>
  </si>
  <si>
    <t>Amount</t>
  </si>
  <si>
    <t>Adjustment Line Item</t>
  </si>
  <si>
    <t>Tax Impact</t>
  </si>
  <si>
    <t>Revenue Requirement Impact</t>
  </si>
  <si>
    <t>Net Reduction Addressed by AG</t>
  </si>
  <si>
    <t>Net Increase Requesed by Delta</t>
  </si>
  <si>
    <t>AS FILED</t>
  </si>
  <si>
    <t>01 To Correct Operating Income Formula</t>
  </si>
  <si>
    <t>Revenue</t>
  </si>
  <si>
    <t>02 Tax Adjustments</t>
  </si>
  <si>
    <t>Taxes</t>
  </si>
  <si>
    <t>03 Non-Recurring IT</t>
  </si>
  <si>
    <t>Operating Expense</t>
  </si>
  <si>
    <t>04 Pension Actuarial Update</t>
  </si>
  <si>
    <t>05 SERP Expense</t>
  </si>
  <si>
    <t>06 Remove AP in Prepaids and CWIP</t>
  </si>
  <si>
    <t>Rate Base</t>
  </si>
  <si>
    <t>07 Affiliate Payroll</t>
  </si>
  <si>
    <t>08 Estimated Rate Case Expense Increase</t>
  </si>
  <si>
    <t>09 Lobbying and Dues</t>
  </si>
  <si>
    <t>10 Add Uncollect and PSC to GU</t>
  </si>
  <si>
    <t>Subtotal</t>
  </si>
  <si>
    <t>11 Reset cash working capital to 0</t>
  </si>
  <si>
    <t>12 Reclassify 1.76% debt from LT to ST</t>
  </si>
  <si>
    <t>Interest</t>
  </si>
  <si>
    <t>Return on Rate Base</t>
  </si>
  <si>
    <t>14 Increase GCR to current rate</t>
  </si>
  <si>
    <t>Gas Cost</t>
  </si>
  <si>
    <t>13 and 15 Reduce return on equity from 10.95% to 9.3%</t>
  </si>
  <si>
    <t>Adjustment</t>
  </si>
  <si>
    <t>Impact on Average Test Year Rate Base</t>
  </si>
  <si>
    <t>Weighted Cost of Capital</t>
  </si>
  <si>
    <t>December 31, 2021</t>
  </si>
  <si>
    <t>Jan 31</t>
  </si>
  <si>
    <t>Feb 28</t>
  </si>
  <si>
    <t>Mar 31</t>
  </si>
  <si>
    <t>Apr 30</t>
  </si>
  <si>
    <t>May 31</t>
  </si>
  <si>
    <t>Jun 30</t>
  </si>
  <si>
    <t>July 31</t>
  </si>
  <si>
    <t>Aug 31</t>
  </si>
  <si>
    <t>Sep 30</t>
  </si>
  <si>
    <t>Oct 31</t>
  </si>
  <si>
    <t>Nov 30</t>
  </si>
  <si>
    <t>December 31, 2022</t>
  </si>
  <si>
    <t>Cumulative</t>
  </si>
  <si>
    <t>Thirteen Month Average</t>
  </si>
  <si>
    <t>Change in cost of capital</t>
  </si>
  <si>
    <t>Applied to entire rate base</t>
  </si>
  <si>
    <t>Gross-Up</t>
  </si>
  <si>
    <t>Pretax</t>
  </si>
  <si>
    <t>Statutory rate</t>
  </si>
  <si>
    <t>16 Remove Nicholasville Project ROW</t>
  </si>
  <si>
    <t>16. Remove Nicholasville Project ROW</t>
  </si>
  <si>
    <t>17. Remove Nicholasville Project Non-ROW</t>
  </si>
  <si>
    <t>17 Remove Nicholasville Project Non-ROW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</si>
</sst>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00000%"/>
    <numFmt numFmtId="166" formatCode="0.0000000%"/>
    <numFmt numFmtId="167" formatCode="0.00000000%"/>
    <numFmt numFmtId="168" formatCode="_(* #,##0.000000_);_(* \(#,##0.000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 val="doubleAccounting"/>
      <sz val="9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Alignment="1">
      <alignment horizontal="left"/>
    </xf>
    <xf numFmtId="164" fontId="3" fillId="0" borderId="0" xfId="1" applyNumberFormat="1" applyFont="1" applyFill="1"/>
    <xf numFmtId="0" fontId="3" fillId="0" borderId="0" xfId="0" applyFont="1" applyFill="1"/>
    <xf numFmtId="43" fontId="4" fillId="0" borderId="0" xfId="1" applyFont="1" applyFill="1" applyAlignment="1">
      <alignment horizontal="center" wrapText="1"/>
    </xf>
    <xf numFmtId="14" fontId="3" fillId="0" borderId="0" xfId="0" applyNumberFormat="1" applyFont="1" applyFill="1" applyAlignment="1">
      <alignment horizontal="left"/>
    </xf>
    <xf numFmtId="164" fontId="3" fillId="0" borderId="0" xfId="1" applyNumberFormat="1" applyFont="1" applyFill="1" applyAlignment="1">
      <alignment wrapText="1"/>
    </xf>
    <xf numFmtId="164" fontId="4" fillId="0" borderId="0" xfId="1" applyNumberFormat="1" applyFont="1" applyFill="1"/>
    <xf numFmtId="164" fontId="5" fillId="0" borderId="0" xfId="1" applyNumberFormat="1" applyFont="1" applyFill="1"/>
    <xf numFmtId="43" fontId="6" fillId="0" borderId="0" xfId="1" applyFont="1" applyFill="1" applyAlignment="1">
      <alignment horizontal="center" wrapText="1"/>
    </xf>
    <xf numFmtId="164" fontId="7" fillId="0" borderId="0" xfId="1" applyNumberFormat="1" applyFont="1" applyFill="1"/>
    <xf numFmtId="164" fontId="6" fillId="0" borderId="0" xfId="1" applyNumberFormat="1" applyFont="1" applyFill="1"/>
    <xf numFmtId="164" fontId="0" fillId="0" borderId="0" xfId="1" applyNumberFormat="1" applyFont="1" applyFill="1"/>
    <xf numFmtId="164" fontId="8" fillId="0" borderId="0" xfId="2" applyNumberFormat="1" applyFont="1" applyFill="1"/>
    <xf numFmtId="164" fontId="8" fillId="0" borderId="0" xfId="1" applyNumberFormat="1" applyFont="1" applyFill="1"/>
    <xf numFmtId="164" fontId="0" fillId="0" borderId="0" xfId="1" applyNumberFormat="1" applyFont="1"/>
    <xf numFmtId="165" fontId="0" fillId="0" borderId="0" xfId="3" applyNumberFormat="1" applyFont="1"/>
    <xf numFmtId="43" fontId="0" fillId="0" borderId="0" xfId="1" applyNumberFormat="1" applyFont="1"/>
    <xf numFmtId="164" fontId="0" fillId="0" borderId="0" xfId="1" quotePrefix="1" applyNumberFormat="1" applyFont="1"/>
    <xf numFmtId="164" fontId="9" fillId="0" borderId="0" xfId="1" applyNumberFormat="1" applyFont="1"/>
    <xf numFmtId="164" fontId="10" fillId="0" borderId="0" xfId="1" applyNumberFormat="1" applyFont="1"/>
    <xf numFmtId="10" fontId="0" fillId="0" borderId="0" xfId="3" applyNumberFormat="1" applyFont="1"/>
    <xf numFmtId="166" fontId="0" fillId="0" borderId="0" xfId="3" applyNumberFormat="1" applyFont="1"/>
    <xf numFmtId="167" fontId="0" fillId="0" borderId="0" xfId="3" applyNumberFormat="1" applyFont="1"/>
    <xf numFmtId="168" fontId="0" fillId="0" borderId="0" xfId="1" applyNumberFormat="1" applyFont="1"/>
    <xf numFmtId="164" fontId="0" fillId="3" borderId="0" xfId="1" applyNumberFormat="1" applyFont="1" applyFill="1"/>
    <xf numFmtId="164" fontId="2" fillId="0" borderId="0" xfId="2" applyNumberFormat="1" applyFill="1"/>
    <xf numFmtId="43" fontId="4" fillId="0" borderId="0" xfId="1" applyFont="1" applyFill="1" applyAlignment="1">
      <alignment horizontal="left" wrapText="1"/>
    </xf>
    <xf numFmtId="164" fontId="9" fillId="0" borderId="0" xfId="1" applyNumberFormat="1" applyFont="1" applyAlignment="1">
      <alignment horizontal="center" wrapText="1"/>
    </xf>
  </cellXfs>
  <cellStyles count="4">
    <cellStyle name="Comma" xfId="1" builtinId="3"/>
    <cellStyle name="Good" xfId="2" builtinId="26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workbookViewId="0">
      <pane xSplit="2" ySplit="1" topLeftCell="C2" activePane="bottomRight" state="frozen"/>
      <selection pane="topRight" activeCell="C1" sqref="C1"/>
      <selection pane="bottomLeft" activeCell="A21" sqref="A21"/>
      <selection pane="bottomRight" activeCell="F31" sqref="F31"/>
    </sheetView>
  </sheetViews>
  <sheetFormatPr defaultColWidth="9.140625" defaultRowHeight="12" x14ac:dyDescent="0.2"/>
  <cols>
    <col min="1" max="1" width="2.5703125" style="1" customWidth="1"/>
    <col min="2" max="2" width="37.5703125" style="2" customWidth="1"/>
    <col min="3" max="3" width="11.28515625" style="2" bestFit="1" customWidth="1"/>
    <col min="4" max="4" width="18.28515625" style="2" bestFit="1" customWidth="1"/>
    <col min="5" max="5" width="10" style="2" bestFit="1" customWidth="1"/>
    <col min="6" max="6" width="11.140625" style="2" bestFit="1" customWidth="1"/>
    <col min="7" max="7" width="1.85546875" style="2" customWidth="1"/>
    <col min="8" max="8" width="11.28515625" style="2" hidden="1" customWidth="1"/>
    <col min="9" max="9" width="8.85546875" style="2" hidden="1" customWidth="1"/>
    <col min="10" max="11" width="9.140625" style="2"/>
    <col min="12" max="12" width="9.5703125" style="2" bestFit="1" customWidth="1"/>
    <col min="13" max="19" width="9.140625" style="2"/>
    <col min="20" max="16384" width="9.140625" style="3"/>
  </cols>
  <sheetData>
    <row r="1" spans="1:9" s="4" customFormat="1" ht="57" x14ac:dyDescent="0.35">
      <c r="A1" s="27" t="s">
        <v>0</v>
      </c>
      <c r="B1" s="27"/>
      <c r="C1" s="4" t="s">
        <v>1</v>
      </c>
      <c r="D1" s="4" t="s">
        <v>2</v>
      </c>
      <c r="E1" s="4" t="s">
        <v>3</v>
      </c>
      <c r="F1" s="4" t="s">
        <v>4</v>
      </c>
      <c r="H1" s="9" t="s">
        <v>5</v>
      </c>
      <c r="I1" s="4" t="s">
        <v>6</v>
      </c>
    </row>
    <row r="2" spans="1:9" x14ac:dyDescent="0.2">
      <c r="A2" s="5" t="s">
        <v>7</v>
      </c>
      <c r="E2" s="13">
        <v>2512596</v>
      </c>
      <c r="F2" s="13">
        <v>9135170</v>
      </c>
      <c r="G2" s="14"/>
      <c r="H2" s="10"/>
    </row>
    <row r="3" spans="1:9" x14ac:dyDescent="0.2">
      <c r="B3" s="6" t="s">
        <v>8</v>
      </c>
      <c r="C3" s="2">
        <v>148331</v>
      </c>
      <c r="D3" s="2" t="s">
        <v>9</v>
      </c>
      <c r="E3" s="2">
        <v>49312</v>
      </c>
      <c r="F3" s="2">
        <f>9332814-9135170</f>
        <v>197644</v>
      </c>
      <c r="H3" s="10"/>
      <c r="I3" s="2">
        <f>+F3</f>
        <v>197644</v>
      </c>
    </row>
    <row r="4" spans="1:9" x14ac:dyDescent="0.2">
      <c r="B4" s="2" t="s">
        <v>10</v>
      </c>
      <c r="C4" s="2">
        <v>-1034152</v>
      </c>
      <c r="D4" s="2" t="s">
        <v>11</v>
      </c>
      <c r="E4" s="2">
        <f>1527756-2561908</f>
        <v>-1034152</v>
      </c>
      <c r="F4" s="2">
        <f>8305246-9332814</f>
        <v>-1027568</v>
      </c>
      <c r="H4" s="10">
        <f t="shared" ref="H4:H9" si="0">+F4</f>
        <v>-1027568</v>
      </c>
    </row>
    <row r="5" spans="1:9" x14ac:dyDescent="0.2">
      <c r="A5" s="5"/>
      <c r="B5" s="2" t="s">
        <v>12</v>
      </c>
      <c r="C5" s="2">
        <v>-275508</v>
      </c>
      <c r="D5" s="2" t="s">
        <v>13</v>
      </c>
      <c r="E5" s="2">
        <f>1526676-1527756</f>
        <v>-1080</v>
      </c>
      <c r="F5" s="2">
        <v>-279837</v>
      </c>
      <c r="H5" s="10">
        <f t="shared" si="0"/>
        <v>-279837</v>
      </c>
    </row>
    <row r="6" spans="1:9" x14ac:dyDescent="0.2">
      <c r="A6" s="5"/>
      <c r="B6" s="2" t="s">
        <v>14</v>
      </c>
      <c r="C6" s="2">
        <v>-377671</v>
      </c>
      <c r="D6" s="2" t="s">
        <v>13</v>
      </c>
      <c r="E6" s="2">
        <f>1525196-1526676</f>
        <v>-1480</v>
      </c>
      <c r="F6" s="2">
        <f>7641805-8025409</f>
        <v>-383604</v>
      </c>
      <c r="H6" s="10">
        <f t="shared" si="0"/>
        <v>-383604</v>
      </c>
    </row>
    <row r="7" spans="1:9" x14ac:dyDescent="0.2">
      <c r="A7" s="5"/>
      <c r="B7" s="2" t="s">
        <v>15</v>
      </c>
      <c r="C7" s="2">
        <v>-237779</v>
      </c>
      <c r="D7" s="2" t="s">
        <v>13</v>
      </c>
      <c r="E7" s="2">
        <v>-932</v>
      </c>
      <c r="F7" s="2">
        <f>7400291-7641805</f>
        <v>-241514</v>
      </c>
      <c r="H7" s="10">
        <f t="shared" si="0"/>
        <v>-241514</v>
      </c>
    </row>
    <row r="8" spans="1:9" x14ac:dyDescent="0.2">
      <c r="A8" s="5"/>
      <c r="B8" s="2" t="s">
        <v>16</v>
      </c>
      <c r="C8" s="2">
        <v>-131383</v>
      </c>
      <c r="D8" s="2" t="s">
        <v>17</v>
      </c>
      <c r="E8" s="2">
        <f>1520883-1524264</f>
        <v>-3381</v>
      </c>
      <c r="F8" s="2">
        <f>7386739-7400291</f>
        <v>-13552</v>
      </c>
      <c r="H8" s="10">
        <f t="shared" si="0"/>
        <v>-13552</v>
      </c>
    </row>
    <row r="9" spans="1:9" x14ac:dyDescent="0.2">
      <c r="A9" s="5"/>
      <c r="B9" s="2" t="s">
        <v>18</v>
      </c>
      <c r="C9" s="2">
        <v>-59370</v>
      </c>
      <c r="D9" s="2" t="s">
        <v>13</v>
      </c>
      <c r="E9" s="2">
        <f>1520650-1520883</f>
        <v>-233</v>
      </c>
      <c r="F9" s="2">
        <f>7326437-7386739</f>
        <v>-60302</v>
      </c>
      <c r="H9" s="10">
        <f t="shared" si="0"/>
        <v>-60302</v>
      </c>
    </row>
    <row r="10" spans="1:9" x14ac:dyDescent="0.2">
      <c r="A10" s="5"/>
      <c r="B10" s="2" t="s">
        <v>19</v>
      </c>
      <c r="C10" s="2">
        <v>90000</v>
      </c>
      <c r="D10" s="2" t="s">
        <v>13</v>
      </c>
      <c r="E10" s="2">
        <f>1521003-1520650</f>
        <v>353</v>
      </c>
      <c r="F10" s="2">
        <f>7417850-7326437</f>
        <v>91413</v>
      </c>
      <c r="H10" s="10"/>
      <c r="I10" s="2">
        <f>+F10</f>
        <v>91413</v>
      </c>
    </row>
    <row r="11" spans="1:9" x14ac:dyDescent="0.2">
      <c r="A11" s="5"/>
      <c r="B11" s="2" t="s">
        <v>20</v>
      </c>
      <c r="C11" s="2">
        <v>-2191</v>
      </c>
      <c r="D11" s="2" t="s">
        <v>13</v>
      </c>
      <c r="E11" s="2">
        <f>1520994-1521003</f>
        <v>-9</v>
      </c>
      <c r="F11" s="2">
        <f>7415625-7417850</f>
        <v>-2225</v>
      </c>
      <c r="H11" s="10">
        <f>+F11</f>
        <v>-2225</v>
      </c>
    </row>
    <row r="12" spans="1:9" ht="14.25" x14ac:dyDescent="0.35">
      <c r="A12" s="5"/>
      <c r="B12" s="2" t="s">
        <v>21</v>
      </c>
      <c r="C12" s="2">
        <v>8446</v>
      </c>
      <c r="D12" s="2" t="s">
        <v>11</v>
      </c>
      <c r="E12" s="7">
        <f>1529440-1520994</f>
        <v>8446</v>
      </c>
      <c r="F12" s="7">
        <f>7424071-7415625</f>
        <v>8446</v>
      </c>
      <c r="G12" s="7"/>
      <c r="H12" s="11">
        <f>+F12</f>
        <v>8446</v>
      </c>
      <c r="I12" s="7">
        <v>0</v>
      </c>
    </row>
    <row r="13" spans="1:9" x14ac:dyDescent="0.2">
      <c r="A13" s="5" t="s">
        <v>22</v>
      </c>
      <c r="E13" s="2">
        <f t="shared" ref="E13:I13" si="1">SUM(E2:E12)</f>
        <v>1529440</v>
      </c>
      <c r="F13" s="2">
        <f t="shared" si="1"/>
        <v>7424071</v>
      </c>
      <c r="H13" s="10">
        <f t="shared" si="1"/>
        <v>-2000156</v>
      </c>
      <c r="I13" s="2">
        <f t="shared" si="1"/>
        <v>289057</v>
      </c>
    </row>
    <row r="14" spans="1:9" x14ac:dyDescent="0.2">
      <c r="A14" s="5"/>
      <c r="B14" s="2" t="s">
        <v>23</v>
      </c>
      <c r="C14" s="2">
        <v>-1893053</v>
      </c>
      <c r="D14" s="2" t="s">
        <v>17</v>
      </c>
      <c r="E14" s="2">
        <v>-48980</v>
      </c>
      <c r="F14" s="2">
        <v>-195498</v>
      </c>
      <c r="H14" s="10">
        <f>+F14</f>
        <v>-195498</v>
      </c>
    </row>
    <row r="15" spans="1:9" x14ac:dyDescent="0.2">
      <c r="A15" s="5"/>
      <c r="B15" s="2" t="s">
        <v>24</v>
      </c>
      <c r="C15" s="2">
        <f>2702501-2753731</f>
        <v>-51230</v>
      </c>
      <c r="D15" s="2" t="s">
        <v>25</v>
      </c>
      <c r="E15" s="2">
        <v>508</v>
      </c>
      <c r="F15" s="2">
        <v>-49201</v>
      </c>
      <c r="H15" s="10">
        <f>+F15</f>
        <v>-49201</v>
      </c>
    </row>
    <row r="16" spans="1:9" x14ac:dyDescent="0.2">
      <c r="A16" s="5"/>
      <c r="B16" s="2" t="s">
        <v>29</v>
      </c>
      <c r="C16" s="2">
        <v>-1149378</v>
      </c>
      <c r="D16" s="2" t="s">
        <v>26</v>
      </c>
      <c r="E16" s="2">
        <v>-384226</v>
      </c>
      <c r="F16" s="2">
        <f>-464729-1068876</f>
        <v>-1533605</v>
      </c>
      <c r="H16" s="10">
        <f>+F16</f>
        <v>-1533605</v>
      </c>
    </row>
    <row r="17" spans="1:9" ht="14.25" x14ac:dyDescent="0.35">
      <c r="A17" s="5"/>
      <c r="B17" s="2" t="s">
        <v>27</v>
      </c>
      <c r="C17" s="2">
        <v>1514037</v>
      </c>
      <c r="D17" s="2" t="s">
        <v>28</v>
      </c>
      <c r="E17" s="7">
        <v>0</v>
      </c>
      <c r="F17" s="7">
        <v>0</v>
      </c>
      <c r="G17" s="7"/>
      <c r="H17" s="11">
        <f>+F17</f>
        <v>0</v>
      </c>
      <c r="I17" s="7"/>
    </row>
    <row r="18" spans="1:9" x14ac:dyDescent="0.2">
      <c r="A18" s="5" t="s">
        <v>22</v>
      </c>
      <c r="E18" s="2">
        <f>SUM(E13:E17)</f>
        <v>1096742</v>
      </c>
      <c r="F18" s="2">
        <f>SUM(F13:F17)</f>
        <v>5645767</v>
      </c>
      <c r="H18" s="10">
        <f>SUM(H13:H17)</f>
        <v>-3778460</v>
      </c>
      <c r="I18" s="2">
        <f>SUM(I13:I17)</f>
        <v>289057</v>
      </c>
    </row>
    <row r="19" spans="1:9" ht="14.25" x14ac:dyDescent="0.35">
      <c r="A19" s="5"/>
      <c r="B19" s="2" t="s">
        <v>53</v>
      </c>
      <c r="C19" s="2">
        <v>-1084251</v>
      </c>
      <c r="D19" s="2" t="s">
        <v>17</v>
      </c>
      <c r="E19" s="7">
        <v>-12366</v>
      </c>
      <c r="F19" s="7">
        <v>-49358</v>
      </c>
    </row>
    <row r="20" spans="1:9" ht="15" x14ac:dyDescent="0.25">
      <c r="A20" s="5" t="s">
        <v>22</v>
      </c>
      <c r="B20" s="12"/>
      <c r="C20" s="12"/>
      <c r="D20" s="12"/>
      <c r="E20" s="2">
        <f>+E18+E19</f>
        <v>1084376</v>
      </c>
      <c r="F20" s="2">
        <f>+F18+F19</f>
        <v>5596409</v>
      </c>
      <c r="G20" s="12"/>
      <c r="H20" s="12"/>
      <c r="I20" s="12"/>
    </row>
    <row r="21" spans="1:9" ht="14.25" x14ac:dyDescent="0.35">
      <c r="B21" s="2" t="s">
        <v>56</v>
      </c>
      <c r="C21" s="2">
        <v>-666048</v>
      </c>
      <c r="D21" s="2" t="s">
        <v>17</v>
      </c>
      <c r="E21" s="7">
        <v>-7600</v>
      </c>
      <c r="F21" s="7">
        <v>-30331</v>
      </c>
    </row>
    <row r="22" spans="1:9" ht="14.25" x14ac:dyDescent="0.35">
      <c r="E22" s="8">
        <f>+E20+E21</f>
        <v>1076776</v>
      </c>
      <c r="F22" s="8">
        <f>+F20+F21</f>
        <v>5566078</v>
      </c>
    </row>
  </sheetData>
  <mergeCells count="1">
    <mergeCell ref="A1:B1"/>
  </mergeCells>
  <pageMargins left="0.7" right="0.7" top="0.75" bottom="0.75" header="0.3" footer="0.3"/>
  <pageSetup scale="95" fitToHeight="0" orientation="landscape" r:id="rId1"/>
  <headerFooter>
    <oddHeader>&amp;CDelta 2021 Rate Case
Version Control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8"/>
  <sheetViews>
    <sheetView topLeftCell="A5" workbookViewId="0">
      <selection activeCell="C39" sqref="C39"/>
    </sheetView>
  </sheetViews>
  <sheetFormatPr defaultColWidth="8.7109375" defaultRowHeight="15" x14ac:dyDescent="0.25"/>
  <cols>
    <col min="1" max="1" width="4.7109375" style="15" customWidth="1"/>
    <col min="2" max="2" width="8.7109375" style="15"/>
    <col min="3" max="3" width="21.5703125" style="15" customWidth="1"/>
    <col min="4" max="5" width="12.5703125" style="15" bestFit="1" customWidth="1"/>
    <col min="6" max="6" width="3.28515625" style="15" customWidth="1"/>
    <col min="7" max="7" width="12.85546875" style="15" bestFit="1" customWidth="1"/>
    <col min="8" max="8" width="12.5703125" style="15" bestFit="1" customWidth="1"/>
    <col min="9" max="9" width="3.140625" style="15" customWidth="1"/>
    <col min="10" max="10" width="11.28515625" style="15" bestFit="1" customWidth="1"/>
    <col min="11" max="16384" width="8.7109375" style="15"/>
  </cols>
  <sheetData>
    <row r="3" spans="1:10" ht="35.25" customHeight="1" x14ac:dyDescent="0.4">
      <c r="D3" s="28" t="s">
        <v>54</v>
      </c>
      <c r="E3" s="28"/>
      <c r="G3" s="28" t="s">
        <v>55</v>
      </c>
      <c r="H3" s="28"/>
    </row>
    <row r="5" spans="1:10" x14ac:dyDescent="0.25">
      <c r="A5" s="15" t="s">
        <v>30</v>
      </c>
      <c r="D5" s="15" t="s">
        <v>1</v>
      </c>
      <c r="E5" s="15" t="s">
        <v>46</v>
      </c>
      <c r="G5" s="15" t="s">
        <v>1</v>
      </c>
      <c r="H5" s="15" t="s">
        <v>46</v>
      </c>
    </row>
    <row r="6" spans="1:10" x14ac:dyDescent="0.25">
      <c r="B6" s="18" t="s">
        <v>33</v>
      </c>
      <c r="D6" s="15">
        <v>0</v>
      </c>
      <c r="G6" s="15">
        <v>0</v>
      </c>
    </row>
    <row r="7" spans="1:10" x14ac:dyDescent="0.25">
      <c r="B7" s="18" t="s">
        <v>34</v>
      </c>
      <c r="D7" s="15">
        <f>-145800+55500</f>
        <v>-90300</v>
      </c>
      <c r="E7" s="15">
        <f>+D7+D6</f>
        <v>-90300</v>
      </c>
      <c r="G7" s="15">
        <v>-55500</v>
      </c>
      <c r="H7" s="15">
        <f>+G7+G6</f>
        <v>-55500</v>
      </c>
      <c r="J7" s="15">
        <f>+G7+D7</f>
        <v>-145800</v>
      </c>
    </row>
    <row r="8" spans="1:10" x14ac:dyDescent="0.25">
      <c r="B8" s="18" t="s">
        <v>35</v>
      </c>
      <c r="D8" s="15">
        <f t="shared" ref="D8:D17" si="0">-145800+55500</f>
        <v>-90300</v>
      </c>
      <c r="E8" s="15">
        <f>+D8+E7</f>
        <v>-180600</v>
      </c>
      <c r="G8" s="15">
        <v>-55500</v>
      </c>
      <c r="H8" s="15">
        <f>+G8+H7</f>
        <v>-111000</v>
      </c>
      <c r="J8" s="15">
        <f t="shared" ref="J8:J18" si="1">+G8+D8</f>
        <v>-145800</v>
      </c>
    </row>
    <row r="9" spans="1:10" x14ac:dyDescent="0.25">
      <c r="B9" s="18" t="s">
        <v>36</v>
      </c>
      <c r="D9" s="15">
        <f t="shared" si="0"/>
        <v>-90300</v>
      </c>
      <c r="E9" s="15">
        <f t="shared" ref="E9:E18" si="2">+D9+E8</f>
        <v>-270900</v>
      </c>
      <c r="G9" s="15">
        <v>-55500</v>
      </c>
      <c r="H9" s="15">
        <f t="shared" ref="H9:H18" si="3">+G9+H8</f>
        <v>-166500</v>
      </c>
      <c r="J9" s="15">
        <f t="shared" si="1"/>
        <v>-145800</v>
      </c>
    </row>
    <row r="10" spans="1:10" x14ac:dyDescent="0.25">
      <c r="B10" s="18" t="s">
        <v>37</v>
      </c>
      <c r="D10" s="15">
        <f t="shared" si="0"/>
        <v>-90300</v>
      </c>
      <c r="E10" s="15">
        <f t="shared" si="2"/>
        <v>-361200</v>
      </c>
      <c r="G10" s="15">
        <v>-55500</v>
      </c>
      <c r="H10" s="15">
        <f t="shared" si="3"/>
        <v>-222000</v>
      </c>
      <c r="J10" s="15">
        <f t="shared" si="1"/>
        <v>-145800</v>
      </c>
    </row>
    <row r="11" spans="1:10" x14ac:dyDescent="0.25">
      <c r="B11" s="18" t="s">
        <v>38</v>
      </c>
      <c r="D11" s="15">
        <f t="shared" si="0"/>
        <v>-90300</v>
      </c>
      <c r="E11" s="15">
        <f t="shared" si="2"/>
        <v>-451500</v>
      </c>
      <c r="G11" s="15">
        <v>-55500</v>
      </c>
      <c r="H11" s="15">
        <f t="shared" si="3"/>
        <v>-277500</v>
      </c>
      <c r="J11" s="15">
        <f t="shared" si="1"/>
        <v>-145800</v>
      </c>
    </row>
    <row r="12" spans="1:10" x14ac:dyDescent="0.25">
      <c r="B12" s="18" t="s">
        <v>39</v>
      </c>
      <c r="D12" s="15">
        <f t="shared" si="0"/>
        <v>-90300</v>
      </c>
      <c r="E12" s="15">
        <f t="shared" si="2"/>
        <v>-541800</v>
      </c>
      <c r="G12" s="15">
        <v>-55500</v>
      </c>
      <c r="H12" s="15">
        <f t="shared" si="3"/>
        <v>-333000</v>
      </c>
      <c r="J12" s="15">
        <f t="shared" si="1"/>
        <v>-145800</v>
      </c>
    </row>
    <row r="13" spans="1:10" x14ac:dyDescent="0.25">
      <c r="B13" s="18" t="s">
        <v>40</v>
      </c>
      <c r="D13" s="15">
        <f t="shared" si="0"/>
        <v>-90300</v>
      </c>
      <c r="E13" s="15">
        <f t="shared" si="2"/>
        <v>-632100</v>
      </c>
      <c r="G13" s="15">
        <v>-55500</v>
      </c>
      <c r="H13" s="15">
        <f t="shared" si="3"/>
        <v>-388500</v>
      </c>
      <c r="J13" s="15">
        <f t="shared" si="1"/>
        <v>-145800</v>
      </c>
    </row>
    <row r="14" spans="1:10" x14ac:dyDescent="0.25">
      <c r="B14" s="18" t="s">
        <v>41</v>
      </c>
      <c r="D14" s="15">
        <f t="shared" si="0"/>
        <v>-90300</v>
      </c>
      <c r="E14" s="15">
        <f t="shared" si="2"/>
        <v>-722400</v>
      </c>
      <c r="G14" s="15">
        <v>-55500</v>
      </c>
      <c r="H14" s="15">
        <f t="shared" si="3"/>
        <v>-444000</v>
      </c>
      <c r="J14" s="15">
        <f t="shared" si="1"/>
        <v>-145800</v>
      </c>
    </row>
    <row r="15" spans="1:10" x14ac:dyDescent="0.25">
      <c r="B15" s="18" t="s">
        <v>42</v>
      </c>
      <c r="D15" s="15">
        <f t="shared" si="0"/>
        <v>-90300</v>
      </c>
      <c r="E15" s="15">
        <f t="shared" si="2"/>
        <v>-812700</v>
      </c>
      <c r="G15" s="15">
        <v>-55500</v>
      </c>
      <c r="H15" s="15">
        <f t="shared" si="3"/>
        <v>-499500</v>
      </c>
      <c r="J15" s="15">
        <f t="shared" si="1"/>
        <v>-145800</v>
      </c>
    </row>
    <row r="16" spans="1:10" x14ac:dyDescent="0.25">
      <c r="B16" s="18" t="s">
        <v>43</v>
      </c>
      <c r="D16" s="15">
        <f t="shared" si="0"/>
        <v>-90300</v>
      </c>
      <c r="E16" s="15">
        <f t="shared" si="2"/>
        <v>-903000</v>
      </c>
      <c r="G16" s="15">
        <v>-55500</v>
      </c>
      <c r="H16" s="15">
        <f t="shared" si="3"/>
        <v>-555000</v>
      </c>
      <c r="J16" s="15">
        <f t="shared" si="1"/>
        <v>-145800</v>
      </c>
    </row>
    <row r="17" spans="1:10" x14ac:dyDescent="0.25">
      <c r="B17" s="18" t="s">
        <v>44</v>
      </c>
      <c r="D17" s="15">
        <f t="shared" si="0"/>
        <v>-90300</v>
      </c>
      <c r="E17" s="15">
        <f t="shared" si="2"/>
        <v>-993300</v>
      </c>
      <c r="G17" s="15">
        <v>-55500</v>
      </c>
      <c r="H17" s="15">
        <f t="shared" si="3"/>
        <v>-610500</v>
      </c>
      <c r="J17" s="15">
        <f t="shared" si="1"/>
        <v>-145800</v>
      </c>
    </row>
    <row r="18" spans="1:10" ht="17.25" x14ac:dyDescent="0.4">
      <c r="B18" s="18" t="s">
        <v>45</v>
      </c>
      <c r="D18" s="19">
        <f>-146500+55500-1084251+1084300</f>
        <v>-90951</v>
      </c>
      <c r="E18" s="19">
        <f t="shared" si="2"/>
        <v>-1084251</v>
      </c>
      <c r="G18" s="19">
        <v>-55548</v>
      </c>
      <c r="H18" s="19">
        <f t="shared" si="3"/>
        <v>-666048</v>
      </c>
      <c r="J18" s="19">
        <f t="shared" si="1"/>
        <v>-146499</v>
      </c>
    </row>
    <row r="19" spans="1:10" ht="17.25" x14ac:dyDescent="0.4">
      <c r="D19" s="20">
        <f>SUM(D6:D18)</f>
        <v>-1084251</v>
      </c>
      <c r="E19" s="19">
        <f>SUM(E6:E18)</f>
        <v>-7044051</v>
      </c>
      <c r="G19" s="20">
        <f>SUM(G6:G18)</f>
        <v>-666048</v>
      </c>
      <c r="H19" s="19">
        <f>SUM(H6:H18)</f>
        <v>-4329048</v>
      </c>
      <c r="J19" s="20">
        <f>+G19+D19</f>
        <v>-1750299</v>
      </c>
    </row>
    <row r="20" spans="1:10" ht="17.25" x14ac:dyDescent="0.4">
      <c r="B20" s="15" t="s">
        <v>47</v>
      </c>
      <c r="E20" s="20">
        <f>+E19/13</f>
        <v>-541850.07692307688</v>
      </c>
      <c r="H20" s="20">
        <f>+H19/13</f>
        <v>-333003.69230769231</v>
      </c>
    </row>
    <row r="22" spans="1:10" x14ac:dyDescent="0.25">
      <c r="A22" s="15" t="s">
        <v>31</v>
      </c>
      <c r="E22" s="15">
        <f>+E20</f>
        <v>-541850.07692307688</v>
      </c>
      <c r="H22" s="15">
        <f>+H20</f>
        <v>-333003.69230769231</v>
      </c>
    </row>
    <row r="24" spans="1:10" x14ac:dyDescent="0.25">
      <c r="A24" s="15" t="s">
        <v>32</v>
      </c>
      <c r="D24" s="16"/>
      <c r="E24" s="22">
        <v>6.7567851745772303E-2</v>
      </c>
      <c r="G24" s="16"/>
      <c r="H24" s="22">
        <v>6.7565018733768745E-2</v>
      </c>
    </row>
    <row r="26" spans="1:10" x14ac:dyDescent="0.25">
      <c r="D26" s="17">
        <f>+D24*D22</f>
        <v>0</v>
      </c>
      <c r="E26" s="15">
        <f>+E22*E24</f>
        <v>-36611.645665973774</v>
      </c>
      <c r="G26" s="17">
        <f>+G24*G22</f>
        <v>0</v>
      </c>
      <c r="H26" s="15">
        <f>+H22*H24</f>
        <v>-22499.400709183396</v>
      </c>
    </row>
    <row r="27" spans="1:10" x14ac:dyDescent="0.25">
      <c r="B27" s="15" t="s">
        <v>48</v>
      </c>
      <c r="D27" s="23">
        <v>-2.833012003558566E-6</v>
      </c>
      <c r="G27" s="23">
        <v>-1.7432335135264543E-6</v>
      </c>
    </row>
    <row r="28" spans="1:10" x14ac:dyDescent="0.25">
      <c r="B28" s="15" t="s">
        <v>49</v>
      </c>
      <c r="D28" s="26">
        <v>134146926</v>
      </c>
      <c r="E28" s="12">
        <f>+D28*D27</f>
        <v>-380.0398515984827</v>
      </c>
      <c r="F28" s="12"/>
      <c r="G28" s="26">
        <v>133813922</v>
      </c>
      <c r="H28" s="15">
        <f>+G28*G27</f>
        <v>-233.2689134068149</v>
      </c>
    </row>
    <row r="30" spans="1:10" x14ac:dyDescent="0.25">
      <c r="E30" s="15">
        <f>+E28+E26</f>
        <v>-36991.685517572259</v>
      </c>
      <c r="H30" s="15">
        <f>+H28+H26</f>
        <v>-22732.669622590209</v>
      </c>
    </row>
    <row r="32" spans="1:10" x14ac:dyDescent="0.25">
      <c r="A32" s="15" t="s">
        <v>50</v>
      </c>
      <c r="E32" s="24">
        <v>1.3324450366422387</v>
      </c>
      <c r="H32" s="24">
        <v>1.3324450366422387</v>
      </c>
    </row>
    <row r="34" spans="1:8" x14ac:dyDescent="0.25">
      <c r="A34" s="15" t="s">
        <v>51</v>
      </c>
      <c r="E34" s="25">
        <f>+E30*E32</f>
        <v>-49289.387764919738</v>
      </c>
      <c r="H34" s="25">
        <f>+H30*H32</f>
        <v>-30290.032808248117</v>
      </c>
    </row>
    <row r="36" spans="1:8" x14ac:dyDescent="0.25">
      <c r="A36" s="15" t="s">
        <v>52</v>
      </c>
      <c r="E36" s="21">
        <v>0.2495</v>
      </c>
      <c r="H36" s="21">
        <v>0.2495</v>
      </c>
    </row>
    <row r="38" spans="1:8" x14ac:dyDescent="0.25">
      <c r="A38" s="15" t="s">
        <v>11</v>
      </c>
      <c r="E38" s="25">
        <f>-E36*E34</f>
        <v>12297.702247347475</v>
      </c>
      <c r="H38" s="25">
        <f>-H36*H34</f>
        <v>7557.363185657905</v>
      </c>
    </row>
  </sheetData>
  <mergeCells count="2">
    <mergeCell ref="D3:E3"/>
    <mergeCell ref="G3:H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</vt:lpstr>
      <vt:lpstr>Supporting Schedule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2012-08-24T00:51:46Z</dcterms:created>
  <dcterms:modified xsi:type="dcterms:W3CDTF">2021-11-23T19:51:42Z</dcterms:modified>
  <cp:category/>
  <cp:contentStatus/>
</cp:coreProperties>
</file>