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80" activeTab="9"/>
  </bookViews>
  <sheets>
    <sheet name="367" sheetId="1" r:id="rId1"/>
    <sheet name="368" sheetId="2" r:id="rId2"/>
    <sheet name="369" sheetId="3" r:id="rId3"/>
    <sheet name="376" sheetId="4" r:id="rId4"/>
    <sheet name="378" sheetId="5" r:id="rId5"/>
    <sheet name="380" sheetId="6" r:id="rId6"/>
    <sheet name="381" sheetId="7" r:id="rId7"/>
    <sheet name="382" sheetId="8" r:id="rId8"/>
    <sheet name="383" sheetId="9" r:id="rId9"/>
    <sheet name="385" sheetId="10" r:id="rId10"/>
  </sheets>
  <definedNames>
    <definedName name="_xlfn.SINGLE" hidden="1">#NAME?</definedName>
    <definedName name="_xlnm.Print_Area" localSheetId="0">'367'!$A$1:$G$86</definedName>
    <definedName name="_xlnm.Print_Area" localSheetId="1">'368'!$A$1:$G$86</definedName>
    <definedName name="_xlnm.Print_Area" localSheetId="2">'369'!$A$1:$G$86</definedName>
    <definedName name="_xlnm.Print_Area" localSheetId="3">'376'!$A$1:$G$86</definedName>
    <definedName name="_xlnm.Print_Area" localSheetId="4">'378'!$A$1:$G$86</definedName>
    <definedName name="_xlnm.Print_Area" localSheetId="5">'380'!$A$55:$G$86</definedName>
    <definedName name="_xlnm.Print_Area" localSheetId="6">'381'!$A$2:$G$86</definedName>
    <definedName name="_xlnm.Print_Area" localSheetId="7">'382'!$A$1:$G$86</definedName>
    <definedName name="_xlnm.Print_Area" localSheetId="8">'383'!$A$1:$G$86</definedName>
    <definedName name="_xlnm.Print_Area" localSheetId="9">'385'!$A$1:$G$86</definedName>
    <definedName name="_xlnm.Print_Titles" localSheetId="0">'367'!$1:$4</definedName>
    <definedName name="_xlnm.Print_Titles" localSheetId="1">'368'!$1:$4</definedName>
    <definedName name="_xlnm.Print_Titles" localSheetId="2">'369'!$1:$4</definedName>
    <definedName name="_xlnm.Print_Titles" localSheetId="3">'376'!$1:$4</definedName>
    <definedName name="_xlnm.Print_Titles" localSheetId="4">'378'!$1:$4</definedName>
    <definedName name="_xlnm.Print_Titles" localSheetId="5">'380'!$1:$4</definedName>
    <definedName name="_xlnm.Print_Titles" localSheetId="6">'381'!$1:$4</definedName>
    <definedName name="_xlnm.Print_Titles" localSheetId="7">'382'!$1:$4</definedName>
    <definedName name="_xlnm.Print_Titles" localSheetId="8">'383'!$1:$4</definedName>
    <definedName name="_xlnm.Print_Titles" localSheetId="9">'385'!$1:$4</definedName>
  </definedNames>
  <calcPr fullCalcOnLoad="1"/>
</workbook>
</file>

<file path=xl/sharedStrings.xml><?xml version="1.0" encoding="utf-8"?>
<sst xmlns="http://schemas.openxmlformats.org/spreadsheetml/2006/main" count="357" uniqueCount="37">
  <si>
    <t>Balance</t>
  </si>
  <si>
    <t>Beginning</t>
  </si>
  <si>
    <t>Transfer</t>
  </si>
  <si>
    <t>Additions</t>
  </si>
  <si>
    <t>Retirements</t>
  </si>
  <si>
    <t>Ending June</t>
  </si>
  <si>
    <t>Year</t>
  </si>
  <si>
    <t>Beginning Balance</t>
  </si>
  <si>
    <t>Depreciation Reserve</t>
  </si>
  <si>
    <t>Depreciation Rate</t>
  </si>
  <si>
    <t>Average Age of Property</t>
  </si>
  <si>
    <t>ASL</t>
  </si>
  <si>
    <t>S0</t>
  </si>
  <si>
    <t>S2</t>
  </si>
  <si>
    <t>S3</t>
  </si>
  <si>
    <t>L0</t>
  </si>
  <si>
    <t>L1</t>
  </si>
  <si>
    <t>L2</t>
  </si>
  <si>
    <t>L3</t>
  </si>
  <si>
    <t>R5</t>
  </si>
  <si>
    <t>O2</t>
  </si>
  <si>
    <t>Reserve</t>
  </si>
  <si>
    <t>Age</t>
  </si>
  <si>
    <t>Remaining</t>
  </si>
  <si>
    <t>Life</t>
  </si>
  <si>
    <t>Accruals</t>
  </si>
  <si>
    <t>Survivor Curve</t>
  </si>
  <si>
    <t>Transfers</t>
  </si>
  <si>
    <t>of Additions</t>
  </si>
  <si>
    <t>of Transfers</t>
  </si>
  <si>
    <t>Survivor</t>
  </si>
  <si>
    <t>Curve</t>
  </si>
  <si>
    <t>Annual Accrual</t>
  </si>
  <si>
    <t>Remaining Life</t>
  </si>
  <si>
    <t>Avg Future</t>
  </si>
  <si>
    <t>Average Remaining Life</t>
  </si>
  <si>
    <t>Update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</si>
</sst>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_);_(* \(#,##0.0000000\);_(* &quot;-&quot;???????_);_(@_)"/>
    <numFmt numFmtId="172" formatCode="0.0"/>
    <numFmt numFmtId="173" formatCode="0.000"/>
    <numFmt numFmtId="174" formatCode="0.0000"/>
    <numFmt numFmtId="175" formatCode="0.000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_);_(@_)"/>
    <numFmt numFmtId="179" formatCode="0.000000"/>
    <numFmt numFmtId="180" formatCode="0.0000000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165" fontId="0" fillId="0" borderId="0" xfId="42" applyNumberFormat="1" applyFont="1" applyFill="1" applyAlignment="1">
      <alignment/>
    </xf>
    <xf numFmtId="167" fontId="0" fillId="0" borderId="0" xfId="0" applyNumberFormat="1" applyAlignment="1">
      <alignment/>
    </xf>
    <xf numFmtId="177" fontId="0" fillId="0" borderId="0" xfId="44" applyNumberFormat="1" applyFont="1" applyAlignment="1">
      <alignment/>
    </xf>
    <xf numFmtId="165" fontId="0" fillId="0" borderId="0" xfId="42" applyNumberFormat="1" applyAlignment="1">
      <alignment/>
    </xf>
    <xf numFmtId="165" fontId="0" fillId="0" borderId="0" xfId="42" applyNumberFormat="1" applyFill="1" applyAlignment="1">
      <alignment/>
    </xf>
    <xf numFmtId="177" fontId="0" fillId="0" borderId="0" xfId="44" applyNumberFormat="1" applyAlignment="1">
      <alignment/>
    </xf>
    <xf numFmtId="164" fontId="0" fillId="0" borderId="0" xfId="42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42" applyNumberFormat="1" applyFill="1" applyBorder="1" applyAlignment="1">
      <alignment/>
    </xf>
    <xf numFmtId="164" fontId="0" fillId="0" borderId="0" xfId="42" applyNumberFormat="1" applyFill="1" applyBorder="1" applyAlignment="1">
      <alignment/>
    </xf>
    <xf numFmtId="164" fontId="0" fillId="0" borderId="0" xfId="42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42" applyNumberFormat="1" applyFill="1" applyAlignment="1">
      <alignment/>
    </xf>
    <xf numFmtId="43" fontId="0" fillId="0" borderId="0" xfId="42" applyNumberFormat="1" applyFill="1" applyBorder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0" applyNumberFormat="1" applyAlignment="1">
      <alignment/>
    </xf>
    <xf numFmtId="43" fontId="0" fillId="0" borderId="0" xfId="42" applyNumberFormat="1" applyFont="1" applyFill="1" applyAlignment="1">
      <alignment/>
    </xf>
    <xf numFmtId="165" fontId="0" fillId="0" borderId="0" xfId="0" applyNumberFormat="1" applyBorder="1" applyAlignment="1">
      <alignment/>
    </xf>
    <xf numFmtId="177" fontId="0" fillId="0" borderId="0" xfId="44" applyNumberFormat="1" applyBorder="1" applyAlignment="1">
      <alignment/>
    </xf>
    <xf numFmtId="165" fontId="0" fillId="0" borderId="0" xfId="42" applyNumberFormat="1" applyBorder="1" applyAlignment="1">
      <alignment/>
    </xf>
    <xf numFmtId="0" fontId="1" fillId="0" borderId="0" xfId="0" applyFont="1" applyBorder="1" applyAlignment="1">
      <alignment horizontal="center"/>
    </xf>
    <xf numFmtId="43" fontId="0" fillId="0" borderId="0" xfId="42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rgb="FF00B050"/>
  </sheetPr>
  <dimension ref="A1:AA126"/>
  <sheetViews>
    <sheetView zoomScaleSheetLayoutView="75" zoomScalePageLayoutView="0" workbookViewId="0" topLeftCell="G66">
      <selection activeCell="B90" sqref="B90:G96"/>
    </sheetView>
  </sheetViews>
  <sheetFormatPr defaultColWidth="9.140625" defaultRowHeight="12.75"/>
  <cols>
    <col min="3" max="3" width="14.28125" style="0" customWidth="1"/>
    <col min="4" max="4" width="15.140625" style="0" customWidth="1"/>
    <col min="5" max="6" width="13.421875" style="0" customWidth="1"/>
    <col min="7" max="7" width="22.421875" style="0" customWidth="1"/>
    <col min="9" max="9" width="12.8515625" style="0" bestFit="1" customWidth="1"/>
    <col min="12" max="12" width="22.28125" style="0" customWidth="1"/>
    <col min="18" max="18" width="6.7109375" style="0" customWidth="1"/>
    <col min="19" max="20" width="11.421875" style="0" customWidth="1"/>
    <col min="21" max="21" width="6.28125" style="0" customWidth="1"/>
    <col min="22" max="22" width="11.00390625" style="0" customWidth="1"/>
    <col min="23" max="24" width="17.7109375" style="0" customWidth="1"/>
    <col min="25" max="25" width="17.421875" style="0" customWidth="1"/>
    <col min="26" max="26" width="15.00390625" style="0" customWidth="1"/>
    <col min="27" max="27" width="14.7109375" style="0" customWidth="1"/>
  </cols>
  <sheetData>
    <row r="1" spans="18:26" ht="12.75">
      <c r="R1" s="22"/>
      <c r="Z1" s="3" t="s">
        <v>23</v>
      </c>
    </row>
    <row r="2" spans="3:27" ht="12.75">
      <c r="C2" s="3" t="s">
        <v>0</v>
      </c>
      <c r="D2" s="3"/>
      <c r="E2" s="3"/>
      <c r="F2" s="3"/>
      <c r="G2" s="3" t="s">
        <v>0</v>
      </c>
      <c r="I2" s="3" t="s">
        <v>2</v>
      </c>
      <c r="V2" s="3" t="s">
        <v>30</v>
      </c>
      <c r="W2" s="16" t="s">
        <v>32</v>
      </c>
      <c r="X2" s="16" t="s">
        <v>32</v>
      </c>
      <c r="Y2" s="16" t="s">
        <v>33</v>
      </c>
      <c r="Z2" s="16" t="s">
        <v>24</v>
      </c>
      <c r="AA2" s="3" t="s">
        <v>34</v>
      </c>
    </row>
    <row r="3" spans="1:27" ht="13.5" thickBot="1">
      <c r="A3" s="14" t="s">
        <v>5</v>
      </c>
      <c r="B3" s="12"/>
      <c r="C3" s="13" t="s">
        <v>1</v>
      </c>
      <c r="D3" s="13" t="s">
        <v>2</v>
      </c>
      <c r="E3" s="13" t="s">
        <v>3</v>
      </c>
      <c r="F3" s="13" t="s">
        <v>4</v>
      </c>
      <c r="G3" s="13" t="s">
        <v>1</v>
      </c>
      <c r="H3" s="12"/>
      <c r="I3" s="13" t="s">
        <v>21</v>
      </c>
      <c r="J3" s="13" t="s">
        <v>22</v>
      </c>
      <c r="R3" s="14" t="s">
        <v>6</v>
      </c>
      <c r="S3" s="17" t="s">
        <v>3</v>
      </c>
      <c r="T3" s="13" t="s">
        <v>27</v>
      </c>
      <c r="U3" s="17" t="s">
        <v>11</v>
      </c>
      <c r="V3" s="17" t="s">
        <v>31</v>
      </c>
      <c r="W3" s="17" t="s">
        <v>28</v>
      </c>
      <c r="X3" s="17" t="s">
        <v>29</v>
      </c>
      <c r="Y3" s="17" t="s">
        <v>28</v>
      </c>
      <c r="Z3" s="17" t="s">
        <v>29</v>
      </c>
      <c r="AA3" s="17" t="s">
        <v>25</v>
      </c>
    </row>
    <row r="4" spans="3:7" ht="12.75">
      <c r="C4" s="1"/>
      <c r="D4" s="1"/>
      <c r="E4" s="1"/>
      <c r="F4" s="1"/>
      <c r="G4" s="1"/>
    </row>
    <row r="5" spans="3:7" ht="12.75">
      <c r="C5" s="1"/>
      <c r="D5" s="1"/>
      <c r="E5" s="1"/>
      <c r="F5" s="1"/>
      <c r="G5" s="1"/>
    </row>
    <row r="6" spans="1:27" ht="12.75">
      <c r="A6">
        <v>1940</v>
      </c>
      <c r="C6" s="35">
        <v>0</v>
      </c>
      <c r="D6" s="35">
        <v>0</v>
      </c>
      <c r="E6" s="35">
        <v>0</v>
      </c>
      <c r="F6" s="35">
        <v>0</v>
      </c>
      <c r="G6" s="35">
        <f aca="true" t="shared" si="0" ref="G6:G51">C6+D6+E6-F6</f>
        <v>0</v>
      </c>
      <c r="H6" s="11">
        <v>80.5</v>
      </c>
      <c r="I6">
        <v>0</v>
      </c>
      <c r="J6">
        <f aca="true" t="shared" si="1" ref="J6:J51">IF(I6=0,0,ROUND((I6/D6/$G$94)+H6,1))</f>
        <v>0</v>
      </c>
      <c r="R6" s="21">
        <f>A6</f>
        <v>1940</v>
      </c>
      <c r="S6" s="4">
        <f aca="true" t="shared" si="2" ref="S6:S37">E6</f>
        <v>0</v>
      </c>
      <c r="T6">
        <f aca="true" t="shared" si="3" ref="T6:T37">IF(D6&gt;0,IF(J6&gt;0,D6,0),0)</f>
        <v>0</v>
      </c>
      <c r="U6">
        <f aca="true" t="shared" si="4" ref="U6:U37">$V$94</f>
        <v>59</v>
      </c>
      <c r="V6" s="1" t="str">
        <f aca="true" t="shared" si="5" ref="V6:V37">$V$93</f>
        <v>S2</v>
      </c>
      <c r="W6" s="2">
        <f aca="true" t="shared" si="6" ref="W6:W37">S6/U6</f>
        <v>0</v>
      </c>
      <c r="X6" s="2">
        <f>T6/U6</f>
        <v>0</v>
      </c>
      <c r="Y6" s="18">
        <f aca="true" t="shared" si="7" ref="Y6:Y37">Prob_life(V6,H6,U6)</f>
        <v>7.990292699769702</v>
      </c>
      <c r="Z6" s="18">
        <f aca="true" t="shared" si="8" ref="Z6:Z37">IF(J6&gt;0,Prob_life(V6,J6+0.5,U6),0)</f>
        <v>0</v>
      </c>
      <c r="AA6" s="2">
        <f>W6*Y6+X6*Z6</f>
        <v>0</v>
      </c>
    </row>
    <row r="7" spans="1:27" ht="12.75">
      <c r="A7">
        <v>1941</v>
      </c>
      <c r="C7" s="35">
        <f aca="true" t="shared" si="9" ref="C7:C51">G6</f>
        <v>0</v>
      </c>
      <c r="D7" s="35">
        <v>0</v>
      </c>
      <c r="E7" s="35">
        <v>0</v>
      </c>
      <c r="F7" s="35">
        <v>0</v>
      </c>
      <c r="G7" s="35">
        <f t="shared" si="0"/>
        <v>0</v>
      </c>
      <c r="H7" s="11">
        <v>79.5</v>
      </c>
      <c r="I7">
        <v>0</v>
      </c>
      <c r="J7">
        <f t="shared" si="1"/>
        <v>0</v>
      </c>
      <c r="R7" s="21">
        <f aca="true" t="shared" si="10" ref="R7:R68">A7</f>
        <v>1941</v>
      </c>
      <c r="S7" s="4">
        <f t="shared" si="2"/>
        <v>0</v>
      </c>
      <c r="T7">
        <f t="shared" si="3"/>
        <v>0</v>
      </c>
      <c r="U7">
        <f t="shared" si="4"/>
        <v>59</v>
      </c>
      <c r="V7" s="1" t="str">
        <f t="shared" si="5"/>
        <v>S2</v>
      </c>
      <c r="W7" s="2">
        <f t="shared" si="6"/>
        <v>0</v>
      </c>
      <c r="X7" s="2">
        <f aca="true" t="shared" si="11" ref="X7:X68">T7/U7</f>
        <v>0</v>
      </c>
      <c r="Y7" s="18">
        <f t="shared" si="7"/>
        <v>8.25922762360262</v>
      </c>
      <c r="Z7" s="18">
        <f t="shared" si="8"/>
        <v>0</v>
      </c>
      <c r="AA7" s="2">
        <f aca="true" t="shared" si="12" ref="AA7:AA68">W7*Y7+X7*Z7</f>
        <v>0</v>
      </c>
    </row>
    <row r="8" spans="1:27" ht="12.75">
      <c r="A8">
        <v>1942</v>
      </c>
      <c r="C8" s="35">
        <f t="shared" si="9"/>
        <v>0</v>
      </c>
      <c r="D8" s="35">
        <v>0</v>
      </c>
      <c r="E8" s="35">
        <v>0</v>
      </c>
      <c r="F8" s="35">
        <v>0</v>
      </c>
      <c r="G8" s="35">
        <f t="shared" si="0"/>
        <v>0</v>
      </c>
      <c r="H8" s="11">
        <v>78.5</v>
      </c>
      <c r="I8">
        <v>0</v>
      </c>
      <c r="J8">
        <f t="shared" si="1"/>
        <v>0</v>
      </c>
      <c r="R8" s="21">
        <f t="shared" si="10"/>
        <v>1942</v>
      </c>
      <c r="S8" s="4">
        <f t="shared" si="2"/>
        <v>0</v>
      </c>
      <c r="T8">
        <f t="shared" si="3"/>
        <v>0</v>
      </c>
      <c r="U8">
        <f t="shared" si="4"/>
        <v>59</v>
      </c>
      <c r="V8" s="1" t="str">
        <f t="shared" si="5"/>
        <v>S2</v>
      </c>
      <c r="W8" s="2">
        <f t="shared" si="6"/>
        <v>0</v>
      </c>
      <c r="X8" s="2">
        <f t="shared" si="11"/>
        <v>0</v>
      </c>
      <c r="Y8" s="18">
        <f t="shared" si="7"/>
        <v>8.532443898664543</v>
      </c>
      <c r="Z8" s="18">
        <f t="shared" si="8"/>
        <v>0</v>
      </c>
      <c r="AA8" s="2">
        <f t="shared" si="12"/>
        <v>0</v>
      </c>
    </row>
    <row r="9" spans="1:27" ht="12.75">
      <c r="A9">
        <v>1943</v>
      </c>
      <c r="C9" s="35">
        <f t="shared" si="9"/>
        <v>0</v>
      </c>
      <c r="D9" s="35">
        <v>0</v>
      </c>
      <c r="E9" s="35">
        <v>0</v>
      </c>
      <c r="F9" s="35">
        <v>0</v>
      </c>
      <c r="G9" s="35">
        <f t="shared" si="0"/>
        <v>0</v>
      </c>
      <c r="H9" s="11">
        <v>77.5</v>
      </c>
      <c r="I9">
        <v>0</v>
      </c>
      <c r="J9">
        <f t="shared" si="1"/>
        <v>0</v>
      </c>
      <c r="R9" s="21">
        <f t="shared" si="10"/>
        <v>1943</v>
      </c>
      <c r="S9" s="4">
        <f t="shared" si="2"/>
        <v>0</v>
      </c>
      <c r="T9">
        <f t="shared" si="3"/>
        <v>0</v>
      </c>
      <c r="U9">
        <f t="shared" si="4"/>
        <v>59</v>
      </c>
      <c r="V9" s="1" t="str">
        <f t="shared" si="5"/>
        <v>S2</v>
      </c>
      <c r="W9" s="2">
        <f t="shared" si="6"/>
        <v>0</v>
      </c>
      <c r="X9" s="2">
        <f t="shared" si="11"/>
        <v>0</v>
      </c>
      <c r="Y9" s="18">
        <f t="shared" si="7"/>
        <v>8.810082041797125</v>
      </c>
      <c r="Z9" s="18">
        <f t="shared" si="8"/>
        <v>0</v>
      </c>
      <c r="AA9" s="2">
        <f t="shared" si="12"/>
        <v>0</v>
      </c>
    </row>
    <row r="10" spans="1:27" ht="12.75">
      <c r="A10">
        <v>1944</v>
      </c>
      <c r="C10" s="35">
        <f t="shared" si="9"/>
        <v>0</v>
      </c>
      <c r="D10" s="35">
        <v>0</v>
      </c>
      <c r="E10" s="35">
        <v>0</v>
      </c>
      <c r="F10" s="35">
        <v>0</v>
      </c>
      <c r="G10" s="35">
        <f t="shared" si="0"/>
        <v>0</v>
      </c>
      <c r="H10" s="11">
        <v>76.5</v>
      </c>
      <c r="I10">
        <v>0</v>
      </c>
      <c r="J10">
        <f t="shared" si="1"/>
        <v>0</v>
      </c>
      <c r="R10" s="21">
        <f t="shared" si="10"/>
        <v>1944</v>
      </c>
      <c r="S10" s="4">
        <f t="shared" si="2"/>
        <v>0</v>
      </c>
      <c r="T10">
        <f t="shared" si="3"/>
        <v>0</v>
      </c>
      <c r="U10">
        <f t="shared" si="4"/>
        <v>59</v>
      </c>
      <c r="V10" s="1" t="str">
        <f t="shared" si="5"/>
        <v>S2</v>
      </c>
      <c r="W10" s="2">
        <f t="shared" si="6"/>
        <v>0</v>
      </c>
      <c r="X10" s="2">
        <f t="shared" si="11"/>
        <v>0</v>
      </c>
      <c r="Y10" s="18">
        <f t="shared" si="7"/>
        <v>9.09228779169724</v>
      </c>
      <c r="Z10" s="18">
        <f t="shared" si="8"/>
        <v>0</v>
      </c>
      <c r="AA10" s="2">
        <f t="shared" si="12"/>
        <v>0</v>
      </c>
    </row>
    <row r="11" spans="1:27" ht="12.75">
      <c r="A11">
        <v>1945</v>
      </c>
      <c r="C11" s="35">
        <f t="shared" si="9"/>
        <v>0</v>
      </c>
      <c r="D11" s="35">
        <v>0</v>
      </c>
      <c r="E11" s="35">
        <v>0</v>
      </c>
      <c r="F11" s="35">
        <v>0</v>
      </c>
      <c r="G11" s="35">
        <f t="shared" si="0"/>
        <v>0</v>
      </c>
      <c r="H11" s="11">
        <v>75.5</v>
      </c>
      <c r="I11">
        <v>0</v>
      </c>
      <c r="J11">
        <f t="shared" si="1"/>
        <v>0</v>
      </c>
      <c r="R11" s="21">
        <f t="shared" si="10"/>
        <v>1945</v>
      </c>
      <c r="S11" s="4">
        <f t="shared" si="2"/>
        <v>0</v>
      </c>
      <c r="T11">
        <f t="shared" si="3"/>
        <v>0</v>
      </c>
      <c r="U11">
        <f t="shared" si="4"/>
        <v>59</v>
      </c>
      <c r="V11" s="1" t="str">
        <f t="shared" si="5"/>
        <v>S2</v>
      </c>
      <c r="W11" s="2">
        <f t="shared" si="6"/>
        <v>0</v>
      </c>
      <c r="X11" s="2">
        <f t="shared" si="11"/>
        <v>0</v>
      </c>
      <c r="Y11" s="18">
        <f t="shared" si="7"/>
        <v>9.37921226005242</v>
      </c>
      <c r="Z11" s="18">
        <f t="shared" si="8"/>
        <v>0</v>
      </c>
      <c r="AA11" s="2">
        <f t="shared" si="12"/>
        <v>0</v>
      </c>
    </row>
    <row r="12" spans="1:27" ht="12.75">
      <c r="A12">
        <v>1946</v>
      </c>
      <c r="C12" s="35">
        <f t="shared" si="9"/>
        <v>0</v>
      </c>
      <c r="D12" s="35">
        <v>0</v>
      </c>
      <c r="E12" s="35">
        <v>0</v>
      </c>
      <c r="F12" s="35">
        <v>0</v>
      </c>
      <c r="G12" s="35">
        <f t="shared" si="0"/>
        <v>0</v>
      </c>
      <c r="H12" s="11">
        <v>74.5</v>
      </c>
      <c r="I12">
        <v>0</v>
      </c>
      <c r="J12">
        <f t="shared" si="1"/>
        <v>0</v>
      </c>
      <c r="R12" s="21">
        <f t="shared" si="10"/>
        <v>1946</v>
      </c>
      <c r="S12" s="4">
        <f t="shared" si="2"/>
        <v>0</v>
      </c>
      <c r="T12">
        <f t="shared" si="3"/>
        <v>0</v>
      </c>
      <c r="U12">
        <f t="shared" si="4"/>
        <v>59</v>
      </c>
      <c r="V12" s="1" t="str">
        <f t="shared" si="5"/>
        <v>S2</v>
      </c>
      <c r="W12" s="2">
        <f t="shared" si="6"/>
        <v>0</v>
      </c>
      <c r="X12" s="2">
        <f t="shared" si="11"/>
        <v>0</v>
      </c>
      <c r="Y12" s="18">
        <f t="shared" si="7"/>
        <v>9.671012084738015</v>
      </c>
      <c r="Z12" s="18">
        <f t="shared" si="8"/>
        <v>0</v>
      </c>
      <c r="AA12" s="2">
        <f t="shared" si="12"/>
        <v>0</v>
      </c>
    </row>
    <row r="13" spans="1:27" ht="12.75">
      <c r="A13">
        <v>1947</v>
      </c>
      <c r="C13" s="35">
        <f t="shared" si="9"/>
        <v>0</v>
      </c>
      <c r="D13" s="35">
        <v>0</v>
      </c>
      <c r="E13" s="35">
        <v>0</v>
      </c>
      <c r="F13" s="35">
        <v>0</v>
      </c>
      <c r="G13" s="35">
        <f t="shared" si="0"/>
        <v>0</v>
      </c>
      <c r="H13" s="11">
        <v>73.5</v>
      </c>
      <c r="I13">
        <v>0</v>
      </c>
      <c r="J13">
        <f t="shared" si="1"/>
        <v>0</v>
      </c>
      <c r="R13" s="21">
        <f t="shared" si="10"/>
        <v>1947</v>
      </c>
      <c r="S13" s="4">
        <f t="shared" si="2"/>
        <v>0</v>
      </c>
      <c r="T13">
        <f t="shared" si="3"/>
        <v>0</v>
      </c>
      <c r="U13">
        <f t="shared" si="4"/>
        <v>59</v>
      </c>
      <c r="V13" s="1" t="str">
        <f t="shared" si="5"/>
        <v>S2</v>
      </c>
      <c r="W13" s="2">
        <f t="shared" si="6"/>
        <v>0</v>
      </c>
      <c r="X13" s="2">
        <f t="shared" si="11"/>
        <v>0</v>
      </c>
      <c r="Y13" s="18">
        <f t="shared" si="7"/>
        <v>9.967849584025823</v>
      </c>
      <c r="Z13" s="18">
        <f t="shared" si="8"/>
        <v>0</v>
      </c>
      <c r="AA13" s="2">
        <f t="shared" si="12"/>
        <v>0</v>
      </c>
    </row>
    <row r="14" spans="1:27" ht="12.75">
      <c r="A14">
        <v>1948</v>
      </c>
      <c r="C14" s="35">
        <f t="shared" si="9"/>
        <v>0</v>
      </c>
      <c r="D14" s="35">
        <v>0</v>
      </c>
      <c r="E14" s="35">
        <v>0</v>
      </c>
      <c r="F14" s="35">
        <v>0</v>
      </c>
      <c r="G14" s="35">
        <f t="shared" si="0"/>
        <v>0</v>
      </c>
      <c r="H14" s="11">
        <v>72.5</v>
      </c>
      <c r="I14">
        <v>0</v>
      </c>
      <c r="J14">
        <f t="shared" si="1"/>
        <v>0</v>
      </c>
      <c r="R14" s="21">
        <f t="shared" si="10"/>
        <v>1948</v>
      </c>
      <c r="S14" s="4">
        <f t="shared" si="2"/>
        <v>0</v>
      </c>
      <c r="T14">
        <f t="shared" si="3"/>
        <v>0</v>
      </c>
      <c r="U14">
        <f t="shared" si="4"/>
        <v>59</v>
      </c>
      <c r="V14" s="1" t="str">
        <f t="shared" si="5"/>
        <v>S2</v>
      </c>
      <c r="W14" s="2">
        <f t="shared" si="6"/>
        <v>0</v>
      </c>
      <c r="X14" s="2">
        <f t="shared" si="11"/>
        <v>0</v>
      </c>
      <c r="Y14" s="18">
        <f t="shared" si="7"/>
        <v>10.269892910683497</v>
      </c>
      <c r="Z14" s="18">
        <f t="shared" si="8"/>
        <v>0</v>
      </c>
      <c r="AA14" s="2">
        <f t="shared" si="12"/>
        <v>0</v>
      </c>
    </row>
    <row r="15" spans="1:27" ht="12.75">
      <c r="A15">
        <v>1949</v>
      </c>
      <c r="C15" s="35">
        <f t="shared" si="9"/>
        <v>0</v>
      </c>
      <c r="D15" s="35">
        <v>0</v>
      </c>
      <c r="E15" s="35">
        <v>0</v>
      </c>
      <c r="F15" s="35">
        <v>0</v>
      </c>
      <c r="G15" s="35">
        <f t="shared" si="0"/>
        <v>0</v>
      </c>
      <c r="H15" s="11">
        <v>71.5</v>
      </c>
      <c r="I15">
        <v>0</v>
      </c>
      <c r="J15">
        <f t="shared" si="1"/>
        <v>0</v>
      </c>
      <c r="R15" s="21">
        <f t="shared" si="10"/>
        <v>1949</v>
      </c>
      <c r="S15" s="4">
        <f t="shared" si="2"/>
        <v>0</v>
      </c>
      <c r="T15">
        <f t="shared" si="3"/>
        <v>0</v>
      </c>
      <c r="U15">
        <f t="shared" si="4"/>
        <v>59</v>
      </c>
      <c r="V15" s="1" t="str">
        <f t="shared" si="5"/>
        <v>S2</v>
      </c>
      <c r="W15" s="2">
        <f t="shared" si="6"/>
        <v>0</v>
      </c>
      <c r="X15" s="2">
        <f t="shared" si="11"/>
        <v>0</v>
      </c>
      <c r="Y15" s="18">
        <f t="shared" si="7"/>
        <v>10.577316204737322</v>
      </c>
      <c r="Z15" s="18">
        <f t="shared" si="8"/>
        <v>0</v>
      </c>
      <c r="AA15" s="2">
        <f t="shared" si="12"/>
        <v>0</v>
      </c>
    </row>
    <row r="16" spans="1:27" ht="12.75">
      <c r="A16">
        <v>1950</v>
      </c>
      <c r="C16" s="35">
        <f t="shared" si="9"/>
        <v>0</v>
      </c>
      <c r="D16" s="35">
        <v>0</v>
      </c>
      <c r="E16" s="35">
        <v>0</v>
      </c>
      <c r="F16" s="35">
        <v>0</v>
      </c>
      <c r="G16" s="35">
        <f t="shared" si="0"/>
        <v>0</v>
      </c>
      <c r="H16" s="11">
        <v>70.5</v>
      </c>
      <c r="I16">
        <v>0</v>
      </c>
      <c r="J16">
        <f t="shared" si="1"/>
        <v>0</v>
      </c>
      <c r="R16" s="21">
        <f t="shared" si="10"/>
        <v>1950</v>
      </c>
      <c r="S16" s="4">
        <f t="shared" si="2"/>
        <v>0</v>
      </c>
      <c r="T16">
        <f t="shared" si="3"/>
        <v>0</v>
      </c>
      <c r="U16">
        <f t="shared" si="4"/>
        <v>59</v>
      </c>
      <c r="V16" s="1" t="str">
        <f t="shared" si="5"/>
        <v>S2</v>
      </c>
      <c r="W16" s="2">
        <f t="shared" si="6"/>
        <v>0</v>
      </c>
      <c r="X16" s="2">
        <f t="shared" si="11"/>
        <v>0</v>
      </c>
      <c r="Y16" s="18">
        <f t="shared" si="7"/>
        <v>10.890299743549305</v>
      </c>
      <c r="Z16" s="18">
        <f t="shared" si="8"/>
        <v>0</v>
      </c>
      <c r="AA16" s="2">
        <f t="shared" si="12"/>
        <v>0</v>
      </c>
    </row>
    <row r="17" spans="1:27" ht="12.75">
      <c r="A17">
        <v>1951</v>
      </c>
      <c r="C17" s="35">
        <f t="shared" si="9"/>
        <v>0</v>
      </c>
      <c r="D17" s="35">
        <v>0</v>
      </c>
      <c r="E17" s="35">
        <v>61761</v>
      </c>
      <c r="F17" s="35">
        <v>0</v>
      </c>
      <c r="G17" s="35">
        <f t="shared" si="0"/>
        <v>61761</v>
      </c>
      <c r="H17" s="11">
        <v>69.5</v>
      </c>
      <c r="I17">
        <v>0</v>
      </c>
      <c r="J17">
        <f t="shared" si="1"/>
        <v>0</v>
      </c>
      <c r="L17" s="38">
        <f>D17+E17</f>
        <v>61761</v>
      </c>
      <c r="M17" s="38">
        <f>F17</f>
        <v>0</v>
      </c>
      <c r="R17" s="21">
        <f t="shared" si="10"/>
        <v>1951</v>
      </c>
      <c r="S17" s="4">
        <f t="shared" si="2"/>
        <v>61761</v>
      </c>
      <c r="T17">
        <f t="shared" si="3"/>
        <v>0</v>
      </c>
      <c r="U17">
        <f t="shared" si="4"/>
        <v>59</v>
      </c>
      <c r="V17" s="1" t="str">
        <f t="shared" si="5"/>
        <v>S2</v>
      </c>
      <c r="W17" s="2">
        <f t="shared" si="6"/>
        <v>1046.7966101694915</v>
      </c>
      <c r="X17" s="2">
        <f t="shared" si="11"/>
        <v>0</v>
      </c>
      <c r="Y17" s="18">
        <f t="shared" si="7"/>
        <v>11.209030087713712</v>
      </c>
      <c r="Z17" s="18">
        <f t="shared" si="8"/>
        <v>0</v>
      </c>
      <c r="AA17" s="2">
        <f t="shared" si="12"/>
        <v>11733.574699106552</v>
      </c>
    </row>
    <row r="18" spans="1:27" ht="12.75">
      <c r="A18">
        <v>1952</v>
      </c>
      <c r="C18" s="35">
        <f t="shared" si="9"/>
        <v>61761</v>
      </c>
      <c r="D18" s="35">
        <v>0</v>
      </c>
      <c r="E18" s="35">
        <v>0</v>
      </c>
      <c r="F18" s="35">
        <v>0</v>
      </c>
      <c r="G18" s="35">
        <f t="shared" si="0"/>
        <v>61761</v>
      </c>
      <c r="H18" s="11">
        <v>68.5</v>
      </c>
      <c r="I18">
        <v>0</v>
      </c>
      <c r="J18">
        <f t="shared" si="1"/>
        <v>0</v>
      </c>
      <c r="L18" s="38">
        <f aca="true" t="shared" si="13" ref="L18:L81">D18+E18</f>
        <v>0</v>
      </c>
      <c r="M18" s="38">
        <f aca="true" t="shared" si="14" ref="M18:M81">F18</f>
        <v>0</v>
      </c>
      <c r="R18" s="21">
        <f t="shared" si="10"/>
        <v>1952</v>
      </c>
      <c r="S18" s="4">
        <f t="shared" si="2"/>
        <v>0</v>
      </c>
      <c r="T18">
        <f t="shared" si="3"/>
        <v>0</v>
      </c>
      <c r="U18">
        <f t="shared" si="4"/>
        <v>59</v>
      </c>
      <c r="V18" s="1" t="str">
        <f t="shared" si="5"/>
        <v>S2</v>
      </c>
      <c r="W18" s="2">
        <f t="shared" si="6"/>
        <v>0</v>
      </c>
      <c r="X18" s="2">
        <f t="shared" si="11"/>
        <v>0</v>
      </c>
      <c r="Y18" s="18">
        <f t="shared" si="7"/>
        <v>11.53370022110438</v>
      </c>
      <c r="Z18" s="18">
        <f t="shared" si="8"/>
        <v>0</v>
      </c>
      <c r="AA18" s="2">
        <f t="shared" si="12"/>
        <v>0</v>
      </c>
    </row>
    <row r="19" spans="1:27" ht="12.75">
      <c r="A19">
        <v>1953</v>
      </c>
      <c r="C19" s="35">
        <f t="shared" si="9"/>
        <v>61761</v>
      </c>
      <c r="D19" s="35">
        <v>0</v>
      </c>
      <c r="E19" s="35">
        <v>0</v>
      </c>
      <c r="F19" s="35">
        <v>0</v>
      </c>
      <c r="G19" s="35">
        <f t="shared" si="0"/>
        <v>61761</v>
      </c>
      <c r="H19" s="11">
        <v>67.5</v>
      </c>
      <c r="I19">
        <v>0</v>
      </c>
      <c r="J19">
        <f t="shared" si="1"/>
        <v>0</v>
      </c>
      <c r="L19" s="38">
        <f t="shared" si="13"/>
        <v>0</v>
      </c>
      <c r="M19" s="38">
        <f t="shared" si="14"/>
        <v>0</v>
      </c>
      <c r="R19" s="21">
        <f t="shared" si="10"/>
        <v>1953</v>
      </c>
      <c r="S19" s="4">
        <f t="shared" si="2"/>
        <v>0</v>
      </c>
      <c r="T19">
        <f t="shared" si="3"/>
        <v>0</v>
      </c>
      <c r="U19">
        <f t="shared" si="4"/>
        <v>59</v>
      </c>
      <c r="V19" s="1" t="str">
        <f t="shared" si="5"/>
        <v>S2</v>
      </c>
      <c r="W19" s="2">
        <f t="shared" si="6"/>
        <v>0</v>
      </c>
      <c r="X19" s="2">
        <f t="shared" si="11"/>
        <v>0</v>
      </c>
      <c r="Y19" s="18">
        <f t="shared" si="7"/>
        <v>11.864509683217406</v>
      </c>
      <c r="Z19" s="18">
        <f t="shared" si="8"/>
        <v>0</v>
      </c>
      <c r="AA19" s="2">
        <f t="shared" si="12"/>
        <v>0</v>
      </c>
    </row>
    <row r="20" spans="1:27" ht="12.75">
      <c r="A20">
        <v>1954</v>
      </c>
      <c r="C20" s="35">
        <f t="shared" si="9"/>
        <v>61761</v>
      </c>
      <c r="D20" s="35">
        <v>0</v>
      </c>
      <c r="E20" s="35">
        <v>8944</v>
      </c>
      <c r="F20" s="35">
        <v>0</v>
      </c>
      <c r="G20" s="35">
        <f t="shared" si="0"/>
        <v>70705</v>
      </c>
      <c r="H20" s="11">
        <v>66.5</v>
      </c>
      <c r="I20">
        <v>0</v>
      </c>
      <c r="J20">
        <f t="shared" si="1"/>
        <v>0</v>
      </c>
      <c r="L20" s="38">
        <f t="shared" si="13"/>
        <v>8944</v>
      </c>
      <c r="M20" s="38">
        <f t="shared" si="14"/>
        <v>0</v>
      </c>
      <c r="R20" s="21">
        <f t="shared" si="10"/>
        <v>1954</v>
      </c>
      <c r="S20" s="4">
        <f t="shared" si="2"/>
        <v>8944</v>
      </c>
      <c r="T20">
        <f t="shared" si="3"/>
        <v>0</v>
      </c>
      <c r="U20">
        <f t="shared" si="4"/>
        <v>59</v>
      </c>
      <c r="V20" s="1" t="str">
        <f t="shared" si="5"/>
        <v>S2</v>
      </c>
      <c r="W20" s="2">
        <f t="shared" si="6"/>
        <v>151.59322033898306</v>
      </c>
      <c r="X20" s="2">
        <f t="shared" si="11"/>
        <v>0</v>
      </c>
      <c r="Y20" s="18">
        <f t="shared" si="7"/>
        <v>12.201664691730885</v>
      </c>
      <c r="Z20" s="18">
        <f t="shared" si="8"/>
        <v>0</v>
      </c>
      <c r="AA20" s="2">
        <f t="shared" si="12"/>
        <v>1849.68964411595</v>
      </c>
    </row>
    <row r="21" spans="1:27" ht="12.75">
      <c r="A21">
        <v>1955</v>
      </c>
      <c r="C21" s="35">
        <f t="shared" si="9"/>
        <v>70705</v>
      </c>
      <c r="D21" s="35">
        <v>0</v>
      </c>
      <c r="E21" s="35">
        <v>95433</v>
      </c>
      <c r="F21" s="35">
        <v>0</v>
      </c>
      <c r="G21" s="35">
        <f t="shared" si="0"/>
        <v>166138</v>
      </c>
      <c r="H21" s="11">
        <v>65.5</v>
      </c>
      <c r="I21">
        <v>0</v>
      </c>
      <c r="J21">
        <f t="shared" si="1"/>
        <v>0</v>
      </c>
      <c r="L21" s="38">
        <f t="shared" si="13"/>
        <v>95433</v>
      </c>
      <c r="M21" s="38">
        <f t="shared" si="14"/>
        <v>0</v>
      </c>
      <c r="R21" s="21">
        <f t="shared" si="10"/>
        <v>1955</v>
      </c>
      <c r="S21" s="4">
        <f t="shared" si="2"/>
        <v>95433</v>
      </c>
      <c r="T21">
        <f t="shared" si="3"/>
        <v>0</v>
      </c>
      <c r="U21">
        <f t="shared" si="4"/>
        <v>59</v>
      </c>
      <c r="V21" s="1" t="str">
        <f t="shared" si="5"/>
        <v>S2</v>
      </c>
      <c r="W21" s="2">
        <f t="shared" si="6"/>
        <v>1617.5084745762713</v>
      </c>
      <c r="X21" s="2">
        <f t="shared" si="11"/>
        <v>0</v>
      </c>
      <c r="Y21" s="18">
        <f t="shared" si="7"/>
        <v>12.545378252964854</v>
      </c>
      <c r="Z21" s="18">
        <f t="shared" si="8"/>
        <v>0</v>
      </c>
      <c r="AA21" s="2">
        <f t="shared" si="12"/>
        <v>20292.25564093551</v>
      </c>
    </row>
    <row r="22" spans="1:27" ht="12.75">
      <c r="A22">
        <v>1956</v>
      </c>
      <c r="C22" s="35">
        <f t="shared" si="9"/>
        <v>166138</v>
      </c>
      <c r="D22" s="35">
        <v>0</v>
      </c>
      <c r="E22" s="35">
        <v>153043</v>
      </c>
      <c r="F22" s="35">
        <v>0</v>
      </c>
      <c r="G22" s="35">
        <f t="shared" si="0"/>
        <v>319181</v>
      </c>
      <c r="H22" s="11">
        <v>64.5</v>
      </c>
      <c r="I22">
        <v>0</v>
      </c>
      <c r="J22">
        <f t="shared" si="1"/>
        <v>0</v>
      </c>
      <c r="L22" s="38">
        <f t="shared" si="13"/>
        <v>153043</v>
      </c>
      <c r="M22" s="38">
        <f t="shared" si="14"/>
        <v>0</v>
      </c>
      <c r="R22" s="21">
        <f t="shared" si="10"/>
        <v>1956</v>
      </c>
      <c r="S22" s="4">
        <f t="shared" si="2"/>
        <v>153043</v>
      </c>
      <c r="T22">
        <f t="shared" si="3"/>
        <v>0</v>
      </c>
      <c r="U22">
        <f t="shared" si="4"/>
        <v>59</v>
      </c>
      <c r="V22" s="1" t="str">
        <f t="shared" si="5"/>
        <v>S2</v>
      </c>
      <c r="W22" s="2">
        <f t="shared" si="6"/>
        <v>2593.9491525423728</v>
      </c>
      <c r="X22" s="2">
        <f t="shared" si="11"/>
        <v>0</v>
      </c>
      <c r="Y22" s="18">
        <f t="shared" si="7"/>
        <v>12.89587025765685</v>
      </c>
      <c r="Z22" s="18">
        <f t="shared" si="8"/>
        <v>0</v>
      </c>
      <c r="AA22" s="2">
        <f t="shared" si="12"/>
        <v>33451.23172614537</v>
      </c>
    </row>
    <row r="23" spans="1:27" ht="12.75">
      <c r="A23">
        <v>1957</v>
      </c>
      <c r="C23" s="35">
        <f t="shared" si="9"/>
        <v>319181</v>
      </c>
      <c r="D23" s="35">
        <v>0</v>
      </c>
      <c r="E23" s="35">
        <v>2766</v>
      </c>
      <c r="F23" s="35">
        <v>0</v>
      </c>
      <c r="G23" s="35">
        <f t="shared" si="0"/>
        <v>321947</v>
      </c>
      <c r="H23" s="11">
        <v>63.5</v>
      </c>
      <c r="I23">
        <v>0</v>
      </c>
      <c r="J23">
        <f t="shared" si="1"/>
        <v>0</v>
      </c>
      <c r="L23" s="38">
        <f t="shared" si="13"/>
        <v>2766</v>
      </c>
      <c r="M23" s="38">
        <f t="shared" si="14"/>
        <v>0</v>
      </c>
      <c r="R23" s="21">
        <f t="shared" si="10"/>
        <v>1957</v>
      </c>
      <c r="S23" s="4">
        <f t="shared" si="2"/>
        <v>2766</v>
      </c>
      <c r="T23">
        <f t="shared" si="3"/>
        <v>0</v>
      </c>
      <c r="U23">
        <f t="shared" si="4"/>
        <v>59</v>
      </c>
      <c r="V23" s="1" t="str">
        <f t="shared" si="5"/>
        <v>S2</v>
      </c>
      <c r="W23" s="2">
        <f t="shared" si="6"/>
        <v>46.88135593220339</v>
      </c>
      <c r="X23" s="2">
        <f t="shared" si="11"/>
        <v>0</v>
      </c>
      <c r="Y23" s="18">
        <f t="shared" si="7"/>
        <v>13.253367559172643</v>
      </c>
      <c r="Z23" s="18">
        <f t="shared" si="8"/>
        <v>0</v>
      </c>
      <c r="AA23" s="2">
        <f t="shared" si="12"/>
        <v>621.3358418418903</v>
      </c>
    </row>
    <row r="24" spans="1:27" ht="12.75">
      <c r="A24">
        <v>1958</v>
      </c>
      <c r="C24" s="35">
        <f t="shared" si="9"/>
        <v>321947</v>
      </c>
      <c r="D24" s="35">
        <v>0</v>
      </c>
      <c r="E24" s="35">
        <v>40731</v>
      </c>
      <c r="F24" s="35">
        <v>0</v>
      </c>
      <c r="G24" s="35">
        <f t="shared" si="0"/>
        <v>362678</v>
      </c>
      <c r="H24" s="11">
        <v>62.5</v>
      </c>
      <c r="I24">
        <v>0</v>
      </c>
      <c r="J24">
        <f t="shared" si="1"/>
        <v>0</v>
      </c>
      <c r="L24" s="38">
        <f t="shared" si="13"/>
        <v>40731</v>
      </c>
      <c r="M24" s="38">
        <f t="shared" si="14"/>
        <v>0</v>
      </c>
      <c r="R24" s="21">
        <f t="shared" si="10"/>
        <v>1958</v>
      </c>
      <c r="S24" s="4">
        <f t="shared" si="2"/>
        <v>40731</v>
      </c>
      <c r="T24">
        <f t="shared" si="3"/>
        <v>0</v>
      </c>
      <c r="U24">
        <f t="shared" si="4"/>
        <v>59</v>
      </c>
      <c r="V24" s="1" t="str">
        <f t="shared" si="5"/>
        <v>S2</v>
      </c>
      <c r="W24" s="2">
        <f t="shared" si="6"/>
        <v>690.3559322033898</v>
      </c>
      <c r="X24" s="2">
        <f t="shared" si="11"/>
        <v>0</v>
      </c>
      <c r="Y24" s="18">
        <f t="shared" si="7"/>
        <v>13.61810403095103</v>
      </c>
      <c r="Z24" s="18">
        <f t="shared" si="8"/>
        <v>0</v>
      </c>
      <c r="AA24" s="2">
        <f t="shared" si="12"/>
        <v>9401.33890312994</v>
      </c>
    </row>
    <row r="25" spans="1:27" ht="12.75">
      <c r="A25">
        <v>1959</v>
      </c>
      <c r="C25" s="35">
        <f t="shared" si="9"/>
        <v>362678</v>
      </c>
      <c r="D25" s="35">
        <v>0</v>
      </c>
      <c r="E25" s="35">
        <v>209986</v>
      </c>
      <c r="F25" s="35">
        <v>0</v>
      </c>
      <c r="G25" s="35">
        <f t="shared" si="0"/>
        <v>572664</v>
      </c>
      <c r="H25" s="11">
        <v>61.5</v>
      </c>
      <c r="I25">
        <v>0</v>
      </c>
      <c r="J25">
        <f t="shared" si="1"/>
        <v>0</v>
      </c>
      <c r="L25" s="38">
        <f t="shared" si="13"/>
        <v>209986</v>
      </c>
      <c r="M25" s="38">
        <f t="shared" si="14"/>
        <v>0</v>
      </c>
      <c r="R25" s="21">
        <f t="shared" si="10"/>
        <v>1959</v>
      </c>
      <c r="S25" s="4">
        <f t="shared" si="2"/>
        <v>209986</v>
      </c>
      <c r="T25">
        <f t="shared" si="3"/>
        <v>0</v>
      </c>
      <c r="U25">
        <f t="shared" si="4"/>
        <v>59</v>
      </c>
      <c r="V25" s="1" t="str">
        <f t="shared" si="5"/>
        <v>S2</v>
      </c>
      <c r="W25" s="2">
        <f t="shared" si="6"/>
        <v>3559.084745762712</v>
      </c>
      <c r="X25" s="2">
        <f t="shared" si="11"/>
        <v>0</v>
      </c>
      <c r="Y25" s="18">
        <f t="shared" si="7"/>
        <v>13.99032059963126</v>
      </c>
      <c r="Z25" s="18">
        <f t="shared" si="8"/>
        <v>0</v>
      </c>
      <c r="AA25" s="2">
        <f t="shared" si="12"/>
        <v>49792.73663447746</v>
      </c>
    </row>
    <row r="26" spans="1:27" ht="12.75">
      <c r="A26">
        <v>1960</v>
      </c>
      <c r="C26" s="35">
        <f t="shared" si="9"/>
        <v>572664</v>
      </c>
      <c r="D26" s="35">
        <v>0</v>
      </c>
      <c r="E26" s="35">
        <v>443547</v>
      </c>
      <c r="F26" s="35">
        <v>0</v>
      </c>
      <c r="G26" s="35">
        <f t="shared" si="0"/>
        <v>1016211</v>
      </c>
      <c r="H26" s="11">
        <v>60.5</v>
      </c>
      <c r="I26">
        <v>0</v>
      </c>
      <c r="J26">
        <f t="shared" si="1"/>
        <v>0</v>
      </c>
      <c r="L26" s="38">
        <f t="shared" si="13"/>
        <v>443547</v>
      </c>
      <c r="M26" s="38">
        <f t="shared" si="14"/>
        <v>0</v>
      </c>
      <c r="R26" s="21">
        <f t="shared" si="10"/>
        <v>1960</v>
      </c>
      <c r="S26" s="4">
        <f t="shared" si="2"/>
        <v>443547</v>
      </c>
      <c r="T26">
        <f t="shared" si="3"/>
        <v>0</v>
      </c>
      <c r="U26">
        <f t="shared" si="4"/>
        <v>59</v>
      </c>
      <c r="V26" s="1" t="str">
        <f t="shared" si="5"/>
        <v>S2</v>
      </c>
      <c r="W26" s="2">
        <f t="shared" si="6"/>
        <v>7517.745762711865</v>
      </c>
      <c r="X26" s="2">
        <f t="shared" si="11"/>
        <v>0</v>
      </c>
      <c r="Y26" s="18">
        <f t="shared" si="7"/>
        <v>14.370265249934373</v>
      </c>
      <c r="Z26" s="18">
        <f t="shared" si="8"/>
        <v>0</v>
      </c>
      <c r="AA26" s="2">
        <f t="shared" si="12"/>
        <v>108032.0006917397</v>
      </c>
    </row>
    <row r="27" spans="1:27" ht="12.75">
      <c r="A27">
        <v>1961</v>
      </c>
      <c r="C27" s="35">
        <f t="shared" si="9"/>
        <v>1016211</v>
      </c>
      <c r="D27" s="35">
        <v>0</v>
      </c>
      <c r="E27" s="35">
        <v>0</v>
      </c>
      <c r="F27" s="35">
        <v>0</v>
      </c>
      <c r="G27" s="35">
        <f t="shared" si="0"/>
        <v>1016211</v>
      </c>
      <c r="H27" s="11">
        <v>59.5</v>
      </c>
      <c r="I27">
        <v>0</v>
      </c>
      <c r="J27">
        <f t="shared" si="1"/>
        <v>0</v>
      </c>
      <c r="L27" s="38">
        <f t="shared" si="13"/>
        <v>0</v>
      </c>
      <c r="M27" s="38">
        <f t="shared" si="14"/>
        <v>0</v>
      </c>
      <c r="R27" s="21">
        <f t="shared" si="10"/>
        <v>1961</v>
      </c>
      <c r="S27" s="4">
        <f t="shared" si="2"/>
        <v>0</v>
      </c>
      <c r="T27">
        <f t="shared" si="3"/>
        <v>0</v>
      </c>
      <c r="U27">
        <f t="shared" si="4"/>
        <v>59</v>
      </c>
      <c r="V27" s="1" t="str">
        <f t="shared" si="5"/>
        <v>S2</v>
      </c>
      <c r="W27" s="2">
        <f t="shared" si="6"/>
        <v>0</v>
      </c>
      <c r="X27" s="2">
        <f t="shared" si="11"/>
        <v>0</v>
      </c>
      <c r="Y27" s="18">
        <f t="shared" si="7"/>
        <v>14.758192996960934</v>
      </c>
      <c r="Z27" s="18">
        <f t="shared" si="8"/>
        <v>0</v>
      </c>
      <c r="AA27" s="2">
        <f t="shared" si="12"/>
        <v>0</v>
      </c>
    </row>
    <row r="28" spans="1:27" ht="12.75">
      <c r="A28">
        <v>1962</v>
      </c>
      <c r="C28" s="35">
        <f t="shared" si="9"/>
        <v>1016211</v>
      </c>
      <c r="D28" s="35">
        <v>0</v>
      </c>
      <c r="E28" s="35">
        <v>11049</v>
      </c>
      <c r="F28" s="35">
        <v>0</v>
      </c>
      <c r="G28" s="35">
        <f t="shared" si="0"/>
        <v>1027260</v>
      </c>
      <c r="H28" s="11">
        <v>58.5</v>
      </c>
      <c r="I28">
        <v>0</v>
      </c>
      <c r="J28">
        <f t="shared" si="1"/>
        <v>0</v>
      </c>
      <c r="L28" s="38">
        <f t="shared" si="13"/>
        <v>11049</v>
      </c>
      <c r="M28" s="38">
        <f t="shared" si="14"/>
        <v>0</v>
      </c>
      <c r="R28" s="21">
        <f t="shared" si="10"/>
        <v>1962</v>
      </c>
      <c r="S28" s="4">
        <f t="shared" si="2"/>
        <v>11049</v>
      </c>
      <c r="T28">
        <f t="shared" si="3"/>
        <v>0</v>
      </c>
      <c r="U28">
        <f t="shared" si="4"/>
        <v>59</v>
      </c>
      <c r="V28" s="1" t="str">
        <f t="shared" si="5"/>
        <v>S2</v>
      </c>
      <c r="W28" s="2">
        <f t="shared" si="6"/>
        <v>187.27118644067798</v>
      </c>
      <c r="X28" s="2">
        <f t="shared" si="11"/>
        <v>0</v>
      </c>
      <c r="Y28" s="18">
        <f t="shared" si="7"/>
        <v>15.15436582113641</v>
      </c>
      <c r="Z28" s="18">
        <f t="shared" si="8"/>
        <v>0</v>
      </c>
      <c r="AA28" s="2">
        <f t="shared" si="12"/>
        <v>2837.976067080275</v>
      </c>
    </row>
    <row r="29" spans="1:27" ht="12.75">
      <c r="A29">
        <v>1963</v>
      </c>
      <c r="C29" s="35">
        <f t="shared" si="9"/>
        <v>1027260</v>
      </c>
      <c r="D29" s="35">
        <v>0</v>
      </c>
      <c r="E29" s="35">
        <v>5069</v>
      </c>
      <c r="F29" s="35">
        <v>0</v>
      </c>
      <c r="G29" s="35">
        <f t="shared" si="0"/>
        <v>1032329</v>
      </c>
      <c r="H29" s="11">
        <v>57.5</v>
      </c>
      <c r="I29">
        <v>0</v>
      </c>
      <c r="J29">
        <f t="shared" si="1"/>
        <v>0</v>
      </c>
      <c r="L29" s="38">
        <f t="shared" si="13"/>
        <v>5069</v>
      </c>
      <c r="M29" s="38">
        <f t="shared" si="14"/>
        <v>0</v>
      </c>
      <c r="R29" s="21">
        <f t="shared" si="10"/>
        <v>1963</v>
      </c>
      <c r="S29" s="4">
        <f t="shared" si="2"/>
        <v>5069</v>
      </c>
      <c r="T29">
        <f t="shared" si="3"/>
        <v>0</v>
      </c>
      <c r="U29">
        <f t="shared" si="4"/>
        <v>59</v>
      </c>
      <c r="V29" s="1" t="str">
        <f t="shared" si="5"/>
        <v>S2</v>
      </c>
      <c r="W29" s="2">
        <f t="shared" si="6"/>
        <v>85.91525423728814</v>
      </c>
      <c r="X29" s="2">
        <f t="shared" si="11"/>
        <v>0</v>
      </c>
      <c r="Y29" s="18">
        <f t="shared" si="7"/>
        <v>15.559052560572297</v>
      </c>
      <c r="Z29" s="18">
        <f t="shared" si="8"/>
        <v>0</v>
      </c>
      <c r="AA29" s="2">
        <f t="shared" si="12"/>
        <v>1336.759956432898</v>
      </c>
    </row>
    <row r="30" spans="1:27" ht="12.75">
      <c r="A30">
        <v>1964</v>
      </c>
      <c r="C30" s="35">
        <f t="shared" si="9"/>
        <v>1032329</v>
      </c>
      <c r="D30" s="35">
        <v>0</v>
      </c>
      <c r="E30" s="35">
        <v>43691</v>
      </c>
      <c r="F30" s="35">
        <v>0</v>
      </c>
      <c r="G30" s="35">
        <f t="shared" si="0"/>
        <v>1076020</v>
      </c>
      <c r="H30" s="11">
        <v>56.5</v>
      </c>
      <c r="I30">
        <v>0</v>
      </c>
      <c r="J30">
        <f t="shared" si="1"/>
        <v>0</v>
      </c>
      <c r="L30" s="38">
        <f t="shared" si="13"/>
        <v>43691</v>
      </c>
      <c r="M30" s="38">
        <f t="shared" si="14"/>
        <v>0</v>
      </c>
      <c r="R30" s="21">
        <f t="shared" si="10"/>
        <v>1964</v>
      </c>
      <c r="S30" s="4">
        <f t="shared" si="2"/>
        <v>43691</v>
      </c>
      <c r="T30">
        <f t="shared" si="3"/>
        <v>0</v>
      </c>
      <c r="U30">
        <f t="shared" si="4"/>
        <v>59</v>
      </c>
      <c r="V30" s="1" t="str">
        <f t="shared" si="5"/>
        <v>S2</v>
      </c>
      <c r="W30" s="2">
        <f t="shared" si="6"/>
        <v>740.5254237288135</v>
      </c>
      <c r="X30" s="2">
        <f t="shared" si="11"/>
        <v>0</v>
      </c>
      <c r="Y30" s="18">
        <f t="shared" si="7"/>
        <v>15.972528755126875</v>
      </c>
      <c r="Z30" s="18">
        <f t="shared" si="8"/>
        <v>0</v>
      </c>
      <c r="AA30" s="2">
        <f t="shared" si="12"/>
        <v>11828.063624410988</v>
      </c>
    </row>
    <row r="31" spans="1:27" ht="12.75">
      <c r="A31">
        <v>1965</v>
      </c>
      <c r="C31" s="35">
        <f t="shared" si="9"/>
        <v>1076020</v>
      </c>
      <c r="D31" s="35">
        <v>0</v>
      </c>
      <c r="E31" s="35">
        <v>401158</v>
      </c>
      <c r="F31" s="35">
        <v>2041</v>
      </c>
      <c r="G31" s="35">
        <f t="shared" si="0"/>
        <v>1475137</v>
      </c>
      <c r="H31" s="11">
        <v>55.5</v>
      </c>
      <c r="I31">
        <v>0</v>
      </c>
      <c r="J31">
        <f t="shared" si="1"/>
        <v>0</v>
      </c>
      <c r="L31" s="38">
        <f t="shared" si="13"/>
        <v>401158</v>
      </c>
      <c r="M31" s="38">
        <f t="shared" si="14"/>
        <v>2041</v>
      </c>
      <c r="R31" s="21">
        <f t="shared" si="10"/>
        <v>1965</v>
      </c>
      <c r="S31" s="4">
        <f t="shared" si="2"/>
        <v>401158</v>
      </c>
      <c r="T31">
        <f t="shared" si="3"/>
        <v>0</v>
      </c>
      <c r="U31">
        <f t="shared" si="4"/>
        <v>59</v>
      </c>
      <c r="V31" s="1" t="str">
        <f t="shared" si="5"/>
        <v>S2</v>
      </c>
      <c r="W31" s="2">
        <f t="shared" si="6"/>
        <v>6799.28813559322</v>
      </c>
      <c r="X31" s="2">
        <f t="shared" si="11"/>
        <v>0</v>
      </c>
      <c r="Y31" s="18">
        <f t="shared" si="7"/>
        <v>16.395076435943636</v>
      </c>
      <c r="Z31" s="18">
        <f t="shared" si="8"/>
        <v>0</v>
      </c>
      <c r="AA31" s="2">
        <f t="shared" si="12"/>
        <v>111474.84869305555</v>
      </c>
    </row>
    <row r="32" spans="1:27" ht="12.75">
      <c r="A32">
        <v>1966</v>
      </c>
      <c r="C32" s="35">
        <f t="shared" si="9"/>
        <v>1475137</v>
      </c>
      <c r="D32" s="35">
        <v>0</v>
      </c>
      <c r="E32" s="35">
        <v>185675</v>
      </c>
      <c r="F32" s="35">
        <v>3161</v>
      </c>
      <c r="G32" s="35">
        <f t="shared" si="0"/>
        <v>1657651</v>
      </c>
      <c r="H32" s="11">
        <v>54.5</v>
      </c>
      <c r="I32">
        <v>0</v>
      </c>
      <c r="J32">
        <f t="shared" si="1"/>
        <v>0</v>
      </c>
      <c r="L32" s="38">
        <f t="shared" si="13"/>
        <v>185675</v>
      </c>
      <c r="M32" s="38">
        <f t="shared" si="14"/>
        <v>3161</v>
      </c>
      <c r="R32" s="21">
        <f t="shared" si="10"/>
        <v>1966</v>
      </c>
      <c r="S32" s="4">
        <f t="shared" si="2"/>
        <v>185675</v>
      </c>
      <c r="T32">
        <f t="shared" si="3"/>
        <v>0</v>
      </c>
      <c r="U32">
        <f t="shared" si="4"/>
        <v>59</v>
      </c>
      <c r="V32" s="1" t="str">
        <f t="shared" si="5"/>
        <v>S2</v>
      </c>
      <c r="W32" s="2">
        <f t="shared" si="6"/>
        <v>3147.0338983050847</v>
      </c>
      <c r="X32" s="2">
        <f t="shared" si="11"/>
        <v>0</v>
      </c>
      <c r="Y32" s="18">
        <f t="shared" si="7"/>
        <v>16.82698385372246</v>
      </c>
      <c r="Z32" s="18">
        <f t="shared" si="8"/>
        <v>0</v>
      </c>
      <c r="AA32" s="2">
        <f t="shared" si="12"/>
        <v>52955.08859389691</v>
      </c>
    </row>
    <row r="33" spans="1:27" ht="12.75">
      <c r="A33">
        <v>1967</v>
      </c>
      <c r="C33" s="35">
        <f t="shared" si="9"/>
        <v>1657651</v>
      </c>
      <c r="D33" s="35">
        <v>0</v>
      </c>
      <c r="E33" s="35">
        <v>42318</v>
      </c>
      <c r="F33" s="35">
        <v>253</v>
      </c>
      <c r="G33" s="35">
        <f t="shared" si="0"/>
        <v>1699716</v>
      </c>
      <c r="H33" s="11">
        <v>53.5</v>
      </c>
      <c r="I33">
        <v>0</v>
      </c>
      <c r="J33">
        <f t="shared" si="1"/>
        <v>0</v>
      </c>
      <c r="L33" s="38">
        <f t="shared" si="13"/>
        <v>42318</v>
      </c>
      <c r="M33" s="38">
        <f t="shared" si="14"/>
        <v>253</v>
      </c>
      <c r="R33" s="21">
        <f t="shared" si="10"/>
        <v>1967</v>
      </c>
      <c r="S33" s="4">
        <f t="shared" si="2"/>
        <v>42318</v>
      </c>
      <c r="T33">
        <f t="shared" si="3"/>
        <v>0</v>
      </c>
      <c r="U33">
        <f t="shared" si="4"/>
        <v>59</v>
      </c>
      <c r="V33" s="1" t="str">
        <f t="shared" si="5"/>
        <v>S2</v>
      </c>
      <c r="W33" s="2">
        <f t="shared" si="6"/>
        <v>717.2542372881356</v>
      </c>
      <c r="X33" s="2">
        <f t="shared" si="11"/>
        <v>0</v>
      </c>
      <c r="Y33" s="18">
        <f t="shared" si="7"/>
        <v>17.268545138444935</v>
      </c>
      <c r="Z33" s="18">
        <f t="shared" si="8"/>
        <v>0</v>
      </c>
      <c r="AA33" s="2">
        <f t="shared" si="12"/>
        <v>12385.937172351065</v>
      </c>
    </row>
    <row r="34" spans="1:27" ht="12.75">
      <c r="A34">
        <v>1968</v>
      </c>
      <c r="C34" s="35">
        <f t="shared" si="9"/>
        <v>1699716</v>
      </c>
      <c r="D34" s="35">
        <v>0</v>
      </c>
      <c r="E34" s="35">
        <v>570758</v>
      </c>
      <c r="F34" s="35">
        <v>857</v>
      </c>
      <c r="G34" s="35">
        <f t="shared" si="0"/>
        <v>2269617</v>
      </c>
      <c r="H34" s="11">
        <v>52.5</v>
      </c>
      <c r="I34">
        <v>0</v>
      </c>
      <c r="J34">
        <f t="shared" si="1"/>
        <v>0</v>
      </c>
      <c r="L34" s="38">
        <f t="shared" si="13"/>
        <v>570758</v>
      </c>
      <c r="M34" s="38">
        <f t="shared" si="14"/>
        <v>857</v>
      </c>
      <c r="R34" s="21">
        <f t="shared" si="10"/>
        <v>1968</v>
      </c>
      <c r="S34" s="4">
        <f t="shared" si="2"/>
        <v>570758</v>
      </c>
      <c r="T34">
        <f t="shared" si="3"/>
        <v>0</v>
      </c>
      <c r="U34">
        <f t="shared" si="4"/>
        <v>59</v>
      </c>
      <c r="V34" s="1" t="str">
        <f t="shared" si="5"/>
        <v>S2</v>
      </c>
      <c r="W34" s="2">
        <f t="shared" si="6"/>
        <v>9673.864406779661</v>
      </c>
      <c r="X34" s="2">
        <f t="shared" si="11"/>
        <v>0</v>
      </c>
      <c r="Y34" s="18">
        <f t="shared" si="7"/>
        <v>17.720059882739992</v>
      </c>
      <c r="Z34" s="18">
        <f t="shared" si="8"/>
        <v>0</v>
      </c>
      <c r="AA34" s="2">
        <f t="shared" si="12"/>
        <v>171421.4565856426</v>
      </c>
    </row>
    <row r="35" spans="1:27" ht="12.75">
      <c r="A35">
        <v>1969</v>
      </c>
      <c r="C35" s="35">
        <f t="shared" si="9"/>
        <v>2269617</v>
      </c>
      <c r="D35" s="35">
        <v>0</v>
      </c>
      <c r="E35" s="35">
        <v>10242</v>
      </c>
      <c r="F35" s="35">
        <v>0</v>
      </c>
      <c r="G35" s="35">
        <f t="shared" si="0"/>
        <v>2279859</v>
      </c>
      <c r="H35" s="11">
        <v>51.5</v>
      </c>
      <c r="I35">
        <v>0</v>
      </c>
      <c r="J35">
        <f t="shared" si="1"/>
        <v>0</v>
      </c>
      <c r="L35" s="38">
        <f t="shared" si="13"/>
        <v>10242</v>
      </c>
      <c r="M35" s="38">
        <f t="shared" si="14"/>
        <v>0</v>
      </c>
      <c r="R35" s="21">
        <f t="shared" si="10"/>
        <v>1969</v>
      </c>
      <c r="S35" s="4">
        <f t="shared" si="2"/>
        <v>10242</v>
      </c>
      <c r="T35">
        <f t="shared" si="3"/>
        <v>0</v>
      </c>
      <c r="U35">
        <f t="shared" si="4"/>
        <v>59</v>
      </c>
      <c r="V35" s="1" t="str">
        <f t="shared" si="5"/>
        <v>S2</v>
      </c>
      <c r="W35" s="2">
        <f t="shared" si="6"/>
        <v>173.59322033898306</v>
      </c>
      <c r="X35" s="2">
        <f t="shared" si="11"/>
        <v>0</v>
      </c>
      <c r="Y35" s="18">
        <f t="shared" si="7"/>
        <v>18.181832640547864</v>
      </c>
      <c r="Z35" s="18">
        <f t="shared" si="8"/>
        <v>0</v>
      </c>
      <c r="AA35" s="2">
        <f t="shared" si="12"/>
        <v>3156.2428797371394</v>
      </c>
    </row>
    <row r="36" spans="1:27" ht="12.75">
      <c r="A36">
        <v>1970</v>
      </c>
      <c r="C36" s="35">
        <f t="shared" si="9"/>
        <v>2279859</v>
      </c>
      <c r="D36" s="35">
        <v>0</v>
      </c>
      <c r="E36" s="35">
        <v>30291</v>
      </c>
      <c r="F36" s="35">
        <v>0</v>
      </c>
      <c r="G36" s="35">
        <f t="shared" si="0"/>
        <v>2310150</v>
      </c>
      <c r="H36" s="11">
        <v>50.5</v>
      </c>
      <c r="I36">
        <v>0</v>
      </c>
      <c r="J36">
        <f t="shared" si="1"/>
        <v>0</v>
      </c>
      <c r="L36" s="38">
        <f t="shared" si="13"/>
        <v>30291</v>
      </c>
      <c r="M36" s="38">
        <f t="shared" si="14"/>
        <v>0</v>
      </c>
      <c r="R36" s="21">
        <f t="shared" si="10"/>
        <v>1970</v>
      </c>
      <c r="S36" s="4">
        <f t="shared" si="2"/>
        <v>30291</v>
      </c>
      <c r="T36">
        <f t="shared" si="3"/>
        <v>0</v>
      </c>
      <c r="U36">
        <f t="shared" si="4"/>
        <v>59</v>
      </c>
      <c r="V36" s="1" t="str">
        <f t="shared" si="5"/>
        <v>S2</v>
      </c>
      <c r="W36" s="2">
        <f t="shared" si="6"/>
        <v>513.4067796610169</v>
      </c>
      <c r="X36" s="2">
        <f t="shared" si="11"/>
        <v>0</v>
      </c>
      <c r="Y36" s="18">
        <f t="shared" si="7"/>
        <v>18.6541723322322</v>
      </c>
      <c r="Z36" s="18">
        <f t="shared" si="8"/>
        <v>0</v>
      </c>
      <c r="AA36" s="2">
        <f t="shared" si="12"/>
        <v>9577.178544332975</v>
      </c>
    </row>
    <row r="37" spans="1:27" ht="12.75">
      <c r="A37">
        <v>1971</v>
      </c>
      <c r="C37" s="35">
        <f t="shared" si="9"/>
        <v>2310150</v>
      </c>
      <c r="D37" s="35">
        <v>0</v>
      </c>
      <c r="E37" s="35">
        <v>390160</v>
      </c>
      <c r="F37" s="35">
        <v>2034</v>
      </c>
      <c r="G37" s="35">
        <f t="shared" si="0"/>
        <v>2698276</v>
      </c>
      <c r="H37" s="11">
        <v>49.5</v>
      </c>
      <c r="I37">
        <v>0</v>
      </c>
      <c r="J37">
        <f t="shared" si="1"/>
        <v>0</v>
      </c>
      <c r="L37" s="38">
        <f t="shared" si="13"/>
        <v>390160</v>
      </c>
      <c r="M37" s="38">
        <f t="shared" si="14"/>
        <v>2034</v>
      </c>
      <c r="R37" s="21">
        <f t="shared" si="10"/>
        <v>1971</v>
      </c>
      <c r="S37" s="4">
        <f t="shared" si="2"/>
        <v>390160</v>
      </c>
      <c r="T37">
        <f t="shared" si="3"/>
        <v>0</v>
      </c>
      <c r="U37">
        <f t="shared" si="4"/>
        <v>59</v>
      </c>
      <c r="V37" s="1" t="str">
        <f t="shared" si="5"/>
        <v>S2</v>
      </c>
      <c r="W37" s="2">
        <f t="shared" si="6"/>
        <v>6612.881355932203</v>
      </c>
      <c r="X37" s="2">
        <f t="shared" si="11"/>
        <v>0</v>
      </c>
      <c r="Y37" s="18">
        <f t="shared" si="7"/>
        <v>19.13739154681969</v>
      </c>
      <c r="Z37" s="18">
        <f t="shared" si="8"/>
        <v>0</v>
      </c>
      <c r="AA37" s="2">
        <f t="shared" si="12"/>
        <v>126553.29976113848</v>
      </c>
    </row>
    <row r="38" spans="1:27" ht="12.75">
      <c r="A38">
        <v>1972</v>
      </c>
      <c r="C38" s="35">
        <f t="shared" si="9"/>
        <v>2698276</v>
      </c>
      <c r="D38" s="35">
        <v>0</v>
      </c>
      <c r="E38" s="35">
        <v>220046</v>
      </c>
      <c r="F38" s="35">
        <v>1507</v>
      </c>
      <c r="G38" s="35">
        <f t="shared" si="0"/>
        <v>2916815</v>
      </c>
      <c r="H38" s="11">
        <v>48.5</v>
      </c>
      <c r="I38">
        <v>0</v>
      </c>
      <c r="J38">
        <f t="shared" si="1"/>
        <v>0</v>
      </c>
      <c r="L38" s="38">
        <f t="shared" si="13"/>
        <v>220046</v>
      </c>
      <c r="M38" s="38">
        <f t="shared" si="14"/>
        <v>1507</v>
      </c>
      <c r="R38" s="21">
        <f t="shared" si="10"/>
        <v>1972</v>
      </c>
      <c r="S38" s="4">
        <f aca="true" t="shared" si="15" ref="S38:S68">E38</f>
        <v>220046</v>
      </c>
      <c r="T38">
        <f aca="true" t="shared" si="16" ref="T38:T68">IF(D38&gt;0,IF(J38&gt;0,D38,0),0)</f>
        <v>0</v>
      </c>
      <c r="U38">
        <f aca="true" t="shared" si="17" ref="U38:U86">$V$94</f>
        <v>59</v>
      </c>
      <c r="V38" s="1" t="str">
        <f aca="true" t="shared" si="18" ref="V38:V86">$V$93</f>
        <v>S2</v>
      </c>
      <c r="W38" s="2">
        <f aca="true" t="shared" si="19" ref="W38:W68">S38/U38</f>
        <v>3729.593220338983</v>
      </c>
      <c r="X38" s="2">
        <f t="shared" si="11"/>
        <v>0</v>
      </c>
      <c r="Y38" s="18">
        <f aca="true" t="shared" si="20" ref="Y38:Y66">Prob_life(V38,H38,U38)</f>
        <v>19.63180573163031</v>
      </c>
      <c r="Z38" s="18">
        <f aca="true" t="shared" si="21" ref="Z38:Z68">IF(J38&gt;0,Prob_life(V38,J38+0.5,U38),0)</f>
        <v>0</v>
      </c>
      <c r="AA38" s="2">
        <f t="shared" si="12"/>
        <v>73218.64955970038</v>
      </c>
    </row>
    <row r="39" spans="1:27" ht="12.75">
      <c r="A39">
        <v>1973</v>
      </c>
      <c r="C39" s="35">
        <f t="shared" si="9"/>
        <v>2916815</v>
      </c>
      <c r="D39" s="35">
        <v>0</v>
      </c>
      <c r="E39" s="35">
        <v>20159</v>
      </c>
      <c r="F39" s="35">
        <v>16495</v>
      </c>
      <c r="G39" s="35">
        <f t="shared" si="0"/>
        <v>2920479</v>
      </c>
      <c r="H39" s="11">
        <v>47.5</v>
      </c>
      <c r="I39">
        <v>0</v>
      </c>
      <c r="J39">
        <f t="shared" si="1"/>
        <v>0</v>
      </c>
      <c r="L39" s="38">
        <f t="shared" si="13"/>
        <v>20159</v>
      </c>
      <c r="M39" s="38">
        <f t="shared" si="14"/>
        <v>16495</v>
      </c>
      <c r="R39" s="21">
        <f t="shared" si="10"/>
        <v>1973</v>
      </c>
      <c r="S39" s="4">
        <f t="shared" si="15"/>
        <v>20159</v>
      </c>
      <c r="T39">
        <f t="shared" si="16"/>
        <v>0</v>
      </c>
      <c r="U39">
        <f t="shared" si="17"/>
        <v>59</v>
      </c>
      <c r="V39" s="1" t="str">
        <f t="shared" si="18"/>
        <v>S2</v>
      </c>
      <c r="W39" s="2">
        <f t="shared" si="19"/>
        <v>341.6779661016949</v>
      </c>
      <c r="X39" s="2">
        <f t="shared" si="11"/>
        <v>0</v>
      </c>
      <c r="Y39" s="18">
        <f t="shared" si="20"/>
        <v>20.137732259224666</v>
      </c>
      <c r="Z39" s="18">
        <f t="shared" si="21"/>
        <v>0</v>
      </c>
      <c r="AA39" s="2">
        <f t="shared" si="12"/>
        <v>6880.619400232374</v>
      </c>
    </row>
    <row r="40" spans="1:27" ht="12.75">
      <c r="A40">
        <v>1974</v>
      </c>
      <c r="C40" s="35">
        <f t="shared" si="9"/>
        <v>2920479</v>
      </c>
      <c r="D40" s="35">
        <v>0</v>
      </c>
      <c r="E40" s="35">
        <v>155219</v>
      </c>
      <c r="F40" s="35">
        <v>1027</v>
      </c>
      <c r="G40" s="35">
        <f t="shared" si="0"/>
        <v>3074671</v>
      </c>
      <c r="H40" s="11">
        <v>46.5</v>
      </c>
      <c r="I40">
        <v>0</v>
      </c>
      <c r="J40">
        <f t="shared" si="1"/>
        <v>0</v>
      </c>
      <c r="L40" s="38">
        <f t="shared" si="13"/>
        <v>155219</v>
      </c>
      <c r="M40" s="38">
        <f t="shared" si="14"/>
        <v>1027</v>
      </c>
      <c r="R40" s="21">
        <f t="shared" si="10"/>
        <v>1974</v>
      </c>
      <c r="S40" s="4">
        <f t="shared" si="15"/>
        <v>155219</v>
      </c>
      <c r="T40">
        <f t="shared" si="16"/>
        <v>0</v>
      </c>
      <c r="U40">
        <f t="shared" si="17"/>
        <v>59</v>
      </c>
      <c r="V40" s="1" t="str">
        <f t="shared" si="18"/>
        <v>S2</v>
      </c>
      <c r="W40" s="2">
        <f t="shared" si="19"/>
        <v>2630.830508474576</v>
      </c>
      <c r="X40" s="2">
        <f t="shared" si="11"/>
        <v>0</v>
      </c>
      <c r="Y40" s="18">
        <f t="shared" si="20"/>
        <v>20.655489361364367</v>
      </c>
      <c r="Z40" s="18">
        <f t="shared" si="21"/>
        <v>0</v>
      </c>
      <c r="AA40" s="2">
        <f t="shared" si="12"/>
        <v>54341.09157934941</v>
      </c>
    </row>
    <row r="41" spans="1:27" ht="12.75">
      <c r="A41">
        <v>1975</v>
      </c>
      <c r="C41" s="35">
        <f t="shared" si="9"/>
        <v>3074671</v>
      </c>
      <c r="D41" s="35">
        <v>0</v>
      </c>
      <c r="E41" s="35">
        <v>1038377</v>
      </c>
      <c r="F41" s="35">
        <v>2117</v>
      </c>
      <c r="G41" s="35">
        <f t="shared" si="0"/>
        <v>4110931</v>
      </c>
      <c r="H41" s="11">
        <v>45.5</v>
      </c>
      <c r="I41">
        <v>0</v>
      </c>
      <c r="J41">
        <f t="shared" si="1"/>
        <v>0</v>
      </c>
      <c r="L41" s="38">
        <f t="shared" si="13"/>
        <v>1038377</v>
      </c>
      <c r="M41" s="38">
        <f t="shared" si="14"/>
        <v>2117</v>
      </c>
      <c r="R41" s="21">
        <f t="shared" si="10"/>
        <v>1975</v>
      </c>
      <c r="S41" s="4">
        <f t="shared" si="15"/>
        <v>1038377</v>
      </c>
      <c r="T41">
        <f t="shared" si="16"/>
        <v>0</v>
      </c>
      <c r="U41">
        <f t="shared" si="17"/>
        <v>59</v>
      </c>
      <c r="V41" s="1" t="str">
        <f t="shared" si="18"/>
        <v>S2</v>
      </c>
      <c r="W41" s="2">
        <f t="shared" si="19"/>
        <v>17599.610169491527</v>
      </c>
      <c r="X41" s="2">
        <f t="shared" si="11"/>
        <v>0</v>
      </c>
      <c r="Y41" s="18">
        <f t="shared" si="20"/>
        <v>21.185394919589648</v>
      </c>
      <c r="Z41" s="18">
        <f t="shared" si="21"/>
        <v>0</v>
      </c>
      <c r="AA41" s="2">
        <f t="shared" si="12"/>
        <v>372854.69187150407</v>
      </c>
    </row>
    <row r="42" spans="1:27" ht="12.75">
      <c r="A42">
        <v>1976</v>
      </c>
      <c r="C42" s="35">
        <f t="shared" si="9"/>
        <v>4110931</v>
      </c>
      <c r="D42" s="35">
        <v>0</v>
      </c>
      <c r="E42" s="35">
        <v>667139</v>
      </c>
      <c r="F42" s="35">
        <v>20496</v>
      </c>
      <c r="G42" s="35">
        <f t="shared" si="0"/>
        <v>4757574</v>
      </c>
      <c r="H42" s="11">
        <v>44.5</v>
      </c>
      <c r="I42">
        <v>0</v>
      </c>
      <c r="J42">
        <f t="shared" si="1"/>
        <v>0</v>
      </c>
      <c r="L42" s="38">
        <f t="shared" si="13"/>
        <v>667139</v>
      </c>
      <c r="M42" s="38">
        <f t="shared" si="14"/>
        <v>20496</v>
      </c>
      <c r="R42" s="21">
        <f t="shared" si="10"/>
        <v>1976</v>
      </c>
      <c r="S42" s="4">
        <f t="shared" si="15"/>
        <v>667139</v>
      </c>
      <c r="T42">
        <f t="shared" si="16"/>
        <v>0</v>
      </c>
      <c r="U42">
        <f t="shared" si="17"/>
        <v>59</v>
      </c>
      <c r="V42" s="1" t="str">
        <f t="shared" si="18"/>
        <v>S2</v>
      </c>
      <c r="W42" s="2">
        <f t="shared" si="19"/>
        <v>11307.440677966102</v>
      </c>
      <c r="X42" s="2">
        <f t="shared" si="11"/>
        <v>0</v>
      </c>
      <c r="Y42" s="18">
        <f t="shared" si="20"/>
        <v>21.72776510210279</v>
      </c>
      <c r="Z42" s="18">
        <f t="shared" si="21"/>
        <v>0</v>
      </c>
      <c r="AA42" s="2">
        <f t="shared" si="12"/>
        <v>245685.4149568094</v>
      </c>
    </row>
    <row r="43" spans="1:27" ht="12.75">
      <c r="A43">
        <v>1977</v>
      </c>
      <c r="C43" s="35">
        <f t="shared" si="9"/>
        <v>4757574</v>
      </c>
      <c r="D43" s="35">
        <v>0</v>
      </c>
      <c r="E43" s="35">
        <v>32582</v>
      </c>
      <c r="F43" s="35">
        <v>3803</v>
      </c>
      <c r="G43" s="35">
        <f t="shared" si="0"/>
        <v>4786353</v>
      </c>
      <c r="H43" s="11">
        <v>43.5</v>
      </c>
      <c r="I43">
        <v>0</v>
      </c>
      <c r="J43">
        <f t="shared" si="1"/>
        <v>0</v>
      </c>
      <c r="L43" s="38">
        <f t="shared" si="13"/>
        <v>32582</v>
      </c>
      <c r="M43" s="38">
        <f t="shared" si="14"/>
        <v>3803</v>
      </c>
      <c r="R43" s="21">
        <f t="shared" si="10"/>
        <v>1977</v>
      </c>
      <c r="S43" s="4">
        <f t="shared" si="15"/>
        <v>32582</v>
      </c>
      <c r="T43">
        <f t="shared" si="16"/>
        <v>0</v>
      </c>
      <c r="U43">
        <f t="shared" si="17"/>
        <v>59</v>
      </c>
      <c r="V43" s="1" t="str">
        <f t="shared" si="18"/>
        <v>S2</v>
      </c>
      <c r="W43" s="2">
        <f t="shared" si="19"/>
        <v>552.2372881355932</v>
      </c>
      <c r="X43" s="2">
        <f t="shared" si="11"/>
        <v>0</v>
      </c>
      <c r="Y43" s="18">
        <f t="shared" si="20"/>
        <v>22.282912836950292</v>
      </c>
      <c r="Z43" s="18">
        <f t="shared" si="21"/>
        <v>0</v>
      </c>
      <c r="AA43" s="2">
        <f t="shared" si="12"/>
        <v>12305.455356839226</v>
      </c>
    </row>
    <row r="44" spans="1:27" ht="12.75">
      <c r="A44">
        <v>1978</v>
      </c>
      <c r="C44" s="35">
        <f t="shared" si="9"/>
        <v>4786353</v>
      </c>
      <c r="D44" s="35">
        <v>0</v>
      </c>
      <c r="E44" s="35">
        <v>351269</v>
      </c>
      <c r="F44" s="35">
        <v>0</v>
      </c>
      <c r="G44" s="35">
        <f t="shared" si="0"/>
        <v>5137622</v>
      </c>
      <c r="H44" s="11">
        <v>42.5</v>
      </c>
      <c r="I44">
        <v>0</v>
      </c>
      <c r="J44">
        <f t="shared" si="1"/>
        <v>0</v>
      </c>
      <c r="L44" s="38">
        <f t="shared" si="13"/>
        <v>351269</v>
      </c>
      <c r="M44" s="38">
        <f t="shared" si="14"/>
        <v>0</v>
      </c>
      <c r="R44" s="21">
        <f t="shared" si="10"/>
        <v>1978</v>
      </c>
      <c r="S44" s="4">
        <f t="shared" si="15"/>
        <v>351269</v>
      </c>
      <c r="T44">
        <f t="shared" si="16"/>
        <v>0</v>
      </c>
      <c r="U44">
        <f t="shared" si="17"/>
        <v>59</v>
      </c>
      <c r="V44" s="1" t="str">
        <f t="shared" si="18"/>
        <v>S2</v>
      </c>
      <c r="W44" s="2">
        <f t="shared" si="19"/>
        <v>5953.71186440678</v>
      </c>
      <c r="X44" s="2">
        <f t="shared" si="11"/>
        <v>0</v>
      </c>
      <c r="Y44" s="18">
        <f t="shared" si="20"/>
        <v>22.851146112067465</v>
      </c>
      <c r="Z44" s="18">
        <f t="shared" si="21"/>
        <v>0</v>
      </c>
      <c r="AA44" s="2">
        <f t="shared" si="12"/>
        <v>136049.1397227089</v>
      </c>
    </row>
    <row r="45" spans="1:27" ht="12.75">
      <c r="A45">
        <v>1979</v>
      </c>
      <c r="C45" s="35">
        <f t="shared" si="9"/>
        <v>5137622</v>
      </c>
      <c r="D45" s="35">
        <v>0</v>
      </c>
      <c r="E45" s="35">
        <v>157163</v>
      </c>
      <c r="F45" s="35">
        <v>49379</v>
      </c>
      <c r="G45" s="35">
        <f t="shared" si="0"/>
        <v>5245406</v>
      </c>
      <c r="H45" s="11">
        <v>41.5</v>
      </c>
      <c r="I45">
        <v>0</v>
      </c>
      <c r="J45">
        <f t="shared" si="1"/>
        <v>0</v>
      </c>
      <c r="L45" s="38">
        <f t="shared" si="13"/>
        <v>157163</v>
      </c>
      <c r="M45" s="38">
        <f t="shared" si="14"/>
        <v>49379</v>
      </c>
      <c r="R45" s="21">
        <f t="shared" si="10"/>
        <v>1979</v>
      </c>
      <c r="S45" s="4">
        <f t="shared" si="15"/>
        <v>157163</v>
      </c>
      <c r="T45">
        <f t="shared" si="16"/>
        <v>0</v>
      </c>
      <c r="U45">
        <f t="shared" si="17"/>
        <v>59</v>
      </c>
      <c r="V45" s="1" t="str">
        <f t="shared" si="18"/>
        <v>S2</v>
      </c>
      <c r="W45" s="2">
        <f t="shared" si="19"/>
        <v>2663.7796610169494</v>
      </c>
      <c r="X45" s="2">
        <f t="shared" si="11"/>
        <v>0</v>
      </c>
      <c r="Y45" s="18">
        <f t="shared" si="20"/>
        <v>23.432766093645114</v>
      </c>
      <c r="Z45" s="18">
        <f t="shared" si="21"/>
        <v>0</v>
      </c>
      <c r="AA45" s="2">
        <f t="shared" si="12"/>
        <v>62419.72572161945</v>
      </c>
    </row>
    <row r="46" spans="1:27" ht="12.75">
      <c r="A46">
        <v>1980</v>
      </c>
      <c r="C46" s="35">
        <f t="shared" si="9"/>
        <v>5245406</v>
      </c>
      <c r="D46" s="35">
        <v>0</v>
      </c>
      <c r="E46" s="35">
        <v>637037</v>
      </c>
      <c r="F46" s="35">
        <v>55435</v>
      </c>
      <c r="G46" s="35">
        <f t="shared" si="0"/>
        <v>5827008</v>
      </c>
      <c r="H46" s="11">
        <v>40.5</v>
      </c>
      <c r="I46">
        <v>0</v>
      </c>
      <c r="J46">
        <f t="shared" si="1"/>
        <v>0</v>
      </c>
      <c r="L46" s="38">
        <f t="shared" si="13"/>
        <v>637037</v>
      </c>
      <c r="M46" s="38">
        <f t="shared" si="14"/>
        <v>55435</v>
      </c>
      <c r="R46" s="21">
        <f t="shared" si="10"/>
        <v>1980</v>
      </c>
      <c r="S46" s="4">
        <f t="shared" si="15"/>
        <v>637037</v>
      </c>
      <c r="T46">
        <f t="shared" si="16"/>
        <v>0</v>
      </c>
      <c r="U46">
        <f t="shared" si="17"/>
        <v>59</v>
      </c>
      <c r="V46" s="1" t="str">
        <f t="shared" si="18"/>
        <v>S2</v>
      </c>
      <c r="W46" s="2">
        <f t="shared" si="19"/>
        <v>10797.237288135593</v>
      </c>
      <c r="X46" s="2">
        <f t="shared" si="11"/>
        <v>0</v>
      </c>
      <c r="Y46" s="18">
        <f t="shared" si="20"/>
        <v>24.02806505555422</v>
      </c>
      <c r="Z46" s="18">
        <f t="shared" si="21"/>
        <v>0</v>
      </c>
      <c r="AA46" s="2">
        <f t="shared" si="12"/>
        <v>259436.71997957784</v>
      </c>
    </row>
    <row r="47" spans="1:27" ht="12.75">
      <c r="A47">
        <v>1981</v>
      </c>
      <c r="C47" s="35">
        <f t="shared" si="9"/>
        <v>5827008</v>
      </c>
      <c r="D47" s="35">
        <v>0</v>
      </c>
      <c r="E47" s="35">
        <v>94865</v>
      </c>
      <c r="F47" s="35">
        <v>6555</v>
      </c>
      <c r="G47" s="35">
        <f t="shared" si="0"/>
        <v>5915318</v>
      </c>
      <c r="H47" s="11">
        <v>39.5</v>
      </c>
      <c r="I47">
        <v>0</v>
      </c>
      <c r="J47">
        <f t="shared" si="1"/>
        <v>0</v>
      </c>
      <c r="L47" s="38">
        <f t="shared" si="13"/>
        <v>94865</v>
      </c>
      <c r="M47" s="38">
        <f t="shared" si="14"/>
        <v>6555</v>
      </c>
      <c r="R47" s="21">
        <f t="shared" si="10"/>
        <v>1981</v>
      </c>
      <c r="S47" s="4">
        <f t="shared" si="15"/>
        <v>94865</v>
      </c>
      <c r="T47">
        <f t="shared" si="16"/>
        <v>0</v>
      </c>
      <c r="U47">
        <f t="shared" si="17"/>
        <v>59</v>
      </c>
      <c r="V47" s="1" t="str">
        <f t="shared" si="18"/>
        <v>S2</v>
      </c>
      <c r="W47" s="2">
        <f t="shared" si="19"/>
        <v>1607.8813559322034</v>
      </c>
      <c r="X47" s="2">
        <f t="shared" si="11"/>
        <v>0</v>
      </c>
      <c r="Y47" s="18">
        <f t="shared" si="20"/>
        <v>24.637324114289402</v>
      </c>
      <c r="Z47" s="18">
        <f t="shared" si="21"/>
        <v>0</v>
      </c>
      <c r="AA47" s="2">
        <f t="shared" si="12"/>
        <v>39613.89410342482</v>
      </c>
    </row>
    <row r="48" spans="1:27" ht="12.75">
      <c r="A48">
        <v>1982</v>
      </c>
      <c r="C48" s="35">
        <f t="shared" si="9"/>
        <v>5915318</v>
      </c>
      <c r="D48" s="35">
        <v>0</v>
      </c>
      <c r="E48" s="35">
        <v>67797</v>
      </c>
      <c r="F48" s="35">
        <v>0</v>
      </c>
      <c r="G48" s="35">
        <f t="shared" si="0"/>
        <v>5983115</v>
      </c>
      <c r="H48" s="11">
        <v>38.5</v>
      </c>
      <c r="I48">
        <v>0</v>
      </c>
      <c r="J48">
        <f t="shared" si="1"/>
        <v>0</v>
      </c>
      <c r="L48" s="38">
        <f t="shared" si="13"/>
        <v>67797</v>
      </c>
      <c r="M48" s="38">
        <f t="shared" si="14"/>
        <v>0</v>
      </c>
      <c r="R48" s="21">
        <f t="shared" si="10"/>
        <v>1982</v>
      </c>
      <c r="S48" s="4">
        <f t="shared" si="15"/>
        <v>67797</v>
      </c>
      <c r="T48">
        <f t="shared" si="16"/>
        <v>0</v>
      </c>
      <c r="U48">
        <f t="shared" si="17"/>
        <v>59</v>
      </c>
      <c r="V48" s="1" t="str">
        <f t="shared" si="18"/>
        <v>S2</v>
      </c>
      <c r="W48" s="2">
        <f t="shared" si="19"/>
        <v>1149.1016949152543</v>
      </c>
      <c r="X48" s="2">
        <f t="shared" si="11"/>
        <v>0</v>
      </c>
      <c r="Y48" s="18">
        <f t="shared" si="20"/>
        <v>25.260810766133748</v>
      </c>
      <c r="Z48" s="18">
        <f t="shared" si="21"/>
        <v>0</v>
      </c>
      <c r="AA48" s="2">
        <f t="shared" si="12"/>
        <v>29027.240466297793</v>
      </c>
    </row>
    <row r="49" spans="1:27" ht="12.75">
      <c r="A49">
        <v>1983</v>
      </c>
      <c r="C49" s="35">
        <f t="shared" si="9"/>
        <v>5983115</v>
      </c>
      <c r="D49" s="35">
        <v>0</v>
      </c>
      <c r="E49" s="35">
        <v>100369</v>
      </c>
      <c r="F49" s="35">
        <v>1955</v>
      </c>
      <c r="G49" s="35">
        <f t="shared" si="0"/>
        <v>6081529</v>
      </c>
      <c r="H49" s="11">
        <v>37.5</v>
      </c>
      <c r="I49">
        <v>0</v>
      </c>
      <c r="J49">
        <f t="shared" si="1"/>
        <v>0</v>
      </c>
      <c r="L49" s="38">
        <f t="shared" si="13"/>
        <v>100369</v>
      </c>
      <c r="M49" s="38">
        <f t="shared" si="14"/>
        <v>1955</v>
      </c>
      <c r="R49" s="21">
        <f t="shared" si="10"/>
        <v>1983</v>
      </c>
      <c r="S49" s="4">
        <f t="shared" si="15"/>
        <v>100369</v>
      </c>
      <c r="T49">
        <f t="shared" si="16"/>
        <v>0</v>
      </c>
      <c r="U49">
        <f t="shared" si="17"/>
        <v>59</v>
      </c>
      <c r="V49" s="1" t="str">
        <f t="shared" si="18"/>
        <v>S2</v>
      </c>
      <c r="W49" s="2">
        <f t="shared" si="19"/>
        <v>1701.1694915254238</v>
      </c>
      <c r="X49" s="2">
        <f t="shared" si="11"/>
        <v>0</v>
      </c>
      <c r="Y49" s="18">
        <f t="shared" si="20"/>
        <v>25.898776226076414</v>
      </c>
      <c r="Z49" s="18">
        <f t="shared" si="21"/>
        <v>0</v>
      </c>
      <c r="AA49" s="2">
        <f t="shared" si="12"/>
        <v>44058.20798364515</v>
      </c>
    </row>
    <row r="50" spans="1:27" ht="12.75">
      <c r="A50">
        <v>1984</v>
      </c>
      <c r="C50" s="35">
        <f t="shared" si="9"/>
        <v>6081529</v>
      </c>
      <c r="D50" s="35">
        <v>0</v>
      </c>
      <c r="E50" s="35">
        <v>124371</v>
      </c>
      <c r="F50" s="35">
        <v>4268</v>
      </c>
      <c r="G50" s="35">
        <f t="shared" si="0"/>
        <v>6201632</v>
      </c>
      <c r="H50" s="11">
        <v>36.5</v>
      </c>
      <c r="I50">
        <v>0</v>
      </c>
      <c r="J50">
        <f t="shared" si="1"/>
        <v>0</v>
      </c>
      <c r="L50" s="38">
        <f t="shared" si="13"/>
        <v>124371</v>
      </c>
      <c r="M50" s="38">
        <f t="shared" si="14"/>
        <v>4268</v>
      </c>
      <c r="R50" s="21">
        <f t="shared" si="10"/>
        <v>1984</v>
      </c>
      <c r="S50" s="4">
        <f t="shared" si="15"/>
        <v>124371</v>
      </c>
      <c r="T50">
        <f t="shared" si="16"/>
        <v>0</v>
      </c>
      <c r="U50">
        <f t="shared" si="17"/>
        <v>59</v>
      </c>
      <c r="V50" s="1" t="str">
        <f t="shared" si="18"/>
        <v>S2</v>
      </c>
      <c r="W50" s="2">
        <f t="shared" si="19"/>
        <v>2107.9830508474574</v>
      </c>
      <c r="X50" s="2">
        <f t="shared" si="11"/>
        <v>0</v>
      </c>
      <c r="Y50" s="18">
        <f t="shared" si="20"/>
        <v>26.551452571503926</v>
      </c>
      <c r="Z50" s="18">
        <f t="shared" si="21"/>
        <v>0</v>
      </c>
      <c r="AA50" s="2">
        <f t="shared" si="12"/>
        <v>55970.011996110414</v>
      </c>
    </row>
    <row r="51" spans="1:27" ht="12.75">
      <c r="A51">
        <v>1985</v>
      </c>
      <c r="C51" s="35">
        <f t="shared" si="9"/>
        <v>6201632</v>
      </c>
      <c r="D51" s="35">
        <v>0</v>
      </c>
      <c r="E51" s="35">
        <v>920732</v>
      </c>
      <c r="F51" s="35">
        <v>68009</v>
      </c>
      <c r="G51" s="35">
        <f t="shared" si="0"/>
        <v>7054355</v>
      </c>
      <c r="H51" s="11">
        <v>35.5</v>
      </c>
      <c r="I51">
        <v>0</v>
      </c>
      <c r="J51">
        <f t="shared" si="1"/>
        <v>0</v>
      </c>
      <c r="L51" s="38">
        <f t="shared" si="13"/>
        <v>920732</v>
      </c>
      <c r="M51" s="38">
        <f t="shared" si="14"/>
        <v>68009</v>
      </c>
      <c r="R51" s="21">
        <f t="shared" si="10"/>
        <v>1985</v>
      </c>
      <c r="S51" s="4">
        <f t="shared" si="15"/>
        <v>920732</v>
      </c>
      <c r="T51">
        <f t="shared" si="16"/>
        <v>0</v>
      </c>
      <c r="U51">
        <f t="shared" si="17"/>
        <v>59</v>
      </c>
      <c r="V51" s="1" t="str">
        <f t="shared" si="18"/>
        <v>S2</v>
      </c>
      <c r="W51" s="2">
        <f t="shared" si="19"/>
        <v>15605.627118644068</v>
      </c>
      <c r="X51" s="2">
        <f t="shared" si="11"/>
        <v>0</v>
      </c>
      <c r="Y51" s="18">
        <f t="shared" si="20"/>
        <v>27.21904969790493</v>
      </c>
      <c r="Z51" s="18">
        <f t="shared" si="21"/>
        <v>0</v>
      </c>
      <c r="AA51" s="2">
        <f t="shared" si="12"/>
        <v>424770.3401093458</v>
      </c>
    </row>
    <row r="52" spans="1:27" ht="12.75">
      <c r="A52">
        <v>1986</v>
      </c>
      <c r="C52" s="35">
        <f aca="true" t="shared" si="22" ref="C52:C68">G51</f>
        <v>7054355</v>
      </c>
      <c r="D52" s="35">
        <f>22818</f>
        <v>22818</v>
      </c>
      <c r="E52" s="35">
        <f>823193-799439+632942</f>
        <v>656696</v>
      </c>
      <c r="F52" s="35">
        <f>7639-6833+5204</f>
        <v>6010</v>
      </c>
      <c r="G52" s="35">
        <f aca="true" t="shared" si="23" ref="G52:G68">C52+D52+E52-F52</f>
        <v>7727859</v>
      </c>
      <c r="H52" s="11">
        <v>34.5</v>
      </c>
      <c r="I52">
        <v>0</v>
      </c>
      <c r="J52">
        <f>IF(I52=0,0,ROUND((I52/D52/$G$94)+H52,1))</f>
        <v>0</v>
      </c>
      <c r="L52" s="38">
        <f t="shared" si="13"/>
        <v>679514</v>
      </c>
      <c r="M52" s="38">
        <f t="shared" si="14"/>
        <v>6010</v>
      </c>
      <c r="R52" s="21">
        <f t="shared" si="10"/>
        <v>1986</v>
      </c>
      <c r="S52" s="4">
        <f t="shared" si="15"/>
        <v>656696</v>
      </c>
      <c r="T52">
        <f t="shared" si="16"/>
        <v>0</v>
      </c>
      <c r="U52">
        <f t="shared" si="17"/>
        <v>59</v>
      </c>
      <c r="V52" s="1" t="str">
        <f t="shared" si="18"/>
        <v>S2</v>
      </c>
      <c r="W52" s="2">
        <f t="shared" si="19"/>
        <v>11130.440677966102</v>
      </c>
      <c r="X52" s="2">
        <f t="shared" si="11"/>
        <v>0</v>
      </c>
      <c r="Y52" s="18">
        <f t="shared" si="20"/>
        <v>27.9017520988384</v>
      </c>
      <c r="Z52" s="18">
        <f t="shared" si="21"/>
        <v>0</v>
      </c>
      <c r="AA52" s="2">
        <f t="shared" si="12"/>
        <v>310558.796547437</v>
      </c>
    </row>
    <row r="53" spans="1:27" ht="12.75">
      <c r="A53">
        <v>1987</v>
      </c>
      <c r="C53" s="35">
        <f t="shared" si="22"/>
        <v>7727859</v>
      </c>
      <c r="D53" s="35">
        <v>-52209</v>
      </c>
      <c r="E53" s="35">
        <f>929923-632942+123015</f>
        <v>419996</v>
      </c>
      <c r="F53" s="35">
        <f>38065-5204+4297</f>
        <v>37158</v>
      </c>
      <c r="G53" s="35">
        <f t="shared" si="23"/>
        <v>8058488</v>
      </c>
      <c r="H53" s="11">
        <v>33.5</v>
      </c>
      <c r="I53">
        <v>0</v>
      </c>
      <c r="J53">
        <f aca="true" t="shared" si="24" ref="J53:J68">IF(I53=0,0,ROUND((I53/D53/$G$94)+H53,1))</f>
        <v>0</v>
      </c>
      <c r="L53" s="38">
        <f t="shared" si="13"/>
        <v>367787</v>
      </c>
      <c r="M53" s="38">
        <f t="shared" si="14"/>
        <v>37158</v>
      </c>
      <c r="R53" s="21">
        <f t="shared" si="10"/>
        <v>1987</v>
      </c>
      <c r="S53" s="4">
        <f t="shared" si="15"/>
        <v>419996</v>
      </c>
      <c r="T53">
        <f t="shared" si="16"/>
        <v>0</v>
      </c>
      <c r="U53">
        <f t="shared" si="17"/>
        <v>59</v>
      </c>
      <c r="V53" s="1" t="str">
        <f t="shared" si="18"/>
        <v>S2</v>
      </c>
      <c r="W53" s="2">
        <f t="shared" si="19"/>
        <v>7118.576271186441</v>
      </c>
      <c r="X53" s="2">
        <f t="shared" si="11"/>
        <v>0</v>
      </c>
      <c r="Y53" s="18">
        <f t="shared" si="20"/>
        <v>28.599715488272082</v>
      </c>
      <c r="Z53" s="18">
        <f t="shared" si="21"/>
        <v>0</v>
      </c>
      <c r="AA53" s="2">
        <f t="shared" si="12"/>
        <v>203589.256037497</v>
      </c>
    </row>
    <row r="54" spans="1:27" ht="12.75">
      <c r="A54">
        <v>1988</v>
      </c>
      <c r="C54" s="35">
        <f t="shared" si="22"/>
        <v>8058488</v>
      </c>
      <c r="D54" s="35">
        <f>52209-52209</f>
        <v>0</v>
      </c>
      <c r="E54" s="35">
        <f>260226-123015+270208</f>
        <v>407419</v>
      </c>
      <c r="F54" s="35">
        <f>4668-4297+25268</f>
        <v>25639</v>
      </c>
      <c r="G54" s="35">
        <f t="shared" si="23"/>
        <v>8440268</v>
      </c>
      <c r="H54" s="11">
        <v>32.5</v>
      </c>
      <c r="J54">
        <f t="shared" si="24"/>
        <v>0</v>
      </c>
      <c r="L54" s="38">
        <f t="shared" si="13"/>
        <v>407419</v>
      </c>
      <c r="M54" s="38">
        <f t="shared" si="14"/>
        <v>25639</v>
      </c>
      <c r="R54" s="21">
        <f t="shared" si="10"/>
        <v>1988</v>
      </c>
      <c r="S54" s="4">
        <f t="shared" si="15"/>
        <v>407419</v>
      </c>
      <c r="T54">
        <f t="shared" si="16"/>
        <v>0</v>
      </c>
      <c r="U54">
        <f t="shared" si="17"/>
        <v>59</v>
      </c>
      <c r="V54" s="1" t="str">
        <f t="shared" si="18"/>
        <v>S2</v>
      </c>
      <c r="W54" s="2">
        <f t="shared" si="19"/>
        <v>6905.406779661017</v>
      </c>
      <c r="X54" s="2">
        <f t="shared" si="11"/>
        <v>0</v>
      </c>
      <c r="Y54" s="18">
        <f t="shared" si="20"/>
        <v>29.313063290133165</v>
      </c>
      <c r="Z54" s="18">
        <f t="shared" si="21"/>
        <v>0</v>
      </c>
      <c r="AA54" s="2">
        <f t="shared" si="12"/>
        <v>202418.62597631803</v>
      </c>
    </row>
    <row r="55" spans="1:27" ht="12.75">
      <c r="A55">
        <v>1989</v>
      </c>
      <c r="C55" s="35">
        <f t="shared" si="22"/>
        <v>8440268</v>
      </c>
      <c r="D55" s="35">
        <v>171586</v>
      </c>
      <c r="E55" s="35">
        <f>681931-270208+991868</f>
        <v>1403591</v>
      </c>
      <c r="F55" s="35">
        <f>35955-25268+80412</f>
        <v>91099</v>
      </c>
      <c r="G55" s="35">
        <f t="shared" si="23"/>
        <v>9924346</v>
      </c>
      <c r="H55" s="11">
        <v>31.5</v>
      </c>
      <c r="I55">
        <v>83865</v>
      </c>
      <c r="J55">
        <f t="shared" si="24"/>
        <v>48.4</v>
      </c>
      <c r="L55" s="38">
        <f t="shared" si="13"/>
        <v>1575177</v>
      </c>
      <c r="M55" s="38">
        <f t="shared" si="14"/>
        <v>91099</v>
      </c>
      <c r="R55" s="21">
        <f t="shared" si="10"/>
        <v>1989</v>
      </c>
      <c r="S55" s="4">
        <f t="shared" si="15"/>
        <v>1403591</v>
      </c>
      <c r="T55">
        <f t="shared" si="16"/>
        <v>171586</v>
      </c>
      <c r="U55">
        <f t="shared" si="17"/>
        <v>59</v>
      </c>
      <c r="V55" s="1" t="str">
        <f t="shared" si="18"/>
        <v>S2</v>
      </c>
      <c r="W55" s="2">
        <f t="shared" si="19"/>
        <v>23789.677966101695</v>
      </c>
      <c r="X55" s="2">
        <f t="shared" si="11"/>
        <v>2908.237288135593</v>
      </c>
      <c r="Y55" s="18">
        <f t="shared" si="20"/>
        <v>30.04188302754199</v>
      </c>
      <c r="Z55" s="18">
        <f t="shared" si="21"/>
        <v>0</v>
      </c>
      <c r="AA55" s="2">
        <f t="shared" si="12"/>
        <v>714686.7227205201</v>
      </c>
    </row>
    <row r="56" spans="1:27" ht="12.75">
      <c r="A56">
        <v>1990</v>
      </c>
      <c r="C56" s="35">
        <f t="shared" si="22"/>
        <v>9924346</v>
      </c>
      <c r="D56" s="35">
        <f>137423-171586</f>
        <v>-34163</v>
      </c>
      <c r="E56" s="35">
        <f>1218403-991868+183094</f>
        <v>409629</v>
      </c>
      <c r="F56" s="35">
        <f>128411-80412+7173</f>
        <v>55172</v>
      </c>
      <c r="G56" s="35">
        <f t="shared" si="23"/>
        <v>10244640</v>
      </c>
      <c r="H56" s="11">
        <v>30.5</v>
      </c>
      <c r="I56">
        <v>0</v>
      </c>
      <c r="J56">
        <f t="shared" si="24"/>
        <v>0</v>
      </c>
      <c r="L56" s="38">
        <f t="shared" si="13"/>
        <v>375466</v>
      </c>
      <c r="M56" s="38">
        <f t="shared" si="14"/>
        <v>55172</v>
      </c>
      <c r="R56" s="21">
        <f t="shared" si="10"/>
        <v>1990</v>
      </c>
      <c r="S56" s="4">
        <f t="shared" si="15"/>
        <v>409629</v>
      </c>
      <c r="T56">
        <f t="shared" si="16"/>
        <v>0</v>
      </c>
      <c r="U56">
        <f t="shared" si="17"/>
        <v>59</v>
      </c>
      <c r="V56" s="1" t="str">
        <f t="shared" si="18"/>
        <v>S2</v>
      </c>
      <c r="W56" s="2">
        <f t="shared" si="19"/>
        <v>6942.864406779661</v>
      </c>
      <c r="X56" s="2">
        <f t="shared" si="11"/>
        <v>0</v>
      </c>
      <c r="Y56" s="18">
        <f t="shared" si="20"/>
        <v>30.786222652701433</v>
      </c>
      <c r="Z56" s="18">
        <f t="shared" si="21"/>
        <v>0</v>
      </c>
      <c r="AA56" s="2">
        <f t="shared" si="12"/>
        <v>213744.5694746345</v>
      </c>
    </row>
    <row r="57" spans="1:27" ht="12.75">
      <c r="A57">
        <v>1991</v>
      </c>
      <c r="C57" s="35">
        <f t="shared" si="22"/>
        <v>10244640</v>
      </c>
      <c r="D57" s="35">
        <f>114998</f>
        <v>114998</v>
      </c>
      <c r="E57" s="35">
        <f>280353-183094+377949</f>
        <v>475208</v>
      </c>
      <c r="F57" s="35">
        <f>7604-7173+25846</f>
        <v>26277</v>
      </c>
      <c r="G57" s="35">
        <f t="shared" si="23"/>
        <v>10808569</v>
      </c>
      <c r="H57" s="11">
        <v>29.5</v>
      </c>
      <c r="I57">
        <v>72818</v>
      </c>
      <c r="J57">
        <f t="shared" si="24"/>
        <v>51.3</v>
      </c>
      <c r="L57" s="38">
        <f t="shared" si="13"/>
        <v>590206</v>
      </c>
      <c r="M57" s="38">
        <f t="shared" si="14"/>
        <v>26277</v>
      </c>
      <c r="R57" s="21">
        <f t="shared" si="10"/>
        <v>1991</v>
      </c>
      <c r="S57" s="4">
        <f t="shared" si="15"/>
        <v>475208</v>
      </c>
      <c r="T57">
        <f t="shared" si="16"/>
        <v>114998</v>
      </c>
      <c r="U57">
        <f t="shared" si="17"/>
        <v>59</v>
      </c>
      <c r="V57" s="1" t="str">
        <f t="shared" si="18"/>
        <v>S2</v>
      </c>
      <c r="W57" s="2">
        <f t="shared" si="19"/>
        <v>8054.372881355932</v>
      </c>
      <c r="X57" s="2">
        <f t="shared" si="11"/>
        <v>1949.1186440677966</v>
      </c>
      <c r="Y57" s="18">
        <f t="shared" si="20"/>
        <v>31.54608686772945</v>
      </c>
      <c r="Z57" s="18">
        <f t="shared" si="21"/>
        <v>0</v>
      </c>
      <c r="AA57" s="2">
        <f t="shared" si="12"/>
        <v>254083.94658033858</v>
      </c>
    </row>
    <row r="58" spans="1:27" ht="12.75">
      <c r="A58">
        <v>1992</v>
      </c>
      <c r="C58" s="35">
        <f t="shared" si="22"/>
        <v>10808569</v>
      </c>
      <c r="D58" s="35">
        <v>0</v>
      </c>
      <c r="E58" s="35">
        <f>430514-377949+718080</f>
        <v>770645</v>
      </c>
      <c r="F58" s="35">
        <f>30124-25846+65705</f>
        <v>69983</v>
      </c>
      <c r="G58" s="35">
        <f t="shared" si="23"/>
        <v>11509231</v>
      </c>
      <c r="H58" s="11">
        <v>28.5</v>
      </c>
      <c r="J58">
        <f t="shared" si="24"/>
        <v>0</v>
      </c>
      <c r="L58" s="38">
        <f t="shared" si="13"/>
        <v>770645</v>
      </c>
      <c r="M58" s="38">
        <f t="shared" si="14"/>
        <v>69983</v>
      </c>
      <c r="R58" s="21">
        <f t="shared" si="10"/>
        <v>1992</v>
      </c>
      <c r="S58" s="4">
        <f t="shared" si="15"/>
        <v>770645</v>
      </c>
      <c r="T58">
        <f t="shared" si="16"/>
        <v>0</v>
      </c>
      <c r="U58">
        <f t="shared" si="17"/>
        <v>59</v>
      </c>
      <c r="V58" s="1" t="str">
        <f t="shared" si="18"/>
        <v>S2</v>
      </c>
      <c r="W58" s="2">
        <f t="shared" si="19"/>
        <v>13061.77966101695</v>
      </c>
      <c r="X58" s="2">
        <f t="shared" si="11"/>
        <v>0</v>
      </c>
      <c r="Y58" s="18">
        <f t="shared" si="20"/>
        <v>32.32143349674159</v>
      </c>
      <c r="Z58" s="18">
        <f t="shared" si="21"/>
        <v>0</v>
      </c>
      <c r="AA58" s="2">
        <f t="shared" si="12"/>
        <v>422175.44266265124</v>
      </c>
    </row>
    <row r="59" spans="1:27" ht="12.75">
      <c r="A59">
        <v>1993</v>
      </c>
      <c r="C59" s="35">
        <f t="shared" si="22"/>
        <v>11509231</v>
      </c>
      <c r="D59" s="35">
        <v>0</v>
      </c>
      <c r="E59" s="35">
        <f>1923552-718080+106059</f>
        <v>1311531</v>
      </c>
      <c r="F59" s="35">
        <f>76122-65705+186</f>
        <v>10603</v>
      </c>
      <c r="G59" s="35">
        <f t="shared" si="23"/>
        <v>12810159</v>
      </c>
      <c r="H59" s="11">
        <v>27.5</v>
      </c>
      <c r="J59">
        <f t="shared" si="24"/>
        <v>0</v>
      </c>
      <c r="L59" s="38">
        <f t="shared" si="13"/>
        <v>1311531</v>
      </c>
      <c r="M59" s="38">
        <f t="shared" si="14"/>
        <v>10603</v>
      </c>
      <c r="R59" s="21">
        <f t="shared" si="10"/>
        <v>1993</v>
      </c>
      <c r="S59" s="4">
        <f t="shared" si="15"/>
        <v>1311531</v>
      </c>
      <c r="T59">
        <f t="shared" si="16"/>
        <v>0</v>
      </c>
      <c r="U59">
        <f t="shared" si="17"/>
        <v>59</v>
      </c>
      <c r="V59" s="1" t="str">
        <f t="shared" si="18"/>
        <v>S2</v>
      </c>
      <c r="W59" s="2">
        <f t="shared" si="19"/>
        <v>22229.338983050846</v>
      </c>
      <c r="X59" s="2">
        <f t="shared" si="11"/>
        <v>0</v>
      </c>
      <c r="Y59" s="18">
        <f t="shared" si="20"/>
        <v>33.112169980044776</v>
      </c>
      <c r="Z59" s="18">
        <f t="shared" si="21"/>
        <v>0</v>
      </c>
      <c r="AA59" s="2">
        <f t="shared" si="12"/>
        <v>736061.6509508153</v>
      </c>
    </row>
    <row r="60" spans="1:27" ht="12.75">
      <c r="A60">
        <v>1994</v>
      </c>
      <c r="C60" s="35">
        <f t="shared" si="22"/>
        <v>12810159</v>
      </c>
      <c r="D60" s="35">
        <f>40367+132561</f>
        <v>172928</v>
      </c>
      <c r="E60" s="35">
        <f>1249094-106059+699822</f>
        <v>1842857</v>
      </c>
      <c r="F60" s="35">
        <f>11699-186+137768</f>
        <v>149281</v>
      </c>
      <c r="G60" s="35">
        <f t="shared" si="23"/>
        <v>14676663</v>
      </c>
      <c r="H60" s="11">
        <v>26.5</v>
      </c>
      <c r="I60">
        <f>14532+6628</f>
        <v>21160</v>
      </c>
      <c r="J60">
        <f t="shared" si="24"/>
        <v>30.7</v>
      </c>
      <c r="L60" s="38">
        <f t="shared" si="13"/>
        <v>2015785</v>
      </c>
      <c r="M60" s="38">
        <f t="shared" si="14"/>
        <v>149281</v>
      </c>
      <c r="R60" s="21">
        <f t="shared" si="10"/>
        <v>1994</v>
      </c>
      <c r="S60" s="4">
        <f t="shared" si="15"/>
        <v>1842857</v>
      </c>
      <c r="T60">
        <f t="shared" si="16"/>
        <v>172928</v>
      </c>
      <c r="U60">
        <f t="shared" si="17"/>
        <v>59</v>
      </c>
      <c r="V60" s="1" t="str">
        <f t="shared" si="18"/>
        <v>S2</v>
      </c>
      <c r="W60" s="2">
        <f t="shared" si="19"/>
        <v>31234.86440677966</v>
      </c>
      <c r="X60" s="2">
        <f t="shared" si="11"/>
        <v>2930.9830508474574</v>
      </c>
      <c r="Y60" s="18">
        <f t="shared" si="20"/>
        <v>33.91815007215347</v>
      </c>
      <c r="Z60" s="18">
        <f t="shared" si="21"/>
        <v>0</v>
      </c>
      <c r="AA60" s="2">
        <f t="shared" si="12"/>
        <v>1059428.8184325173</v>
      </c>
    </row>
    <row r="61" spans="1:27" ht="12.75">
      <c r="A61">
        <v>1995</v>
      </c>
      <c r="C61" s="35">
        <f t="shared" si="22"/>
        <v>14676663</v>
      </c>
      <c r="D61" s="35">
        <f>132561-132561</f>
        <v>0</v>
      </c>
      <c r="E61" s="35">
        <f>1810437-699822+1466162</f>
        <v>2576777</v>
      </c>
      <c r="F61" s="35">
        <f>154224-137768+176047</f>
        <v>192503</v>
      </c>
      <c r="G61" s="35">
        <f t="shared" si="23"/>
        <v>17060937</v>
      </c>
      <c r="H61" s="11">
        <v>25.5</v>
      </c>
      <c r="J61">
        <f t="shared" si="24"/>
        <v>0</v>
      </c>
      <c r="L61" s="38">
        <f t="shared" si="13"/>
        <v>2576777</v>
      </c>
      <c r="M61" s="38">
        <f t="shared" si="14"/>
        <v>192503</v>
      </c>
      <c r="R61" s="21">
        <f t="shared" si="10"/>
        <v>1995</v>
      </c>
      <c r="S61" s="4">
        <f t="shared" si="15"/>
        <v>2576777</v>
      </c>
      <c r="T61">
        <f t="shared" si="16"/>
        <v>0</v>
      </c>
      <c r="U61">
        <f t="shared" si="17"/>
        <v>59</v>
      </c>
      <c r="V61" s="1" t="str">
        <f t="shared" si="18"/>
        <v>S2</v>
      </c>
      <c r="W61" s="2">
        <f t="shared" si="19"/>
        <v>43674.186440677964</v>
      </c>
      <c r="X61" s="2">
        <f t="shared" si="11"/>
        <v>0</v>
      </c>
      <c r="Y61" s="18">
        <f t="shared" si="20"/>
        <v>34.739170836168164</v>
      </c>
      <c r="Z61" s="18">
        <f t="shared" si="21"/>
        <v>0</v>
      </c>
      <c r="AA61" s="2">
        <f t="shared" si="12"/>
        <v>1517205.023893371</v>
      </c>
    </row>
    <row r="62" spans="1:27" ht="12.75">
      <c r="A62">
        <v>1996</v>
      </c>
      <c r="C62" s="35">
        <f t="shared" si="22"/>
        <v>17060937</v>
      </c>
      <c r="D62" s="35">
        <v>25867</v>
      </c>
      <c r="E62" s="35">
        <f>1786828-1466162+1860660+24754</f>
        <v>2206080</v>
      </c>
      <c r="F62" s="35">
        <f>189095-176047+286624</f>
        <v>299672</v>
      </c>
      <c r="G62" s="35">
        <f t="shared" si="23"/>
        <v>18993212</v>
      </c>
      <c r="H62" s="11">
        <v>24.5</v>
      </c>
      <c r="I62">
        <v>0</v>
      </c>
      <c r="J62">
        <f t="shared" si="24"/>
        <v>0</v>
      </c>
      <c r="L62" s="38">
        <f t="shared" si="13"/>
        <v>2231947</v>
      </c>
      <c r="M62" s="38">
        <f t="shared" si="14"/>
        <v>299672</v>
      </c>
      <c r="R62" s="21">
        <f t="shared" si="10"/>
        <v>1996</v>
      </c>
      <c r="S62" s="4">
        <f t="shared" si="15"/>
        <v>2206080</v>
      </c>
      <c r="T62">
        <f t="shared" si="16"/>
        <v>0</v>
      </c>
      <c r="U62">
        <f t="shared" si="17"/>
        <v>59</v>
      </c>
      <c r="V62" s="1" t="str">
        <f t="shared" si="18"/>
        <v>S2</v>
      </c>
      <c r="W62" s="2">
        <f t="shared" si="19"/>
        <v>37391.186440677964</v>
      </c>
      <c r="X62" s="2">
        <f t="shared" si="11"/>
        <v>0</v>
      </c>
      <c r="Y62" s="18">
        <f t="shared" si="20"/>
        <v>35.574970037459174</v>
      </c>
      <c r="Z62" s="18">
        <f t="shared" si="21"/>
        <v>0</v>
      </c>
      <c r="AA62" s="2">
        <f t="shared" si="12"/>
        <v>1330190.3372921683</v>
      </c>
    </row>
    <row r="63" spans="1:27" ht="12.75">
      <c r="A63">
        <v>1997</v>
      </c>
      <c r="C63" s="35">
        <f t="shared" si="22"/>
        <v>18993212</v>
      </c>
      <c r="D63" s="35">
        <v>0</v>
      </c>
      <c r="E63" s="35">
        <v>983281</v>
      </c>
      <c r="F63" s="35">
        <v>16271</v>
      </c>
      <c r="G63" s="35">
        <f t="shared" si="23"/>
        <v>19960222</v>
      </c>
      <c r="H63" s="11">
        <v>23.5</v>
      </c>
      <c r="J63">
        <f t="shared" si="24"/>
        <v>0</v>
      </c>
      <c r="L63" s="38">
        <f t="shared" si="13"/>
        <v>983281</v>
      </c>
      <c r="M63" s="38">
        <f t="shared" si="14"/>
        <v>16271</v>
      </c>
      <c r="R63" s="21">
        <f t="shared" si="10"/>
        <v>1997</v>
      </c>
      <c r="S63" s="4">
        <f t="shared" si="15"/>
        <v>983281</v>
      </c>
      <c r="T63">
        <f t="shared" si="16"/>
        <v>0</v>
      </c>
      <c r="U63">
        <f t="shared" si="17"/>
        <v>59</v>
      </c>
      <c r="V63" s="1" t="str">
        <f t="shared" si="18"/>
        <v>S2</v>
      </c>
      <c r="W63" s="2">
        <f t="shared" si="19"/>
        <v>16665.77966101695</v>
      </c>
      <c r="X63" s="2">
        <f t="shared" si="11"/>
        <v>0</v>
      </c>
      <c r="Y63" s="18">
        <f t="shared" si="20"/>
        <v>36.42522404908291</v>
      </c>
      <c r="Z63" s="18">
        <f t="shared" si="21"/>
        <v>0</v>
      </c>
      <c r="AA63" s="2">
        <f t="shared" si="12"/>
        <v>607054.7581051914</v>
      </c>
    </row>
    <row r="64" spans="1:27" ht="12.75">
      <c r="A64">
        <v>1998</v>
      </c>
      <c r="C64" s="35">
        <f t="shared" si="22"/>
        <v>19960222</v>
      </c>
      <c r="D64" s="35">
        <v>0</v>
      </c>
      <c r="E64" s="35">
        <v>1073527</v>
      </c>
      <c r="F64" s="35">
        <v>22418</v>
      </c>
      <c r="G64" s="35">
        <f t="shared" si="23"/>
        <v>21011331</v>
      </c>
      <c r="H64" s="11">
        <v>22.5</v>
      </c>
      <c r="J64">
        <f t="shared" si="24"/>
        <v>0</v>
      </c>
      <c r="L64" s="38">
        <f t="shared" si="13"/>
        <v>1073527</v>
      </c>
      <c r="M64" s="38">
        <f t="shared" si="14"/>
        <v>22418</v>
      </c>
      <c r="R64" s="21">
        <f t="shared" si="10"/>
        <v>1998</v>
      </c>
      <c r="S64" s="4">
        <f t="shared" si="15"/>
        <v>1073527</v>
      </c>
      <c r="T64">
        <f t="shared" si="16"/>
        <v>0</v>
      </c>
      <c r="U64">
        <f t="shared" si="17"/>
        <v>59</v>
      </c>
      <c r="V64" s="1" t="str">
        <f t="shared" si="18"/>
        <v>S2</v>
      </c>
      <c r="W64" s="2">
        <f t="shared" si="19"/>
        <v>18195.372881355932</v>
      </c>
      <c r="X64" s="2">
        <f t="shared" si="11"/>
        <v>0</v>
      </c>
      <c r="Y64" s="18">
        <f t="shared" si="20"/>
        <v>37.28954638933543</v>
      </c>
      <c r="Z64" s="18">
        <f t="shared" si="21"/>
        <v>0</v>
      </c>
      <c r="AA64" s="2">
        <f t="shared" si="12"/>
        <v>678497.2011305778</v>
      </c>
    </row>
    <row r="65" spans="1:27" ht="12.75">
      <c r="A65">
        <v>1999</v>
      </c>
      <c r="C65" s="35">
        <f t="shared" si="22"/>
        <v>21011331</v>
      </c>
      <c r="D65" s="35">
        <v>4126412</v>
      </c>
      <c r="E65" s="35">
        <v>664955</v>
      </c>
      <c r="F65" s="35">
        <v>11535</v>
      </c>
      <c r="G65" s="35">
        <f t="shared" si="23"/>
        <v>25791163</v>
      </c>
      <c r="H65" s="11">
        <v>21.5</v>
      </c>
      <c r="I65">
        <v>1979021</v>
      </c>
      <c r="J65">
        <f t="shared" si="24"/>
        <v>38</v>
      </c>
      <c r="L65" s="38">
        <f t="shared" si="13"/>
        <v>4791367</v>
      </c>
      <c r="M65" s="38">
        <f t="shared" si="14"/>
        <v>11535</v>
      </c>
      <c r="R65" s="21">
        <f t="shared" si="10"/>
        <v>1999</v>
      </c>
      <c r="S65" s="4">
        <f t="shared" si="15"/>
        <v>664955</v>
      </c>
      <c r="T65">
        <f t="shared" si="16"/>
        <v>4126412</v>
      </c>
      <c r="U65">
        <f t="shared" si="17"/>
        <v>59</v>
      </c>
      <c r="V65" s="1" t="str">
        <f t="shared" si="18"/>
        <v>S2</v>
      </c>
      <c r="W65" s="2">
        <f t="shared" si="19"/>
        <v>11270.42372881356</v>
      </c>
      <c r="X65" s="2">
        <f t="shared" si="11"/>
        <v>69939.18644067796</v>
      </c>
      <c r="Y65" s="18">
        <f t="shared" si="20"/>
        <v>38.167487017649314</v>
      </c>
      <c r="Z65" s="18">
        <f t="shared" si="21"/>
        <v>25.260810766133748</v>
      </c>
      <c r="AA65" s="2">
        <f t="shared" si="12"/>
        <v>2196884.3051682115</v>
      </c>
    </row>
    <row r="66" spans="1:27" ht="12.75">
      <c r="A66">
        <v>2000</v>
      </c>
      <c r="C66" s="35">
        <f t="shared" si="22"/>
        <v>25791163</v>
      </c>
      <c r="D66" s="35">
        <v>0</v>
      </c>
      <c r="E66" s="35">
        <v>1951563</v>
      </c>
      <c r="F66" s="35">
        <v>56873</v>
      </c>
      <c r="G66" s="35">
        <f t="shared" si="23"/>
        <v>27685853</v>
      </c>
      <c r="H66" s="11">
        <v>20.5</v>
      </c>
      <c r="J66">
        <f t="shared" si="24"/>
        <v>0</v>
      </c>
      <c r="L66" s="38">
        <f t="shared" si="13"/>
        <v>1951563</v>
      </c>
      <c r="M66" s="38">
        <f t="shared" si="14"/>
        <v>56873</v>
      </c>
      <c r="R66" s="21">
        <f t="shared" si="10"/>
        <v>2000</v>
      </c>
      <c r="S66" s="4">
        <f t="shared" si="15"/>
        <v>1951563</v>
      </c>
      <c r="T66">
        <f t="shared" si="16"/>
        <v>0</v>
      </c>
      <c r="U66">
        <f t="shared" si="17"/>
        <v>59</v>
      </c>
      <c r="V66" s="1" t="str">
        <f t="shared" si="18"/>
        <v>S2</v>
      </c>
      <c r="W66" s="2">
        <f t="shared" si="19"/>
        <v>33077.338983050846</v>
      </c>
      <c r="X66" s="2">
        <f t="shared" si="11"/>
        <v>0</v>
      </c>
      <c r="Y66" s="18">
        <f t="shared" si="20"/>
        <v>39.058532517911395</v>
      </c>
      <c r="Z66" s="18">
        <f t="shared" si="21"/>
        <v>0</v>
      </c>
      <c r="AA66" s="2">
        <f t="shared" si="12"/>
        <v>1291952.3202754697</v>
      </c>
    </row>
    <row r="67" spans="1:27" ht="12.75">
      <c r="A67">
        <v>2001</v>
      </c>
      <c r="C67" s="35">
        <f t="shared" si="22"/>
        <v>27685853</v>
      </c>
      <c r="D67" s="35">
        <v>0</v>
      </c>
      <c r="E67" s="35">
        <v>710776</v>
      </c>
      <c r="F67" s="35">
        <v>131121</v>
      </c>
      <c r="G67" s="35">
        <f t="shared" si="23"/>
        <v>28265508</v>
      </c>
      <c r="H67" s="11">
        <v>19.5</v>
      </c>
      <c r="I67" s="8">
        <v>0</v>
      </c>
      <c r="J67">
        <f t="shared" si="24"/>
        <v>0</v>
      </c>
      <c r="L67" s="38">
        <f t="shared" si="13"/>
        <v>710776</v>
      </c>
      <c r="M67" s="38">
        <f t="shared" si="14"/>
        <v>131121</v>
      </c>
      <c r="R67" s="21">
        <f t="shared" si="10"/>
        <v>2001</v>
      </c>
      <c r="S67" s="4">
        <f t="shared" si="15"/>
        <v>710776</v>
      </c>
      <c r="T67">
        <f t="shared" si="16"/>
        <v>0</v>
      </c>
      <c r="U67">
        <f t="shared" si="17"/>
        <v>59</v>
      </c>
      <c r="V67" s="1" t="str">
        <f t="shared" si="18"/>
        <v>S2</v>
      </c>
      <c r="W67" s="2">
        <f t="shared" si="19"/>
        <v>12047.050847457627</v>
      </c>
      <c r="X67" s="2">
        <f t="shared" si="11"/>
        <v>0</v>
      </c>
      <c r="Y67" s="18">
        <f>Prob_life($V$67,H67,$U$67)</f>
        <v>39.96210729741556</v>
      </c>
      <c r="Z67" s="18">
        <f t="shared" si="21"/>
        <v>0</v>
      </c>
      <c r="AA67" s="2">
        <f t="shared" si="12"/>
        <v>481425.5385835227</v>
      </c>
    </row>
    <row r="68" spans="1:27" ht="12.75">
      <c r="A68">
        <v>2002</v>
      </c>
      <c r="C68" s="35">
        <f t="shared" si="22"/>
        <v>28265508</v>
      </c>
      <c r="D68" s="35">
        <v>0</v>
      </c>
      <c r="E68" s="35">
        <v>3267444.96</v>
      </c>
      <c r="F68" s="35">
        <v>0</v>
      </c>
      <c r="G68" s="35">
        <f t="shared" si="23"/>
        <v>31532952.96</v>
      </c>
      <c r="H68" s="11">
        <v>18.5</v>
      </c>
      <c r="I68">
        <v>0</v>
      </c>
      <c r="J68">
        <f t="shared" si="24"/>
        <v>0</v>
      </c>
      <c r="L68" s="38">
        <f t="shared" si="13"/>
        <v>3267444.96</v>
      </c>
      <c r="M68" s="38">
        <f t="shared" si="14"/>
        <v>0</v>
      </c>
      <c r="R68" s="21">
        <f t="shared" si="10"/>
        <v>2002</v>
      </c>
      <c r="S68" s="4">
        <f t="shared" si="15"/>
        <v>3267444.96</v>
      </c>
      <c r="T68">
        <f t="shared" si="16"/>
        <v>0</v>
      </c>
      <c r="U68">
        <f t="shared" si="17"/>
        <v>59</v>
      </c>
      <c r="V68" s="1" t="str">
        <f t="shared" si="18"/>
        <v>S2</v>
      </c>
      <c r="W68" s="2">
        <f t="shared" si="19"/>
        <v>55380.42305084746</v>
      </c>
      <c r="X68" s="2">
        <f t="shared" si="11"/>
        <v>0</v>
      </c>
      <c r="Y68" s="18">
        <f>Prob_life(V68,H68,U68)</f>
        <v>40.87757592422095</v>
      </c>
      <c r="Z68" s="18">
        <f t="shared" si="21"/>
        <v>0</v>
      </c>
      <c r="AA68" s="2">
        <f t="shared" si="12"/>
        <v>2263817.447976493</v>
      </c>
    </row>
    <row r="69" spans="1:27" ht="12.75">
      <c r="A69">
        <v>2003</v>
      </c>
      <c r="C69" s="35">
        <f aca="true" t="shared" si="25" ref="C69:C75">G68</f>
        <v>31532952.96</v>
      </c>
      <c r="D69" s="35">
        <v>0</v>
      </c>
      <c r="E69" s="35">
        <v>4131461</v>
      </c>
      <c r="F69" s="35">
        <v>71705</v>
      </c>
      <c r="G69" s="35">
        <f aca="true" t="shared" si="26" ref="G69:G75">C69+D69+E69-F69</f>
        <v>35592708.96</v>
      </c>
      <c r="H69" s="11">
        <v>17.5</v>
      </c>
      <c r="I69">
        <v>0</v>
      </c>
      <c r="J69">
        <f>IF(I69=0,0,ROUND((I69/D69/$G$94)+H69,1))</f>
        <v>0</v>
      </c>
      <c r="L69" s="38">
        <f t="shared" si="13"/>
        <v>4131461</v>
      </c>
      <c r="M69" s="38">
        <f t="shared" si="14"/>
        <v>71705</v>
      </c>
      <c r="R69" s="21">
        <f>A69</f>
        <v>2003</v>
      </c>
      <c r="S69" s="4">
        <f aca="true" t="shared" si="27" ref="S69:S75">E69</f>
        <v>4131461</v>
      </c>
      <c r="T69">
        <f aca="true" t="shared" si="28" ref="T69:T75">IF(D69&gt;0,IF(J69&gt;0,D69,0),0)</f>
        <v>0</v>
      </c>
      <c r="U69">
        <f t="shared" si="17"/>
        <v>59</v>
      </c>
      <c r="V69" s="1" t="str">
        <f t="shared" si="18"/>
        <v>S2</v>
      </c>
      <c r="W69" s="2">
        <f aca="true" t="shared" si="29" ref="W69:W75">S69/U69</f>
        <v>70024.7627118644</v>
      </c>
      <c r="X69" s="2">
        <f aca="true" t="shared" si="30" ref="X69:X75">T69/U69</f>
        <v>0</v>
      </c>
      <c r="Y69" s="18">
        <f>Prob_life($V$67,H69,$U$67)</f>
        <v>41.804246714818916</v>
      </c>
      <c r="Z69" s="18">
        <f aca="true" t="shared" si="31" ref="Z69:Z75">IF(J69&gt;0,Prob_life(V69,J69+0.5,U69),0)</f>
        <v>0</v>
      </c>
      <c r="AA69" s="2">
        <f aca="true" t="shared" si="32" ref="AA69:AA75">W69*Y69+X69*Z69</f>
        <v>2927332.4565534317</v>
      </c>
    </row>
    <row r="70" spans="1:27" ht="12.75">
      <c r="A70">
        <v>2004</v>
      </c>
      <c r="C70" s="35">
        <f t="shared" si="25"/>
        <v>35592708.96</v>
      </c>
      <c r="D70" s="35">
        <v>-51036</v>
      </c>
      <c r="E70" s="35">
        <v>1777954</v>
      </c>
      <c r="F70" s="35">
        <v>197446</v>
      </c>
      <c r="G70" s="35">
        <f t="shared" si="26"/>
        <v>37122180.96</v>
      </c>
      <c r="H70" s="11">
        <v>16.5</v>
      </c>
      <c r="I70">
        <v>0</v>
      </c>
      <c r="J70">
        <f>IF(I70=0,0,ROUND((I70/D70/$G$94)+H70,1))</f>
        <v>0</v>
      </c>
      <c r="L70" s="38">
        <f t="shared" si="13"/>
        <v>1726918</v>
      </c>
      <c r="M70" s="38">
        <f t="shared" si="14"/>
        <v>197446</v>
      </c>
      <c r="R70" s="21">
        <f>A70</f>
        <v>2004</v>
      </c>
      <c r="S70" s="4">
        <f t="shared" si="27"/>
        <v>1777954</v>
      </c>
      <c r="T70">
        <f t="shared" si="28"/>
        <v>0</v>
      </c>
      <c r="U70">
        <f t="shared" si="17"/>
        <v>59</v>
      </c>
      <c r="V70" s="1" t="str">
        <f t="shared" si="18"/>
        <v>S2</v>
      </c>
      <c r="W70" s="2">
        <f t="shared" si="29"/>
        <v>30134.813559322032</v>
      </c>
      <c r="X70" s="2">
        <f t="shared" si="30"/>
        <v>0</v>
      </c>
      <c r="Y70" s="18">
        <f>Prob_life(V70,H70,U70)</f>
        <v>42.74137666691267</v>
      </c>
      <c r="Z70" s="18">
        <f t="shared" si="31"/>
        <v>0</v>
      </c>
      <c r="AA70" s="2">
        <f t="shared" si="32"/>
        <v>1288003.4171261704</v>
      </c>
    </row>
    <row r="71" spans="1:27" ht="12.75">
      <c r="A71">
        <v>2005</v>
      </c>
      <c r="C71" s="35">
        <f t="shared" si="25"/>
        <v>37122180.96</v>
      </c>
      <c r="D71" s="35">
        <v>-128430.77</v>
      </c>
      <c r="E71" s="35">
        <v>767710.11</v>
      </c>
      <c r="F71" s="35">
        <v>281.19</v>
      </c>
      <c r="G71" s="35">
        <f t="shared" si="26"/>
        <v>37761179.11</v>
      </c>
      <c r="H71" s="11">
        <v>15.5</v>
      </c>
      <c r="I71">
        <v>0</v>
      </c>
      <c r="J71">
        <f>IF(I71=0,0,ROUND((I71/D71/$G$94)+H71,1))</f>
        <v>0</v>
      </c>
      <c r="L71" s="38">
        <f t="shared" si="13"/>
        <v>639279.34</v>
      </c>
      <c r="M71" s="38">
        <f t="shared" si="14"/>
        <v>281.19</v>
      </c>
      <c r="R71" s="21">
        <f aca="true" t="shared" si="33" ref="R71:R86">A71</f>
        <v>2005</v>
      </c>
      <c r="S71" s="4">
        <f t="shared" si="27"/>
        <v>767710.11</v>
      </c>
      <c r="T71">
        <f t="shared" si="28"/>
        <v>0</v>
      </c>
      <c r="U71">
        <f t="shared" si="17"/>
        <v>59</v>
      </c>
      <c r="V71" s="1" t="str">
        <f t="shared" si="18"/>
        <v>S2</v>
      </c>
      <c r="W71" s="2">
        <f t="shared" si="29"/>
        <v>13012.035762711865</v>
      </c>
      <c r="X71" s="2">
        <f t="shared" si="30"/>
        <v>0</v>
      </c>
      <c r="Y71" s="18">
        <f>Prob_life($V$67,H71,$U$67)</f>
        <v>43.68817780805363</v>
      </c>
      <c r="Z71" s="18">
        <f t="shared" si="31"/>
        <v>0</v>
      </c>
      <c r="AA71" s="2">
        <f t="shared" si="32"/>
        <v>568472.1320461087</v>
      </c>
    </row>
    <row r="72" spans="1:27" ht="12.75">
      <c r="A72">
        <v>2006</v>
      </c>
      <c r="C72" s="35">
        <f t="shared" si="25"/>
        <v>37761179.11</v>
      </c>
      <c r="D72" s="35">
        <v>0</v>
      </c>
      <c r="E72" s="35">
        <v>3695478.73</v>
      </c>
      <c r="F72" s="35">
        <v>9635.91</v>
      </c>
      <c r="G72" s="35">
        <f t="shared" si="26"/>
        <v>41447021.93</v>
      </c>
      <c r="H72" s="11">
        <v>14.5</v>
      </c>
      <c r="I72">
        <v>0</v>
      </c>
      <c r="J72">
        <f>IF(I72=0,0,ROUND((I72/D72/$G$94)+H72,1))</f>
        <v>0</v>
      </c>
      <c r="L72" s="38">
        <f t="shared" si="13"/>
        <v>3695478.73</v>
      </c>
      <c r="M72" s="38">
        <f t="shared" si="14"/>
        <v>9635.91</v>
      </c>
      <c r="R72" s="21">
        <f t="shared" si="33"/>
        <v>2006</v>
      </c>
      <c r="S72" s="4">
        <f t="shared" si="27"/>
        <v>3695478.73</v>
      </c>
      <c r="T72">
        <f t="shared" si="28"/>
        <v>0</v>
      </c>
      <c r="U72">
        <f t="shared" si="17"/>
        <v>59</v>
      </c>
      <c r="V72" s="1" t="str">
        <f t="shared" si="18"/>
        <v>S2</v>
      </c>
      <c r="W72" s="2">
        <f t="shared" si="29"/>
        <v>62635.23271186441</v>
      </c>
      <c r="X72" s="2">
        <f t="shared" si="30"/>
        <v>0</v>
      </c>
      <c r="Y72" s="18">
        <f>Prob_life(V72,H72,U72)</f>
        <v>44.64382499924934</v>
      </c>
      <c r="Z72" s="18">
        <f t="shared" si="31"/>
        <v>0</v>
      </c>
      <c r="AA72" s="2">
        <f t="shared" si="32"/>
        <v>2796276.3679757323</v>
      </c>
    </row>
    <row r="73" spans="1:27" ht="12.75">
      <c r="A73">
        <v>2007</v>
      </c>
      <c r="C73" s="35">
        <f t="shared" si="25"/>
        <v>41447021.93</v>
      </c>
      <c r="D73" s="35">
        <v>0</v>
      </c>
      <c r="E73" s="35">
        <v>23028.84</v>
      </c>
      <c r="F73" s="35">
        <v>413654.37</v>
      </c>
      <c r="G73" s="35">
        <f t="shared" si="26"/>
        <v>41056396.400000006</v>
      </c>
      <c r="H73" s="11">
        <v>13.5</v>
      </c>
      <c r="L73" s="38">
        <f t="shared" si="13"/>
        <v>23028.84</v>
      </c>
      <c r="M73" s="38">
        <f t="shared" si="14"/>
        <v>413654.37</v>
      </c>
      <c r="R73" s="21">
        <f t="shared" si="33"/>
        <v>2007</v>
      </c>
      <c r="S73" s="4">
        <f t="shared" si="27"/>
        <v>23028.84</v>
      </c>
      <c r="T73">
        <f t="shared" si="28"/>
        <v>0</v>
      </c>
      <c r="U73">
        <f t="shared" si="17"/>
        <v>59</v>
      </c>
      <c r="V73" s="1" t="str">
        <f t="shared" si="18"/>
        <v>S2</v>
      </c>
      <c r="W73" s="2">
        <f t="shared" si="29"/>
        <v>390.3193220338983</v>
      </c>
      <c r="X73" s="2">
        <f t="shared" si="30"/>
        <v>0</v>
      </c>
      <c r="Y73" s="18">
        <f>Prob_life(V73,H73,U73)</f>
        <v>45.6074651930069</v>
      </c>
      <c r="Z73" s="18">
        <f t="shared" si="31"/>
        <v>0</v>
      </c>
      <c r="AA73" s="2">
        <f t="shared" si="32"/>
        <v>17801.474893819068</v>
      </c>
    </row>
    <row r="74" spans="1:27" ht="12.75">
      <c r="A74">
        <v>2008</v>
      </c>
      <c r="C74" s="35">
        <f t="shared" si="25"/>
        <v>41056396.400000006</v>
      </c>
      <c r="D74" s="35">
        <v>0</v>
      </c>
      <c r="E74" s="35">
        <v>422077.24</v>
      </c>
      <c r="F74" s="35">
        <v>30824.43</v>
      </c>
      <c r="G74" s="35">
        <f t="shared" si="26"/>
        <v>41447649.21000001</v>
      </c>
      <c r="H74" s="11">
        <v>12.5</v>
      </c>
      <c r="L74" s="38">
        <f t="shared" si="13"/>
        <v>422077.24</v>
      </c>
      <c r="M74" s="38">
        <f t="shared" si="14"/>
        <v>30824.43</v>
      </c>
      <c r="R74" s="21">
        <f t="shared" si="33"/>
        <v>2008</v>
      </c>
      <c r="S74" s="4">
        <f t="shared" si="27"/>
        <v>422077.24</v>
      </c>
      <c r="T74">
        <f t="shared" si="28"/>
        <v>0</v>
      </c>
      <c r="U74">
        <f t="shared" si="17"/>
        <v>59</v>
      </c>
      <c r="V74" s="1" t="str">
        <f t="shared" si="18"/>
        <v>S2</v>
      </c>
      <c r="W74" s="2">
        <f t="shared" si="29"/>
        <v>7153.851525423729</v>
      </c>
      <c r="X74" s="2">
        <f t="shared" si="30"/>
        <v>0</v>
      </c>
      <c r="Y74" s="18">
        <f>Prob_life(V74,H74,U74)</f>
        <v>46.578228097329706</v>
      </c>
      <c r="Z74" s="18">
        <f t="shared" si="31"/>
        <v>0</v>
      </c>
      <c r="AA74" s="2">
        <f t="shared" si="32"/>
        <v>333213.7281256165</v>
      </c>
    </row>
    <row r="75" spans="1:27" ht="12.75">
      <c r="A75" s="29">
        <v>2009</v>
      </c>
      <c r="C75" s="35">
        <f t="shared" si="25"/>
        <v>41447649.21000001</v>
      </c>
      <c r="D75" s="35">
        <v>0</v>
      </c>
      <c r="E75" s="35">
        <v>584129.18</v>
      </c>
      <c r="F75" s="35">
        <v>16882.01</v>
      </c>
      <c r="G75" s="35">
        <f t="shared" si="26"/>
        <v>42014896.38000001</v>
      </c>
      <c r="H75" s="11">
        <v>11.5</v>
      </c>
      <c r="L75" s="38">
        <f t="shared" si="13"/>
        <v>584129.18</v>
      </c>
      <c r="M75" s="38">
        <f t="shared" si="14"/>
        <v>16882.01</v>
      </c>
      <c r="R75" s="21">
        <f t="shared" si="33"/>
        <v>2009</v>
      </c>
      <c r="S75" s="4">
        <f t="shared" si="27"/>
        <v>584129.18</v>
      </c>
      <c r="T75">
        <f t="shared" si="28"/>
        <v>0</v>
      </c>
      <c r="U75">
        <f t="shared" si="17"/>
        <v>59</v>
      </c>
      <c r="V75" s="1" t="str">
        <f t="shared" si="18"/>
        <v>S2</v>
      </c>
      <c r="W75" s="2">
        <f t="shared" si="29"/>
        <v>9900.494576271187</v>
      </c>
      <c r="X75" s="2">
        <f t="shared" si="30"/>
        <v>0</v>
      </c>
      <c r="Y75" s="18">
        <f>Prob_life(V75,H75,U75)</f>
        <v>47.55523814084348</v>
      </c>
      <c r="Z75" s="18">
        <f t="shared" si="31"/>
        <v>0</v>
      </c>
      <c r="AA75" s="2">
        <f t="shared" si="32"/>
        <v>470820.37728670554</v>
      </c>
    </row>
    <row r="76" spans="1:27" ht="12.75">
      <c r="A76" s="29">
        <v>2010</v>
      </c>
      <c r="C76" s="35">
        <f aca="true" t="shared" si="34" ref="C76:C86">G75</f>
        <v>42014896.38000001</v>
      </c>
      <c r="D76" s="35">
        <v>0</v>
      </c>
      <c r="E76" s="35">
        <v>132195.71</v>
      </c>
      <c r="F76" s="35">
        <v>10519.38</v>
      </c>
      <c r="G76" s="35">
        <f aca="true" t="shared" si="35" ref="G76:G86">C76+D76+E76-F76</f>
        <v>42136572.71000001</v>
      </c>
      <c r="H76" s="11">
        <v>10.5</v>
      </c>
      <c r="L76" s="38">
        <f t="shared" si="13"/>
        <v>132195.71</v>
      </c>
      <c r="M76" s="38">
        <f t="shared" si="14"/>
        <v>10519.38</v>
      </c>
      <c r="R76" s="21">
        <f t="shared" si="33"/>
        <v>2010</v>
      </c>
      <c r="S76" s="4">
        <f aca="true" t="shared" si="36" ref="S76:S86">E76</f>
        <v>132195.71</v>
      </c>
      <c r="T76">
        <f aca="true" t="shared" si="37" ref="T76:T86">IF(D76&gt;0,IF(J76&gt;0,D76,0),0)</f>
        <v>0</v>
      </c>
      <c r="U76">
        <f t="shared" si="17"/>
        <v>59</v>
      </c>
      <c r="V76" s="1" t="str">
        <f t="shared" si="18"/>
        <v>S2</v>
      </c>
      <c r="W76" s="2">
        <f aca="true" t="shared" si="38" ref="W76:W86">S76/U76</f>
        <v>2240.605254237288</v>
      </c>
      <c r="X76" s="2">
        <f aca="true" t="shared" si="39" ref="X76:X86">T76/U76</f>
        <v>0</v>
      </c>
      <c r="Y76" s="18">
        <f aca="true" t="shared" si="40" ref="Y76:Y86">Prob_life(V76,H76,U76)</f>
        <v>48.53762756952241</v>
      </c>
      <c r="Z76" s="18">
        <f aca="true" t="shared" si="41" ref="Z76:Z86">IF(J76&gt;0,Prob_life(V76,J76+0.5,U76),0)</f>
        <v>0</v>
      </c>
      <c r="AA76" s="2">
        <f aca="true" t="shared" si="42" ref="AA76:AA86">W76*Y76+X76*Z76</f>
        <v>108753.66336048456</v>
      </c>
    </row>
    <row r="77" spans="1:27" ht="12.75">
      <c r="A77" s="29">
        <v>2011</v>
      </c>
      <c r="C77" s="35">
        <f t="shared" si="34"/>
        <v>42136572.71000001</v>
      </c>
      <c r="D77" s="35">
        <v>0</v>
      </c>
      <c r="E77" s="35">
        <v>171641.54</v>
      </c>
      <c r="F77" s="35">
        <v>5090.87</v>
      </c>
      <c r="G77" s="35">
        <f t="shared" si="35"/>
        <v>42303123.38000001</v>
      </c>
      <c r="H77" s="11">
        <v>9.5</v>
      </c>
      <c r="L77" s="38">
        <f t="shared" si="13"/>
        <v>171641.54</v>
      </c>
      <c r="M77" s="38">
        <f t="shared" si="14"/>
        <v>5090.87</v>
      </c>
      <c r="R77" s="21">
        <f t="shared" si="33"/>
        <v>2011</v>
      </c>
      <c r="S77" s="4">
        <f t="shared" si="36"/>
        <v>171641.54</v>
      </c>
      <c r="T77">
        <f t="shared" si="37"/>
        <v>0</v>
      </c>
      <c r="U77">
        <f t="shared" si="17"/>
        <v>59</v>
      </c>
      <c r="V77" s="1" t="str">
        <f t="shared" si="18"/>
        <v>S2</v>
      </c>
      <c r="W77" s="2">
        <f t="shared" si="38"/>
        <v>2909.1786440677965</v>
      </c>
      <c r="X77" s="2">
        <f t="shared" si="39"/>
        <v>0</v>
      </c>
      <c r="Y77" s="18">
        <f t="shared" si="40"/>
        <v>49.52455043248364</v>
      </c>
      <c r="Z77" s="18">
        <f t="shared" si="41"/>
        <v>0</v>
      </c>
      <c r="AA77" s="2">
        <f t="shared" si="42"/>
        <v>144075.76447523996</v>
      </c>
    </row>
    <row r="78" spans="1:27" ht="12.75">
      <c r="A78" s="29">
        <v>2012</v>
      </c>
      <c r="C78" s="35">
        <f t="shared" si="34"/>
        <v>42303123.38000001</v>
      </c>
      <c r="D78" s="35">
        <v>0</v>
      </c>
      <c r="E78" s="35">
        <v>125058.62</v>
      </c>
      <c r="F78" s="35">
        <v>31477.3</v>
      </c>
      <c r="G78" s="35">
        <f t="shared" si="35"/>
        <v>42396704.70000001</v>
      </c>
      <c r="H78" s="11">
        <v>8.5</v>
      </c>
      <c r="L78" s="38">
        <f t="shared" si="13"/>
        <v>125058.62</v>
      </c>
      <c r="M78" s="38">
        <f t="shared" si="14"/>
        <v>31477.3</v>
      </c>
      <c r="R78" s="21">
        <f t="shared" si="33"/>
        <v>2012</v>
      </c>
      <c r="S78" s="4">
        <f t="shared" si="36"/>
        <v>125058.62</v>
      </c>
      <c r="T78">
        <f t="shared" si="37"/>
        <v>0</v>
      </c>
      <c r="U78">
        <f t="shared" si="17"/>
        <v>59</v>
      </c>
      <c r="V78" s="1" t="str">
        <f t="shared" si="18"/>
        <v>S2</v>
      </c>
      <c r="W78" s="2">
        <f t="shared" si="38"/>
        <v>2119.637627118644</v>
      </c>
      <c r="X78" s="2">
        <f t="shared" si="39"/>
        <v>0</v>
      </c>
      <c r="Y78" s="18">
        <f t="shared" si="40"/>
        <v>50.51519713293066</v>
      </c>
      <c r="Z78" s="18">
        <f t="shared" si="41"/>
        <v>0</v>
      </c>
      <c r="AA78" s="2">
        <f t="shared" si="42"/>
        <v>107073.91258427568</v>
      </c>
    </row>
    <row r="79" spans="1:27" ht="12.75">
      <c r="A79" s="29">
        <v>2013</v>
      </c>
      <c r="C79" s="35">
        <f t="shared" si="34"/>
        <v>42396704.70000001</v>
      </c>
      <c r="D79" s="35">
        <v>0</v>
      </c>
      <c r="E79" s="35">
        <f>65243.41+17069.32</f>
        <v>82312.73000000001</v>
      </c>
      <c r="F79" s="35">
        <v>826.7</v>
      </c>
      <c r="G79" s="35">
        <f t="shared" si="35"/>
        <v>42478190.730000004</v>
      </c>
      <c r="H79" s="11">
        <v>7.5</v>
      </c>
      <c r="L79" s="38">
        <f t="shared" si="13"/>
        <v>82312.73000000001</v>
      </c>
      <c r="M79" s="38">
        <f t="shared" si="14"/>
        <v>826.7</v>
      </c>
      <c r="R79" s="21">
        <f t="shared" si="33"/>
        <v>2013</v>
      </c>
      <c r="S79" s="4">
        <f t="shared" si="36"/>
        <v>82312.73000000001</v>
      </c>
      <c r="T79">
        <f t="shared" si="37"/>
        <v>0</v>
      </c>
      <c r="U79">
        <f t="shared" si="17"/>
        <v>59</v>
      </c>
      <c r="V79" s="1" t="str">
        <f t="shared" si="18"/>
        <v>S2</v>
      </c>
      <c r="W79" s="2">
        <f t="shared" si="38"/>
        <v>1395.1310169491528</v>
      </c>
      <c r="X79" s="2">
        <f t="shared" si="39"/>
        <v>0</v>
      </c>
      <c r="Y79" s="18">
        <f t="shared" si="40"/>
        <v>51.508809129996926</v>
      </c>
      <c r="Z79" s="18">
        <f t="shared" si="41"/>
        <v>0</v>
      </c>
      <c r="AA79" s="2">
        <f t="shared" si="42"/>
        <v>71861.53726337242</v>
      </c>
    </row>
    <row r="80" spans="1:27" ht="12.75">
      <c r="A80" s="29">
        <v>2014</v>
      </c>
      <c r="C80" s="35">
        <f t="shared" si="34"/>
        <v>42478190.730000004</v>
      </c>
      <c r="D80" s="35">
        <v>0</v>
      </c>
      <c r="E80" s="35">
        <v>414761.55</v>
      </c>
      <c r="F80" s="35">
        <v>10678.43</v>
      </c>
      <c r="G80" s="35">
        <f t="shared" si="35"/>
        <v>42882273.85</v>
      </c>
      <c r="H80" s="11">
        <v>6.5</v>
      </c>
      <c r="L80" s="38">
        <f t="shared" si="13"/>
        <v>414761.55</v>
      </c>
      <c r="M80" s="38">
        <f t="shared" si="14"/>
        <v>10678.43</v>
      </c>
      <c r="R80" s="21">
        <f t="shared" si="33"/>
        <v>2014</v>
      </c>
      <c r="S80" s="4">
        <f t="shared" si="36"/>
        <v>414761.55</v>
      </c>
      <c r="T80">
        <f t="shared" si="37"/>
        <v>0</v>
      </c>
      <c r="U80">
        <f t="shared" si="17"/>
        <v>59</v>
      </c>
      <c r="V80" s="1" t="str">
        <f t="shared" si="18"/>
        <v>S2</v>
      </c>
      <c r="W80" s="2">
        <f t="shared" si="38"/>
        <v>7029.856779661017</v>
      </c>
      <c r="X80" s="2">
        <f t="shared" si="39"/>
        <v>0</v>
      </c>
      <c r="Y80" s="18">
        <f t="shared" si="40"/>
        <v>52.5046932764211</v>
      </c>
      <c r="Z80" s="18">
        <f t="shared" si="41"/>
        <v>0</v>
      </c>
      <c r="AA80" s="2">
        <f t="shared" si="42"/>
        <v>369100.47399327107</v>
      </c>
    </row>
    <row r="81" spans="1:27" ht="12.75">
      <c r="A81" s="29">
        <v>2015</v>
      </c>
      <c r="C81" s="35">
        <f t="shared" si="34"/>
        <v>42882273.85</v>
      </c>
      <c r="D81" s="35">
        <f>942363.59+89590.41</f>
        <v>1031954</v>
      </c>
      <c r="E81" s="35">
        <f>702277.44+4057.63</f>
        <v>706335.07</v>
      </c>
      <c r="F81" s="35">
        <f>4737.28+63.46</f>
        <v>4800.74</v>
      </c>
      <c r="G81" s="35">
        <f t="shared" si="35"/>
        <v>44615762.18</v>
      </c>
      <c r="H81" s="11">
        <v>5.5</v>
      </c>
      <c r="L81" s="38">
        <f t="shared" si="13"/>
        <v>1738289.0699999998</v>
      </c>
      <c r="M81" s="38">
        <f t="shared" si="14"/>
        <v>4800.74</v>
      </c>
      <c r="R81" s="21">
        <f t="shared" si="33"/>
        <v>2015</v>
      </c>
      <c r="S81" s="4">
        <f t="shared" si="36"/>
        <v>706335.07</v>
      </c>
      <c r="T81">
        <f t="shared" si="37"/>
        <v>0</v>
      </c>
      <c r="U81">
        <f t="shared" si="17"/>
        <v>59</v>
      </c>
      <c r="V81" s="1" t="str">
        <f t="shared" si="18"/>
        <v>S2</v>
      </c>
      <c r="W81" s="2">
        <f t="shared" si="38"/>
        <v>11971.780847457627</v>
      </c>
      <c r="X81" s="2">
        <f t="shared" si="39"/>
        <v>0</v>
      </c>
      <c r="Y81" s="18">
        <f t="shared" si="40"/>
        <v>53.502235162217005</v>
      </c>
      <c r="Z81" s="18">
        <f t="shared" si="41"/>
        <v>0</v>
      </c>
      <c r="AA81" s="2">
        <f t="shared" si="42"/>
        <v>640517.0342112036</v>
      </c>
    </row>
    <row r="82" spans="1:27" ht="12.75">
      <c r="A82" s="29">
        <v>2016</v>
      </c>
      <c r="C82" s="35">
        <f t="shared" si="34"/>
        <v>44615762.18</v>
      </c>
      <c r="D82" s="35">
        <v>0</v>
      </c>
      <c r="E82" s="35">
        <f>222717.39+29288.59</f>
        <v>252005.98</v>
      </c>
      <c r="F82" s="35">
        <v>34974.77</v>
      </c>
      <c r="G82" s="35">
        <f t="shared" si="35"/>
        <v>44832793.38999999</v>
      </c>
      <c r="H82" s="11">
        <v>4.5</v>
      </c>
      <c r="L82" s="38">
        <f>D82+E82</f>
        <v>252005.98</v>
      </c>
      <c r="M82" s="38">
        <f>F82</f>
        <v>34974.77</v>
      </c>
      <c r="R82" s="21">
        <f t="shared" si="33"/>
        <v>2016</v>
      </c>
      <c r="S82" s="4">
        <f t="shared" si="36"/>
        <v>252005.98</v>
      </c>
      <c r="T82">
        <f t="shared" si="37"/>
        <v>0</v>
      </c>
      <c r="U82">
        <f t="shared" si="17"/>
        <v>59</v>
      </c>
      <c r="V82" s="1" t="str">
        <f t="shared" si="18"/>
        <v>S2</v>
      </c>
      <c r="W82" s="2">
        <f t="shared" si="38"/>
        <v>4271.28779661017</v>
      </c>
      <c r="X82" s="2">
        <f t="shared" si="39"/>
        <v>0</v>
      </c>
      <c r="Y82" s="18">
        <f t="shared" si="40"/>
        <v>54.500910698762965</v>
      </c>
      <c r="Z82" s="18">
        <f t="shared" si="41"/>
        <v>0</v>
      </c>
      <c r="AA82" s="2">
        <f t="shared" si="42"/>
        <v>232789.07477176687</v>
      </c>
    </row>
    <row r="83" spans="1:27" ht="12.75">
      <c r="A83" s="29">
        <v>2017</v>
      </c>
      <c r="C83" s="35">
        <f t="shared" si="34"/>
        <v>44832793.38999999</v>
      </c>
      <c r="D83" s="35">
        <v>0</v>
      </c>
      <c r="E83" s="35">
        <f>179989.47+38456.3</f>
        <v>218445.77000000002</v>
      </c>
      <c r="F83" s="35">
        <v>28148.74</v>
      </c>
      <c r="G83" s="35">
        <f t="shared" si="35"/>
        <v>45023090.419999994</v>
      </c>
      <c r="H83" s="11">
        <v>3.5</v>
      </c>
      <c r="L83" s="38">
        <f>D83+E83</f>
        <v>218445.77000000002</v>
      </c>
      <c r="M83" s="38">
        <f>F83</f>
        <v>28148.74</v>
      </c>
      <c r="R83" s="21">
        <f t="shared" si="33"/>
        <v>2017</v>
      </c>
      <c r="S83" s="4">
        <f t="shared" si="36"/>
        <v>218445.77000000002</v>
      </c>
      <c r="T83">
        <f t="shared" si="37"/>
        <v>0</v>
      </c>
      <c r="U83">
        <f t="shared" si="17"/>
        <v>59</v>
      </c>
      <c r="V83" s="1" t="str">
        <f t="shared" si="18"/>
        <v>S2</v>
      </c>
      <c r="W83" s="2">
        <f t="shared" si="38"/>
        <v>3702.470677966102</v>
      </c>
      <c r="X83" s="2">
        <f t="shared" si="39"/>
        <v>0</v>
      </c>
      <c r="Y83" s="18">
        <f t="shared" si="40"/>
        <v>55.500295007052834</v>
      </c>
      <c r="Z83" s="18">
        <f t="shared" si="41"/>
        <v>0</v>
      </c>
      <c r="AA83" s="2">
        <f t="shared" si="42"/>
        <v>205488.21488208158</v>
      </c>
    </row>
    <row r="84" spans="1:27" ht="12.75">
      <c r="A84" s="29">
        <v>2018</v>
      </c>
      <c r="C84" s="35">
        <f t="shared" si="34"/>
        <v>45023090.419999994</v>
      </c>
      <c r="D84" s="35">
        <v>0</v>
      </c>
      <c r="E84" s="35">
        <f>941772.75+9841.2</f>
        <v>951613.95</v>
      </c>
      <c r="F84" s="35">
        <v>39297.67</v>
      </c>
      <c r="G84" s="35">
        <f t="shared" si="35"/>
        <v>45935406.699999996</v>
      </c>
      <c r="H84" s="11">
        <v>2.5</v>
      </c>
      <c r="L84" s="38">
        <f>D84+E84</f>
        <v>951613.95</v>
      </c>
      <c r="M84" s="38">
        <f>F84</f>
        <v>39297.67</v>
      </c>
      <c r="R84" s="21">
        <f t="shared" si="33"/>
        <v>2018</v>
      </c>
      <c r="S84" s="4">
        <f t="shared" si="36"/>
        <v>951613.95</v>
      </c>
      <c r="T84">
        <f t="shared" si="37"/>
        <v>0</v>
      </c>
      <c r="U84">
        <f t="shared" si="17"/>
        <v>59</v>
      </c>
      <c r="V84" s="1" t="str">
        <f t="shared" si="18"/>
        <v>S2</v>
      </c>
      <c r="W84" s="2">
        <f t="shared" si="38"/>
        <v>16129.05</v>
      </c>
      <c r="X84" s="2">
        <f t="shared" si="39"/>
        <v>0</v>
      </c>
      <c r="Y84" s="18">
        <f t="shared" si="40"/>
        <v>56.500067439462576</v>
      </c>
      <c r="Z84" s="18">
        <f t="shared" si="41"/>
        <v>0</v>
      </c>
      <c r="AA84" s="2">
        <f t="shared" si="42"/>
        <v>911292.4127344638</v>
      </c>
    </row>
    <row r="85" spans="1:27" ht="12.75">
      <c r="A85" s="29">
        <v>2019</v>
      </c>
      <c r="C85" s="35">
        <f t="shared" si="34"/>
        <v>45935406.699999996</v>
      </c>
      <c r="D85" s="35">
        <v>0</v>
      </c>
      <c r="E85" s="35">
        <v>659732.92</v>
      </c>
      <c r="F85" s="35">
        <v>5125.79</v>
      </c>
      <c r="G85" s="35">
        <f t="shared" si="35"/>
        <v>46590013.83</v>
      </c>
      <c r="H85" s="11">
        <v>1.5</v>
      </c>
      <c r="L85" s="38">
        <f>D85+E85</f>
        <v>659732.92</v>
      </c>
      <c r="M85" s="38">
        <f>F85</f>
        <v>5125.79</v>
      </c>
      <c r="R85" s="21">
        <f t="shared" si="33"/>
        <v>2019</v>
      </c>
      <c r="S85" s="4">
        <f t="shared" si="36"/>
        <v>659732.92</v>
      </c>
      <c r="T85">
        <f t="shared" si="37"/>
        <v>0</v>
      </c>
      <c r="U85">
        <f t="shared" si="17"/>
        <v>59</v>
      </c>
      <c r="V85" s="1" t="str">
        <f t="shared" si="18"/>
        <v>S2</v>
      </c>
      <c r="W85" s="2">
        <f t="shared" si="38"/>
        <v>11181.913898305085</v>
      </c>
      <c r="X85" s="2">
        <f t="shared" si="39"/>
        <v>0</v>
      </c>
      <c r="Y85" s="18">
        <f t="shared" si="40"/>
        <v>57.50001120108979</v>
      </c>
      <c r="Z85" s="18">
        <f t="shared" si="41"/>
        <v>0</v>
      </c>
      <c r="AA85" s="2">
        <f t="shared" si="42"/>
        <v>642960.1744021641</v>
      </c>
    </row>
    <row r="86" spans="1:27" ht="12.75">
      <c r="A86" s="29">
        <v>2020</v>
      </c>
      <c r="C86" s="35">
        <f t="shared" si="34"/>
        <v>46590013.83</v>
      </c>
      <c r="D86" s="35">
        <v>0</v>
      </c>
      <c r="E86" s="35">
        <v>243108.48</v>
      </c>
      <c r="F86" s="35">
        <v>28574.08</v>
      </c>
      <c r="G86" s="35">
        <f t="shared" si="35"/>
        <v>46804548.23</v>
      </c>
      <c r="H86" s="11">
        <v>0.5</v>
      </c>
      <c r="L86" s="38">
        <f>D86+E86</f>
        <v>243108.48</v>
      </c>
      <c r="M86" s="38">
        <f>F86</f>
        <v>28574.08</v>
      </c>
      <c r="R86" s="21">
        <f t="shared" si="33"/>
        <v>2020</v>
      </c>
      <c r="S86" s="4">
        <f t="shared" si="36"/>
        <v>243108.48</v>
      </c>
      <c r="T86">
        <f t="shared" si="37"/>
        <v>0</v>
      </c>
      <c r="U86">
        <f t="shared" si="17"/>
        <v>59</v>
      </c>
      <c r="V86" s="1" t="str">
        <f t="shared" si="18"/>
        <v>S2</v>
      </c>
      <c r="W86" s="2">
        <f t="shared" si="38"/>
        <v>4120.482711864407</v>
      </c>
      <c r="X86" s="2">
        <f t="shared" si="39"/>
        <v>0</v>
      </c>
      <c r="Y86" s="18">
        <f t="shared" si="40"/>
        <v>58.50000536525249</v>
      </c>
      <c r="Z86" s="18">
        <f t="shared" si="41"/>
        <v>0</v>
      </c>
      <c r="AA86" s="2">
        <f t="shared" si="42"/>
        <v>241048.26075149796</v>
      </c>
    </row>
    <row r="87" spans="3:27" ht="12.75">
      <c r="C87" s="8"/>
      <c r="D87" s="8"/>
      <c r="E87" s="8"/>
      <c r="F87" s="8"/>
      <c r="G87" s="8"/>
      <c r="W87" s="2"/>
      <c r="X87" s="2"/>
      <c r="AA87" s="2"/>
    </row>
    <row r="88" spans="3:27" ht="12.75">
      <c r="C88" s="35"/>
      <c r="G88" s="4">
        <f>SUM(G82:G87)/5</f>
        <v>45837170.51399999</v>
      </c>
      <c r="I88" s="8"/>
      <c r="S88" s="4">
        <f>SUM(S6:S87)</f>
        <v>43784774.379999995</v>
      </c>
      <c r="T88" s="4">
        <f>SUM(T6:T87)</f>
        <v>4585924</v>
      </c>
      <c r="W88" s="2">
        <f>SUM(W6:W87)</f>
        <v>742114.82</v>
      </c>
      <c r="X88" s="2">
        <f>SUM(X6:X87)</f>
        <v>77727.52542372882</v>
      </c>
      <c r="Y88" s="19">
        <f>AA88/W88</f>
        <v>39.23380408669359</v>
      </c>
      <c r="Z88" s="18"/>
      <c r="AA88" s="2">
        <f>SUM(AA6:AA87)</f>
        <v>29115987.457711875</v>
      </c>
    </row>
    <row r="90" spans="2:27" ht="12.75">
      <c r="B90" s="24" t="s">
        <v>7</v>
      </c>
      <c r="C90" s="24"/>
      <c r="D90" s="40"/>
      <c r="E90" s="24"/>
      <c r="F90" s="24"/>
      <c r="G90" s="41"/>
      <c r="H90" s="24"/>
      <c r="I90" s="24"/>
      <c r="J90" s="24"/>
      <c r="K90" s="24"/>
      <c r="W90" t="s">
        <v>35</v>
      </c>
      <c r="AA90" s="15">
        <f>AA88/(W88+X88)</f>
        <v>35.51412978389585</v>
      </c>
    </row>
    <row r="91" spans="2:11" ht="12.75"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2:11" ht="12.75">
      <c r="B92" s="24" t="s">
        <v>8</v>
      </c>
      <c r="C92" s="24"/>
      <c r="D92" s="42"/>
      <c r="E92" s="24"/>
      <c r="F92" s="24"/>
      <c r="G92" s="41"/>
      <c r="H92" s="24"/>
      <c r="I92" s="24"/>
      <c r="J92" s="24"/>
      <c r="K92" s="24"/>
    </row>
    <row r="93" spans="2:22" ht="12.75">
      <c r="B93" s="24"/>
      <c r="C93" s="24"/>
      <c r="D93" s="24"/>
      <c r="E93" s="24"/>
      <c r="F93" s="24"/>
      <c r="G93" s="24"/>
      <c r="H93" s="24"/>
      <c r="I93" s="24"/>
      <c r="J93" s="24"/>
      <c r="K93" s="24"/>
      <c r="T93" s="20" t="s">
        <v>26</v>
      </c>
      <c r="V93" s="32" t="s">
        <v>13</v>
      </c>
    </row>
    <row r="94" spans="2:22" ht="12.75">
      <c r="B94" s="24" t="s">
        <v>9</v>
      </c>
      <c r="C94" s="24"/>
      <c r="D94" s="24"/>
      <c r="E94" s="24"/>
      <c r="F94" s="24"/>
      <c r="G94" s="24">
        <v>0.029</v>
      </c>
      <c r="H94" s="24"/>
      <c r="I94" s="24"/>
      <c r="J94" s="24"/>
      <c r="K94" s="24"/>
      <c r="T94" s="20" t="s">
        <v>11</v>
      </c>
      <c r="V94">
        <v>59</v>
      </c>
    </row>
    <row r="95" spans="2:11" ht="12.75"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2:11" ht="12.75">
      <c r="B96" s="24" t="s">
        <v>10</v>
      </c>
      <c r="C96" s="24"/>
      <c r="D96" s="24"/>
      <c r="E96" s="24"/>
      <c r="F96" s="24"/>
      <c r="G96" s="24"/>
      <c r="H96" s="24"/>
      <c r="I96" s="24"/>
      <c r="J96" s="24"/>
      <c r="K96" s="24"/>
    </row>
    <row r="97" spans="2:11" ht="12.75"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2:11" ht="12.75">
      <c r="B98" s="24"/>
      <c r="C98" s="23"/>
      <c r="D98" s="24"/>
      <c r="E98" s="23"/>
      <c r="F98" s="23"/>
      <c r="G98" s="23"/>
      <c r="H98" s="23"/>
      <c r="I98" s="23"/>
      <c r="J98" s="23"/>
      <c r="K98" s="16"/>
    </row>
    <row r="99" spans="2:11" ht="12.75">
      <c r="B99" s="24"/>
      <c r="C99" s="24"/>
      <c r="D99" s="43"/>
      <c r="E99" s="23"/>
      <c r="F99" s="23"/>
      <c r="G99" s="23"/>
      <c r="H99" s="23"/>
      <c r="I99" s="23"/>
      <c r="J99" s="23"/>
      <c r="K99" s="16"/>
    </row>
    <row r="100" spans="2:11" ht="12.75">
      <c r="B100" s="24"/>
      <c r="C100" s="24"/>
      <c r="D100" s="24"/>
      <c r="E100" s="24"/>
      <c r="F100" s="42"/>
      <c r="G100" s="42"/>
      <c r="H100" s="44"/>
      <c r="I100" s="44"/>
      <c r="J100" s="44"/>
      <c r="K100" s="25"/>
    </row>
    <row r="101" spans="2:11" ht="12.75">
      <c r="B101" s="24"/>
      <c r="C101" s="24"/>
      <c r="D101" s="24"/>
      <c r="E101" s="24"/>
      <c r="F101" s="42"/>
      <c r="G101" s="42"/>
      <c r="H101" s="44"/>
      <c r="I101" s="44"/>
      <c r="J101" s="44"/>
      <c r="K101" s="25"/>
    </row>
    <row r="102" spans="2:11" ht="12.75">
      <c r="B102" s="24"/>
      <c r="C102" s="24"/>
      <c r="D102" s="24"/>
      <c r="E102" s="24"/>
      <c r="F102" s="42"/>
      <c r="G102" s="42"/>
      <c r="H102" s="44"/>
      <c r="I102" s="44"/>
      <c r="J102" s="44"/>
      <c r="K102" s="25"/>
    </row>
    <row r="103" spans="2:11" ht="12.75">
      <c r="B103" s="24"/>
      <c r="C103" s="24"/>
      <c r="D103" s="24"/>
      <c r="E103" s="24"/>
      <c r="F103" s="42"/>
      <c r="G103" s="42"/>
      <c r="H103" s="44"/>
      <c r="I103" s="44"/>
      <c r="J103" s="44"/>
      <c r="K103" s="25"/>
    </row>
    <row r="104" spans="2:11" ht="12.75">
      <c r="B104" s="24"/>
      <c r="C104" s="24"/>
      <c r="D104" s="24"/>
      <c r="E104" s="24"/>
      <c r="F104" s="42"/>
      <c r="G104" s="42"/>
      <c r="H104" s="44"/>
      <c r="I104" s="44"/>
      <c r="J104" s="44"/>
      <c r="K104" s="25"/>
    </row>
    <row r="105" spans="2:11" ht="12.75">
      <c r="B105" s="24"/>
      <c r="C105" s="24"/>
      <c r="D105" s="24"/>
      <c r="E105" s="24"/>
      <c r="F105" s="42"/>
      <c r="G105" s="42"/>
      <c r="H105" s="44"/>
      <c r="I105" s="44"/>
      <c r="J105" s="44"/>
      <c r="K105" s="25"/>
    </row>
    <row r="106" spans="2:11" ht="12.75">
      <c r="B106" s="24"/>
      <c r="C106" s="24"/>
      <c r="D106" s="24"/>
      <c r="E106" s="24"/>
      <c r="F106" s="42"/>
      <c r="G106" s="42"/>
      <c r="H106" s="44"/>
      <c r="I106" s="44"/>
      <c r="J106" s="44"/>
      <c r="K106" s="25"/>
    </row>
    <row r="107" spans="2:11" ht="12.75">
      <c r="B107" s="24"/>
      <c r="C107" s="24"/>
      <c r="D107" s="24"/>
      <c r="E107" s="24"/>
      <c r="F107" s="42"/>
      <c r="G107" s="42"/>
      <c r="H107" s="44"/>
      <c r="I107" s="44"/>
      <c r="J107" s="44"/>
      <c r="K107" s="25"/>
    </row>
    <row r="108" spans="2:11" ht="12.75">
      <c r="B108" s="24"/>
      <c r="C108" s="24"/>
      <c r="D108" s="24"/>
      <c r="E108" s="24"/>
      <c r="F108" s="42"/>
      <c r="G108" s="42"/>
      <c r="H108" s="44"/>
      <c r="I108" s="44"/>
      <c r="J108" s="44"/>
      <c r="K108" s="25"/>
    </row>
    <row r="109" spans="2:11" ht="12.75">
      <c r="B109" s="24"/>
      <c r="C109" s="24"/>
      <c r="D109" s="24"/>
      <c r="E109" s="24"/>
      <c r="F109" s="42"/>
      <c r="G109" s="42"/>
      <c r="H109" s="44"/>
      <c r="I109" s="44"/>
      <c r="J109" s="44"/>
      <c r="K109" s="25"/>
    </row>
    <row r="110" spans="2:11" ht="12.75">
      <c r="B110" s="24"/>
      <c r="C110" s="24"/>
      <c r="D110" s="24"/>
      <c r="E110" s="24"/>
      <c r="F110" s="42"/>
      <c r="G110" s="42"/>
      <c r="H110" s="44"/>
      <c r="I110" s="44"/>
      <c r="J110" s="44"/>
      <c r="K110" s="25"/>
    </row>
    <row r="111" spans="2:11" ht="12.75">
      <c r="B111" s="24"/>
      <c r="C111" s="24"/>
      <c r="D111" s="24"/>
      <c r="E111" s="24"/>
      <c r="F111" s="42"/>
      <c r="G111" s="42"/>
      <c r="H111" s="44"/>
      <c r="I111" s="44"/>
      <c r="J111" s="44"/>
      <c r="K111" s="25"/>
    </row>
    <row r="112" spans="2:11" ht="12.75">
      <c r="B112" s="24"/>
      <c r="C112" s="24"/>
      <c r="D112" s="24"/>
      <c r="E112" s="24"/>
      <c r="F112" s="42"/>
      <c r="G112" s="42"/>
      <c r="H112" s="44"/>
      <c r="I112" s="44"/>
      <c r="J112" s="44"/>
      <c r="K112" s="25"/>
    </row>
    <row r="113" spans="2:11" ht="12.75">
      <c r="B113" s="24"/>
      <c r="C113" s="24"/>
      <c r="D113" s="24"/>
      <c r="E113" s="24"/>
      <c r="F113" s="42"/>
      <c r="G113" s="42"/>
      <c r="H113" s="44"/>
      <c r="I113" s="44"/>
      <c r="J113" s="44"/>
      <c r="K113" s="25"/>
    </row>
    <row r="114" spans="2:11" ht="12.75">
      <c r="B114" s="24"/>
      <c r="C114" s="24"/>
      <c r="D114" s="24"/>
      <c r="E114" s="24"/>
      <c r="F114" s="42"/>
      <c r="G114" s="42"/>
      <c r="H114" s="44"/>
      <c r="I114" s="44"/>
      <c r="J114" s="44"/>
      <c r="K114" s="25"/>
    </row>
    <row r="115" spans="2:11" ht="12.75">
      <c r="B115" s="24"/>
      <c r="C115" s="24"/>
      <c r="D115" s="24"/>
      <c r="E115" s="24"/>
      <c r="F115" s="42"/>
      <c r="G115" s="42"/>
      <c r="H115" s="44"/>
      <c r="I115" s="44"/>
      <c r="J115" s="44"/>
      <c r="K115" s="25"/>
    </row>
    <row r="116" spans="2:11" ht="12.75">
      <c r="B116" s="24"/>
      <c r="C116" s="24"/>
      <c r="D116" s="24"/>
      <c r="E116" s="24"/>
      <c r="F116" s="42"/>
      <c r="G116" s="42"/>
      <c r="H116" s="44"/>
      <c r="I116" s="44"/>
      <c r="J116" s="44"/>
      <c r="K116" s="25"/>
    </row>
    <row r="117" spans="2:11" ht="12.75">
      <c r="B117" s="24"/>
      <c r="C117" s="24"/>
      <c r="D117" s="24"/>
      <c r="E117" s="24"/>
      <c r="F117" s="42"/>
      <c r="G117" s="42"/>
      <c r="H117" s="44"/>
      <c r="I117" s="44"/>
      <c r="J117" s="44"/>
      <c r="K117" s="25"/>
    </row>
    <row r="118" spans="2:11" ht="12.75">
      <c r="B118" s="24"/>
      <c r="C118" s="24"/>
      <c r="D118" s="24"/>
      <c r="E118" s="24"/>
      <c r="F118" s="42"/>
      <c r="G118" s="42"/>
      <c r="H118" s="44"/>
      <c r="I118" s="44"/>
      <c r="J118" s="44"/>
      <c r="K118" s="25"/>
    </row>
    <row r="119" spans="2:11" ht="12.75">
      <c r="B119" s="24"/>
      <c r="C119" s="24"/>
      <c r="D119" s="24"/>
      <c r="E119" s="24"/>
      <c r="F119" s="42"/>
      <c r="G119" s="42"/>
      <c r="H119" s="44"/>
      <c r="I119" s="44"/>
      <c r="J119" s="44"/>
      <c r="K119" s="25"/>
    </row>
    <row r="120" spans="2:11" ht="12.75">
      <c r="B120" s="24"/>
      <c r="C120" s="24"/>
      <c r="D120" s="24"/>
      <c r="E120" s="24"/>
      <c r="F120" s="42"/>
      <c r="G120" s="42"/>
      <c r="H120" s="44"/>
      <c r="I120" s="44"/>
      <c r="J120" s="44"/>
      <c r="K120" s="25"/>
    </row>
    <row r="121" spans="2:11" ht="12.75">
      <c r="B121" s="24"/>
      <c r="C121" s="24"/>
      <c r="D121" s="24"/>
      <c r="E121" s="24"/>
      <c r="F121" s="42"/>
      <c r="G121" s="42"/>
      <c r="H121" s="44"/>
      <c r="I121" s="44"/>
      <c r="J121" s="44"/>
      <c r="K121" s="25"/>
    </row>
    <row r="122" spans="2:11" ht="12.75"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2:11" ht="12.75"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2:11" ht="12.75"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2:11" ht="12.75"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2:11" ht="12.75">
      <c r="B126" s="24"/>
      <c r="C126" s="24"/>
      <c r="D126" s="45" t="s">
        <v>36</v>
      </c>
      <c r="E126" s="46">
        <v>40270</v>
      </c>
      <c r="F126" s="24"/>
      <c r="G126" s="24"/>
      <c r="H126" s="24"/>
      <c r="I126" s="24"/>
      <c r="J126" s="24"/>
      <c r="K126" s="24"/>
    </row>
  </sheetData>
  <sheetProtection/>
  <printOptions/>
  <pageMargins left="1.04" right="0.75" top="1.32" bottom="1" header="0.5" footer="0.5"/>
  <pageSetup horizontalDpi="600" verticalDpi="600" orientation="portrait" scale="80" r:id="rId1"/>
  <headerFooter alignWithMargins="0">
    <oddHeader>&amp;C&amp;"Arial,Bold"&amp;12Delta Natural Gas Company
Account Investment Summary
367 -- Transmission Mains</oddHeader>
  </headerFooter>
  <rowBreaks count="1" manualBreakCount="1">
    <brk id="97" max="255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tabColor rgb="FF00B050"/>
  </sheetPr>
  <dimension ref="A1:AA540"/>
  <sheetViews>
    <sheetView tabSelected="1" zoomScalePageLayoutView="0" workbookViewId="0" topLeftCell="F68">
      <selection activeCell="C94" sqref="C94"/>
    </sheetView>
  </sheetViews>
  <sheetFormatPr defaultColWidth="9.140625" defaultRowHeight="12.75"/>
  <cols>
    <col min="3" max="6" width="13.421875" style="0" customWidth="1"/>
    <col min="7" max="7" width="20.00390625" style="0" customWidth="1"/>
    <col min="9" max="9" width="12.8515625" style="0" bestFit="1" customWidth="1"/>
    <col min="12" max="12" width="13.7109375" style="0" customWidth="1"/>
    <col min="19" max="19" width="11.28125" style="0" customWidth="1"/>
    <col min="22" max="27" width="15.7109375" style="0" customWidth="1"/>
  </cols>
  <sheetData>
    <row r="1" ht="12.75">
      <c r="R1" s="22"/>
    </row>
    <row r="2" spans="3:27" ht="12.75">
      <c r="C2" s="3" t="s">
        <v>0</v>
      </c>
      <c r="D2" s="3"/>
      <c r="E2" s="3"/>
      <c r="F2" s="3"/>
      <c r="G2" s="3" t="s">
        <v>0</v>
      </c>
      <c r="I2" s="3" t="s">
        <v>2</v>
      </c>
      <c r="V2" s="3" t="s">
        <v>30</v>
      </c>
      <c r="W2" s="16" t="s">
        <v>32</v>
      </c>
      <c r="X2" s="16" t="s">
        <v>32</v>
      </c>
      <c r="Y2" s="16" t="s">
        <v>33</v>
      </c>
      <c r="Z2" s="16" t="s">
        <v>33</v>
      </c>
      <c r="AA2" s="3" t="s">
        <v>34</v>
      </c>
    </row>
    <row r="3" spans="1:27" ht="13.5" thickBot="1">
      <c r="A3" s="14" t="s">
        <v>5</v>
      </c>
      <c r="B3" s="12"/>
      <c r="C3" s="13" t="s">
        <v>1</v>
      </c>
      <c r="D3" s="13" t="s">
        <v>2</v>
      </c>
      <c r="E3" s="13" t="s">
        <v>3</v>
      </c>
      <c r="F3" s="13" t="s">
        <v>4</v>
      </c>
      <c r="G3" s="13" t="s">
        <v>1</v>
      </c>
      <c r="H3" s="12"/>
      <c r="I3" s="13" t="s">
        <v>21</v>
      </c>
      <c r="J3" s="13" t="s">
        <v>22</v>
      </c>
      <c r="R3" s="14" t="s">
        <v>6</v>
      </c>
      <c r="S3" s="17" t="s">
        <v>3</v>
      </c>
      <c r="T3" s="13" t="s">
        <v>27</v>
      </c>
      <c r="U3" s="17" t="s">
        <v>11</v>
      </c>
      <c r="V3" s="17" t="s">
        <v>31</v>
      </c>
      <c r="W3" s="17" t="s">
        <v>28</v>
      </c>
      <c r="X3" s="17" t="s">
        <v>29</v>
      </c>
      <c r="Y3" s="17" t="s">
        <v>28</v>
      </c>
      <c r="Z3" s="17" t="s">
        <v>29</v>
      </c>
      <c r="AA3" s="17" t="s">
        <v>25</v>
      </c>
    </row>
    <row r="4" spans="3:7" ht="12.75">
      <c r="C4" s="1"/>
      <c r="D4" s="1"/>
      <c r="E4" s="1"/>
      <c r="F4" s="1"/>
      <c r="G4" s="1"/>
    </row>
    <row r="5" spans="3:7" ht="12.75">
      <c r="C5" s="1"/>
      <c r="D5" s="1"/>
      <c r="E5" s="1"/>
      <c r="F5" s="1"/>
      <c r="G5" s="1"/>
    </row>
    <row r="6" spans="1:27" ht="12.75">
      <c r="A6">
        <v>1940</v>
      </c>
      <c r="C6" s="35">
        <v>0</v>
      </c>
      <c r="D6" s="35">
        <v>0</v>
      </c>
      <c r="E6" s="35">
        <v>0</v>
      </c>
      <c r="F6" s="35">
        <v>0</v>
      </c>
      <c r="G6" s="35">
        <f aca="true" t="shared" si="0" ref="G6:G51">C6+D6+E6-F6</f>
        <v>0</v>
      </c>
      <c r="H6" s="28">
        <v>80.5</v>
      </c>
      <c r="I6" s="29">
        <v>0</v>
      </c>
      <c r="J6" s="29">
        <f aca="true" t="shared" si="1" ref="J6:J51">IF(I6=0,0,ROUND((I6/D6/$G$94)+H6,1))</f>
        <v>0</v>
      </c>
      <c r="R6" s="21">
        <f>A6</f>
        <v>1940</v>
      </c>
      <c r="S6" s="4">
        <f aca="true" t="shared" si="2" ref="S6:S37">E6</f>
        <v>0</v>
      </c>
      <c r="T6">
        <f aca="true" t="shared" si="3" ref="T6:T37">IF(D6&gt;0,IF(J6&gt;0,D6,0),0)</f>
        <v>0</v>
      </c>
      <c r="U6">
        <f aca="true" t="shared" si="4" ref="U6:U37">$V$94</f>
        <v>49</v>
      </c>
      <c r="V6" s="1" t="str">
        <f aca="true" t="shared" si="5" ref="V6:V37">$V$93</f>
        <v>L0</v>
      </c>
      <c r="W6" s="2">
        <f aca="true" t="shared" si="6" ref="W6:W37">S6/U6</f>
        <v>0</v>
      </c>
      <c r="X6" s="2">
        <f>T6/U6</f>
        <v>0</v>
      </c>
      <c r="Y6" s="18">
        <f aca="true" t="shared" si="7" ref="Y6:Y37">Prob_life(V6,H6,U6)</f>
        <v>20.083147674738132</v>
      </c>
      <c r="Z6" s="18">
        <f aca="true" t="shared" si="8" ref="Z6:Z37">IF(J6&gt;0,Prob_life(V6,J6+0.5,U6),0)</f>
        <v>0</v>
      </c>
      <c r="AA6" s="2">
        <f>W6*Y6+X6*Z6</f>
        <v>0</v>
      </c>
    </row>
    <row r="7" spans="1:27" ht="12.75">
      <c r="A7">
        <v>1941</v>
      </c>
      <c r="C7" s="35">
        <f aca="true" t="shared" si="9" ref="C7:C51">G6</f>
        <v>0</v>
      </c>
      <c r="D7" s="35">
        <v>0</v>
      </c>
      <c r="E7" s="35">
        <v>0</v>
      </c>
      <c r="F7" s="35">
        <v>0</v>
      </c>
      <c r="G7" s="35">
        <f t="shared" si="0"/>
        <v>0</v>
      </c>
      <c r="H7" s="28">
        <v>79.5</v>
      </c>
      <c r="I7" s="29">
        <v>0</v>
      </c>
      <c r="J7" s="29">
        <f t="shared" si="1"/>
        <v>0</v>
      </c>
      <c r="R7" s="21">
        <f aca="true" t="shared" si="10" ref="R7:R68">A7</f>
        <v>1941</v>
      </c>
      <c r="S7" s="4">
        <f t="shared" si="2"/>
        <v>0</v>
      </c>
      <c r="T7">
        <f t="shared" si="3"/>
        <v>0</v>
      </c>
      <c r="U7">
        <f t="shared" si="4"/>
        <v>49</v>
      </c>
      <c r="V7" s="1" t="str">
        <f t="shared" si="5"/>
        <v>L0</v>
      </c>
      <c r="W7" s="2">
        <f t="shared" si="6"/>
        <v>0</v>
      </c>
      <c r="X7" s="2">
        <f aca="true" t="shared" si="11" ref="X7:X68">T7/U7</f>
        <v>0</v>
      </c>
      <c r="Y7" s="18">
        <f t="shared" si="7"/>
        <v>20.30558243422715</v>
      </c>
      <c r="Z7" s="18">
        <f t="shared" si="8"/>
        <v>0</v>
      </c>
      <c r="AA7" s="2">
        <f aca="true" t="shared" si="12" ref="AA7:AA68">W7*Y7+X7*Z7</f>
        <v>0</v>
      </c>
    </row>
    <row r="8" spans="1:27" ht="12.75">
      <c r="A8">
        <v>1942</v>
      </c>
      <c r="C8" s="35">
        <f t="shared" si="9"/>
        <v>0</v>
      </c>
      <c r="D8" s="35">
        <v>0</v>
      </c>
      <c r="E8" s="35">
        <v>0</v>
      </c>
      <c r="F8" s="35">
        <v>0</v>
      </c>
      <c r="G8" s="35">
        <f t="shared" si="0"/>
        <v>0</v>
      </c>
      <c r="H8" s="28">
        <v>78.5</v>
      </c>
      <c r="I8" s="29">
        <v>0</v>
      </c>
      <c r="J8" s="29">
        <f t="shared" si="1"/>
        <v>0</v>
      </c>
      <c r="R8" s="21">
        <f t="shared" si="10"/>
        <v>1942</v>
      </c>
      <c r="S8" s="4">
        <f t="shared" si="2"/>
        <v>0</v>
      </c>
      <c r="T8">
        <f t="shared" si="3"/>
        <v>0</v>
      </c>
      <c r="U8">
        <f t="shared" si="4"/>
        <v>49</v>
      </c>
      <c r="V8" s="1" t="str">
        <f t="shared" si="5"/>
        <v>L0</v>
      </c>
      <c r="W8" s="2">
        <f t="shared" si="6"/>
        <v>0</v>
      </c>
      <c r="X8" s="2">
        <f t="shared" si="11"/>
        <v>0</v>
      </c>
      <c r="Y8" s="18">
        <f t="shared" si="7"/>
        <v>20.529927238256327</v>
      </c>
      <c r="Z8" s="18">
        <f t="shared" si="8"/>
        <v>0</v>
      </c>
      <c r="AA8" s="2">
        <f t="shared" si="12"/>
        <v>0</v>
      </c>
    </row>
    <row r="9" spans="1:27" ht="12.75">
      <c r="A9">
        <v>1943</v>
      </c>
      <c r="C9" s="35">
        <f t="shared" si="9"/>
        <v>0</v>
      </c>
      <c r="D9" s="35">
        <v>0</v>
      </c>
      <c r="E9" s="35">
        <v>0</v>
      </c>
      <c r="F9" s="35">
        <v>0</v>
      </c>
      <c r="G9" s="35">
        <f t="shared" si="0"/>
        <v>0</v>
      </c>
      <c r="H9" s="28">
        <v>77.5</v>
      </c>
      <c r="I9" s="29">
        <v>0</v>
      </c>
      <c r="J9" s="29">
        <f t="shared" si="1"/>
        <v>0</v>
      </c>
      <c r="R9" s="21">
        <f t="shared" si="10"/>
        <v>1943</v>
      </c>
      <c r="S9" s="4">
        <f t="shared" si="2"/>
        <v>0</v>
      </c>
      <c r="T9">
        <f t="shared" si="3"/>
        <v>0</v>
      </c>
      <c r="U9">
        <f t="shared" si="4"/>
        <v>49</v>
      </c>
      <c r="V9" s="1" t="str">
        <f t="shared" si="5"/>
        <v>L0</v>
      </c>
      <c r="W9" s="2">
        <f t="shared" si="6"/>
        <v>0</v>
      </c>
      <c r="X9" s="2">
        <f t="shared" si="11"/>
        <v>0</v>
      </c>
      <c r="Y9" s="18">
        <f t="shared" si="7"/>
        <v>20.75620827682258</v>
      </c>
      <c r="Z9" s="18">
        <f t="shared" si="8"/>
        <v>0</v>
      </c>
      <c r="AA9" s="2">
        <f t="shared" si="12"/>
        <v>0</v>
      </c>
    </row>
    <row r="10" spans="1:27" ht="12.75">
      <c r="A10">
        <v>1944</v>
      </c>
      <c r="C10" s="35">
        <f t="shared" si="9"/>
        <v>0</v>
      </c>
      <c r="D10" s="35">
        <v>0</v>
      </c>
      <c r="E10" s="35">
        <v>0</v>
      </c>
      <c r="F10" s="35">
        <v>0</v>
      </c>
      <c r="G10" s="35">
        <f t="shared" si="0"/>
        <v>0</v>
      </c>
      <c r="H10" s="28">
        <v>76.5</v>
      </c>
      <c r="I10" s="29">
        <v>0</v>
      </c>
      <c r="J10" s="29">
        <f t="shared" si="1"/>
        <v>0</v>
      </c>
      <c r="R10" s="21">
        <f t="shared" si="10"/>
        <v>1944</v>
      </c>
      <c r="S10" s="4">
        <f t="shared" si="2"/>
        <v>0</v>
      </c>
      <c r="T10">
        <f t="shared" si="3"/>
        <v>0</v>
      </c>
      <c r="U10">
        <f t="shared" si="4"/>
        <v>49</v>
      </c>
      <c r="V10" s="1" t="str">
        <f t="shared" si="5"/>
        <v>L0</v>
      </c>
      <c r="W10" s="2">
        <f t="shared" si="6"/>
        <v>0</v>
      </c>
      <c r="X10" s="2">
        <f t="shared" si="11"/>
        <v>0</v>
      </c>
      <c r="Y10" s="18">
        <f t="shared" si="7"/>
        <v>20.98445215912493</v>
      </c>
      <c r="Z10" s="18">
        <f t="shared" si="8"/>
        <v>0</v>
      </c>
      <c r="AA10" s="2">
        <f t="shared" si="12"/>
        <v>0</v>
      </c>
    </row>
    <row r="11" spans="1:27" ht="12.75">
      <c r="A11">
        <v>1945</v>
      </c>
      <c r="C11" s="35">
        <f t="shared" si="9"/>
        <v>0</v>
      </c>
      <c r="D11" s="35">
        <v>0</v>
      </c>
      <c r="E11" s="35">
        <v>0</v>
      </c>
      <c r="F11" s="35">
        <v>0</v>
      </c>
      <c r="G11" s="35">
        <f t="shared" si="0"/>
        <v>0</v>
      </c>
      <c r="H11" s="28">
        <v>75.5</v>
      </c>
      <c r="I11" s="29">
        <v>0</v>
      </c>
      <c r="J11" s="29">
        <f t="shared" si="1"/>
        <v>0</v>
      </c>
      <c r="R11" s="21">
        <f t="shared" si="10"/>
        <v>1945</v>
      </c>
      <c r="S11" s="4">
        <f t="shared" si="2"/>
        <v>0</v>
      </c>
      <c r="T11">
        <f t="shared" si="3"/>
        <v>0</v>
      </c>
      <c r="U11">
        <f t="shared" si="4"/>
        <v>49</v>
      </c>
      <c r="V11" s="1" t="str">
        <f t="shared" si="5"/>
        <v>L0</v>
      </c>
      <c r="W11" s="2">
        <f t="shared" si="6"/>
        <v>0</v>
      </c>
      <c r="X11" s="2">
        <f t="shared" si="11"/>
        <v>0</v>
      </c>
      <c r="Y11" s="18">
        <f t="shared" si="7"/>
        <v>21.214685914392817</v>
      </c>
      <c r="Z11" s="18">
        <f t="shared" si="8"/>
        <v>0</v>
      </c>
      <c r="AA11" s="2">
        <f t="shared" si="12"/>
        <v>0</v>
      </c>
    </row>
    <row r="12" spans="1:27" ht="12.75">
      <c r="A12">
        <v>1946</v>
      </c>
      <c r="C12" s="35">
        <f t="shared" si="9"/>
        <v>0</v>
      </c>
      <c r="D12" s="35">
        <v>0</v>
      </c>
      <c r="E12" s="35">
        <v>0</v>
      </c>
      <c r="F12" s="35">
        <v>0</v>
      </c>
      <c r="G12" s="35">
        <f t="shared" si="0"/>
        <v>0</v>
      </c>
      <c r="H12" s="28">
        <v>74.5</v>
      </c>
      <c r="I12" s="29">
        <v>0</v>
      </c>
      <c r="J12" s="29">
        <f t="shared" si="1"/>
        <v>0</v>
      </c>
      <c r="R12" s="21">
        <f t="shared" si="10"/>
        <v>1946</v>
      </c>
      <c r="S12" s="4">
        <f t="shared" si="2"/>
        <v>0</v>
      </c>
      <c r="T12">
        <f t="shared" si="3"/>
        <v>0</v>
      </c>
      <c r="U12">
        <f t="shared" si="4"/>
        <v>49</v>
      </c>
      <c r="V12" s="1" t="str">
        <f t="shared" si="5"/>
        <v>L0</v>
      </c>
      <c r="W12" s="2">
        <f t="shared" si="6"/>
        <v>0</v>
      </c>
      <c r="X12" s="2">
        <f t="shared" si="11"/>
        <v>0</v>
      </c>
      <c r="Y12" s="18">
        <f t="shared" si="7"/>
        <v>21.44693699916491</v>
      </c>
      <c r="Z12" s="18">
        <f t="shared" si="8"/>
        <v>0</v>
      </c>
      <c r="AA12" s="2">
        <f t="shared" si="12"/>
        <v>0</v>
      </c>
    </row>
    <row r="13" spans="1:27" ht="12.75">
      <c r="A13">
        <v>1947</v>
      </c>
      <c r="C13" s="35">
        <f t="shared" si="9"/>
        <v>0</v>
      </c>
      <c r="D13" s="35">
        <v>0</v>
      </c>
      <c r="E13" s="35">
        <v>0</v>
      </c>
      <c r="F13" s="35">
        <v>0</v>
      </c>
      <c r="G13" s="35">
        <f t="shared" si="0"/>
        <v>0</v>
      </c>
      <c r="H13" s="28">
        <v>73.5</v>
      </c>
      <c r="I13" s="29">
        <v>0</v>
      </c>
      <c r="J13" s="29">
        <f t="shared" si="1"/>
        <v>0</v>
      </c>
      <c r="R13" s="21">
        <f t="shared" si="10"/>
        <v>1947</v>
      </c>
      <c r="S13" s="4">
        <f t="shared" si="2"/>
        <v>0</v>
      </c>
      <c r="T13">
        <f t="shared" si="3"/>
        <v>0</v>
      </c>
      <c r="U13">
        <f t="shared" si="4"/>
        <v>49</v>
      </c>
      <c r="V13" s="1" t="str">
        <f t="shared" si="5"/>
        <v>L0</v>
      </c>
      <c r="W13" s="2">
        <f t="shared" si="6"/>
        <v>0</v>
      </c>
      <c r="X13" s="2">
        <f t="shared" si="11"/>
        <v>0</v>
      </c>
      <c r="Y13" s="18">
        <f t="shared" si="7"/>
        <v>21.68123329310127</v>
      </c>
      <c r="Z13" s="18">
        <f t="shared" si="8"/>
        <v>0</v>
      </c>
      <c r="AA13" s="2">
        <f t="shared" si="12"/>
        <v>0</v>
      </c>
    </row>
    <row r="14" spans="1:27" ht="12.75">
      <c r="A14">
        <v>1948</v>
      </c>
      <c r="C14" s="35">
        <f t="shared" si="9"/>
        <v>0</v>
      </c>
      <c r="D14" s="35">
        <v>0</v>
      </c>
      <c r="E14" s="35">
        <v>0</v>
      </c>
      <c r="F14" s="35">
        <v>0</v>
      </c>
      <c r="G14" s="35">
        <f t="shared" si="0"/>
        <v>0</v>
      </c>
      <c r="H14" s="28">
        <v>72.5</v>
      </c>
      <c r="I14" s="29">
        <v>0</v>
      </c>
      <c r="J14" s="29">
        <f t="shared" si="1"/>
        <v>0</v>
      </c>
      <c r="R14" s="21">
        <f t="shared" si="10"/>
        <v>1948</v>
      </c>
      <c r="S14" s="4">
        <f t="shared" si="2"/>
        <v>0</v>
      </c>
      <c r="T14">
        <f t="shared" si="3"/>
        <v>0</v>
      </c>
      <c r="U14">
        <f t="shared" si="4"/>
        <v>49</v>
      </c>
      <c r="V14" s="1" t="str">
        <f t="shared" si="5"/>
        <v>L0</v>
      </c>
      <c r="W14" s="2">
        <f t="shared" si="6"/>
        <v>0</v>
      </c>
      <c r="X14" s="2">
        <f t="shared" si="11"/>
        <v>0</v>
      </c>
      <c r="Y14" s="18">
        <f t="shared" si="7"/>
        <v>21.917603106481714</v>
      </c>
      <c r="Z14" s="18">
        <f t="shared" si="8"/>
        <v>0</v>
      </c>
      <c r="AA14" s="2">
        <f t="shared" si="12"/>
        <v>0</v>
      </c>
    </row>
    <row r="15" spans="1:27" ht="12.75">
      <c r="A15">
        <v>1949</v>
      </c>
      <c r="C15" s="35">
        <f t="shared" si="9"/>
        <v>0</v>
      </c>
      <c r="D15" s="35">
        <v>0</v>
      </c>
      <c r="E15" s="35">
        <v>0</v>
      </c>
      <c r="F15" s="35">
        <v>0</v>
      </c>
      <c r="G15" s="35">
        <f t="shared" si="0"/>
        <v>0</v>
      </c>
      <c r="H15" s="28">
        <v>71.5</v>
      </c>
      <c r="I15" s="29">
        <v>0</v>
      </c>
      <c r="J15" s="29">
        <f t="shared" si="1"/>
        <v>0</v>
      </c>
      <c r="R15" s="21">
        <f t="shared" si="10"/>
        <v>1949</v>
      </c>
      <c r="S15" s="4">
        <f t="shared" si="2"/>
        <v>0</v>
      </c>
      <c r="T15">
        <f t="shared" si="3"/>
        <v>0</v>
      </c>
      <c r="U15">
        <f t="shared" si="4"/>
        <v>49</v>
      </c>
      <c r="V15" s="1" t="str">
        <f t="shared" si="5"/>
        <v>L0</v>
      </c>
      <c r="W15" s="2">
        <f t="shared" si="6"/>
        <v>0</v>
      </c>
      <c r="X15" s="2">
        <f t="shared" si="11"/>
        <v>0</v>
      </c>
      <c r="Y15" s="18">
        <f t="shared" si="7"/>
        <v>22.156075180398613</v>
      </c>
      <c r="Z15" s="18">
        <f t="shared" si="8"/>
        <v>0</v>
      </c>
      <c r="AA15" s="2">
        <f t="shared" si="12"/>
        <v>0</v>
      </c>
    </row>
    <row r="16" spans="1:27" ht="12.75">
      <c r="A16">
        <v>1950</v>
      </c>
      <c r="C16" s="35">
        <f t="shared" si="9"/>
        <v>0</v>
      </c>
      <c r="D16" s="35">
        <v>0</v>
      </c>
      <c r="E16" s="35">
        <v>0</v>
      </c>
      <c r="F16" s="35">
        <v>0</v>
      </c>
      <c r="G16" s="35">
        <f t="shared" si="0"/>
        <v>0</v>
      </c>
      <c r="H16" s="28">
        <v>70.5</v>
      </c>
      <c r="I16" s="29">
        <v>0</v>
      </c>
      <c r="J16" s="29">
        <f t="shared" si="1"/>
        <v>0</v>
      </c>
      <c r="R16" s="21">
        <f t="shared" si="10"/>
        <v>1950</v>
      </c>
      <c r="S16" s="4">
        <f t="shared" si="2"/>
        <v>0</v>
      </c>
      <c r="T16">
        <f t="shared" si="3"/>
        <v>0</v>
      </c>
      <c r="U16">
        <f t="shared" si="4"/>
        <v>49</v>
      </c>
      <c r="V16" s="1" t="str">
        <f t="shared" si="5"/>
        <v>L0</v>
      </c>
      <c r="W16" s="2">
        <f t="shared" si="6"/>
        <v>0</v>
      </c>
      <c r="X16" s="2">
        <f t="shared" si="11"/>
        <v>0</v>
      </c>
      <c r="Y16" s="18">
        <f t="shared" si="7"/>
        <v>22.39667868977064</v>
      </c>
      <c r="Z16" s="18">
        <f t="shared" si="8"/>
        <v>0</v>
      </c>
      <c r="AA16" s="2">
        <f t="shared" si="12"/>
        <v>0</v>
      </c>
    </row>
    <row r="17" spans="1:27" ht="12.75">
      <c r="A17">
        <v>1951</v>
      </c>
      <c r="C17" s="35">
        <f t="shared" si="9"/>
        <v>0</v>
      </c>
      <c r="D17" s="35">
        <v>0</v>
      </c>
      <c r="E17" s="35">
        <v>0</v>
      </c>
      <c r="F17" s="35">
        <v>0</v>
      </c>
      <c r="G17" s="35">
        <f t="shared" si="0"/>
        <v>0</v>
      </c>
      <c r="H17" s="28">
        <v>69.5</v>
      </c>
      <c r="I17" s="29">
        <v>0</v>
      </c>
      <c r="J17" s="29">
        <f t="shared" si="1"/>
        <v>0</v>
      </c>
      <c r="R17" s="21">
        <f t="shared" si="10"/>
        <v>1951</v>
      </c>
      <c r="S17" s="4">
        <f t="shared" si="2"/>
        <v>0</v>
      </c>
      <c r="T17">
        <f t="shared" si="3"/>
        <v>0</v>
      </c>
      <c r="U17">
        <f t="shared" si="4"/>
        <v>49</v>
      </c>
      <c r="V17" s="1" t="str">
        <f t="shared" si="5"/>
        <v>L0</v>
      </c>
      <c r="W17" s="2">
        <f t="shared" si="6"/>
        <v>0</v>
      </c>
      <c r="X17" s="2">
        <f t="shared" si="11"/>
        <v>0</v>
      </c>
      <c r="Y17" s="18">
        <f t="shared" si="7"/>
        <v>22.639443246160116</v>
      </c>
      <c r="Z17" s="18">
        <f t="shared" si="8"/>
        <v>0</v>
      </c>
      <c r="AA17" s="2">
        <f t="shared" si="12"/>
        <v>0</v>
      </c>
    </row>
    <row r="18" spans="1:27" ht="12.75">
      <c r="A18">
        <v>1952</v>
      </c>
      <c r="C18" s="35">
        <f t="shared" si="9"/>
        <v>0</v>
      </c>
      <c r="D18" s="35">
        <v>0</v>
      </c>
      <c r="E18" s="35">
        <v>0</v>
      </c>
      <c r="F18" s="35">
        <v>0</v>
      </c>
      <c r="G18" s="35">
        <f t="shared" si="0"/>
        <v>0</v>
      </c>
      <c r="H18" s="28">
        <v>68.5</v>
      </c>
      <c r="I18" s="29">
        <v>0</v>
      </c>
      <c r="J18" s="29">
        <f t="shared" si="1"/>
        <v>0</v>
      </c>
      <c r="R18" s="21">
        <f t="shared" si="10"/>
        <v>1952</v>
      </c>
      <c r="S18" s="4">
        <f t="shared" si="2"/>
        <v>0</v>
      </c>
      <c r="T18">
        <f t="shared" si="3"/>
        <v>0</v>
      </c>
      <c r="U18">
        <f t="shared" si="4"/>
        <v>49</v>
      </c>
      <c r="V18" s="1" t="str">
        <f t="shared" si="5"/>
        <v>L0</v>
      </c>
      <c r="W18" s="2">
        <f t="shared" si="6"/>
        <v>0</v>
      </c>
      <c r="X18" s="2">
        <f t="shared" si="11"/>
        <v>0</v>
      </c>
      <c r="Y18" s="18">
        <f t="shared" si="7"/>
        <v>22.884398899334318</v>
      </c>
      <c r="Z18" s="18">
        <f t="shared" si="8"/>
        <v>0</v>
      </c>
      <c r="AA18" s="2">
        <f t="shared" si="12"/>
        <v>0</v>
      </c>
    </row>
    <row r="19" spans="1:27" ht="12.75">
      <c r="A19">
        <v>1953</v>
      </c>
      <c r="C19" s="35">
        <f t="shared" si="9"/>
        <v>0</v>
      </c>
      <c r="D19" s="35">
        <v>0</v>
      </c>
      <c r="E19" s="35">
        <v>0</v>
      </c>
      <c r="F19" s="35">
        <v>0</v>
      </c>
      <c r="G19" s="35">
        <f t="shared" si="0"/>
        <v>0</v>
      </c>
      <c r="H19" s="28">
        <v>67.5</v>
      </c>
      <c r="I19" s="29">
        <v>0</v>
      </c>
      <c r="J19" s="29">
        <f t="shared" si="1"/>
        <v>0</v>
      </c>
      <c r="R19" s="21">
        <f t="shared" si="10"/>
        <v>1953</v>
      </c>
      <c r="S19" s="4">
        <f t="shared" si="2"/>
        <v>0</v>
      </c>
      <c r="T19">
        <f t="shared" si="3"/>
        <v>0</v>
      </c>
      <c r="U19">
        <f t="shared" si="4"/>
        <v>49</v>
      </c>
      <c r="V19" s="1" t="str">
        <f t="shared" si="5"/>
        <v>L0</v>
      </c>
      <c r="W19" s="2">
        <f t="shared" si="6"/>
        <v>0</v>
      </c>
      <c r="X19" s="2">
        <f t="shared" si="11"/>
        <v>0</v>
      </c>
      <c r="Y19" s="18">
        <f t="shared" si="7"/>
        <v>23.131576141960768</v>
      </c>
      <c r="Z19" s="18">
        <f t="shared" si="8"/>
        <v>0</v>
      </c>
      <c r="AA19" s="2">
        <f t="shared" si="12"/>
        <v>0</v>
      </c>
    </row>
    <row r="20" spans="1:27" ht="12.75">
      <c r="A20">
        <v>1954</v>
      </c>
      <c r="C20" s="35">
        <f t="shared" si="9"/>
        <v>0</v>
      </c>
      <c r="D20" s="35">
        <v>0</v>
      </c>
      <c r="E20" s="35">
        <v>0</v>
      </c>
      <c r="F20" s="35">
        <v>0</v>
      </c>
      <c r="G20" s="35">
        <f t="shared" si="0"/>
        <v>0</v>
      </c>
      <c r="H20" s="28">
        <v>66.5</v>
      </c>
      <c r="I20" s="29">
        <v>0</v>
      </c>
      <c r="J20" s="29">
        <f t="shared" si="1"/>
        <v>0</v>
      </c>
      <c r="R20" s="21">
        <f t="shared" si="10"/>
        <v>1954</v>
      </c>
      <c r="S20" s="4">
        <f t="shared" si="2"/>
        <v>0</v>
      </c>
      <c r="T20">
        <f t="shared" si="3"/>
        <v>0</v>
      </c>
      <c r="U20">
        <f t="shared" si="4"/>
        <v>49</v>
      </c>
      <c r="V20" s="1" t="str">
        <f t="shared" si="5"/>
        <v>L0</v>
      </c>
      <c r="W20" s="2">
        <f t="shared" si="6"/>
        <v>0</v>
      </c>
      <c r="X20" s="2">
        <f t="shared" si="11"/>
        <v>0</v>
      </c>
      <c r="Y20" s="18">
        <f t="shared" si="7"/>
        <v>23.38100591029588</v>
      </c>
      <c r="Z20" s="18">
        <f t="shared" si="8"/>
        <v>0</v>
      </c>
      <c r="AA20" s="2">
        <f t="shared" si="12"/>
        <v>0</v>
      </c>
    </row>
    <row r="21" spans="1:27" ht="12.75">
      <c r="A21">
        <v>1955</v>
      </c>
      <c r="C21" s="35">
        <f t="shared" si="9"/>
        <v>0</v>
      </c>
      <c r="D21" s="35">
        <v>0</v>
      </c>
      <c r="E21" s="35">
        <v>0</v>
      </c>
      <c r="F21" s="35">
        <v>0</v>
      </c>
      <c r="G21" s="35">
        <f t="shared" si="0"/>
        <v>0</v>
      </c>
      <c r="H21" s="28">
        <v>65.5</v>
      </c>
      <c r="I21" s="29">
        <v>0</v>
      </c>
      <c r="J21" s="29">
        <f t="shared" si="1"/>
        <v>0</v>
      </c>
      <c r="R21" s="21">
        <f t="shared" si="10"/>
        <v>1955</v>
      </c>
      <c r="S21" s="4">
        <f t="shared" si="2"/>
        <v>0</v>
      </c>
      <c r="T21">
        <f t="shared" si="3"/>
        <v>0</v>
      </c>
      <c r="U21">
        <f t="shared" si="4"/>
        <v>49</v>
      </c>
      <c r="V21" s="1" t="str">
        <f t="shared" si="5"/>
        <v>L0</v>
      </c>
      <c r="W21" s="2">
        <f t="shared" si="6"/>
        <v>0</v>
      </c>
      <c r="X21" s="2">
        <f t="shared" si="11"/>
        <v>0</v>
      </c>
      <c r="Y21" s="18">
        <f t="shared" si="7"/>
        <v>23.632719586739338</v>
      </c>
      <c r="Z21" s="18">
        <f t="shared" si="8"/>
        <v>0</v>
      </c>
      <c r="AA21" s="2">
        <f t="shared" si="12"/>
        <v>0</v>
      </c>
    </row>
    <row r="22" spans="1:27" ht="12.75">
      <c r="A22">
        <v>1956</v>
      </c>
      <c r="C22" s="35">
        <f t="shared" si="9"/>
        <v>0</v>
      </c>
      <c r="D22" s="35">
        <v>0</v>
      </c>
      <c r="E22" s="35">
        <v>702</v>
      </c>
      <c r="F22" s="35">
        <v>0</v>
      </c>
      <c r="G22" s="35">
        <f t="shared" si="0"/>
        <v>702</v>
      </c>
      <c r="H22" s="28">
        <v>64.5</v>
      </c>
      <c r="I22" s="29">
        <v>0</v>
      </c>
      <c r="J22" s="29">
        <f t="shared" si="1"/>
        <v>0</v>
      </c>
      <c r="L22" s="38">
        <f>D22+E22</f>
        <v>702</v>
      </c>
      <c r="R22" s="21">
        <f t="shared" si="10"/>
        <v>1956</v>
      </c>
      <c r="S22" s="4">
        <f t="shared" si="2"/>
        <v>702</v>
      </c>
      <c r="T22">
        <f t="shared" si="3"/>
        <v>0</v>
      </c>
      <c r="U22">
        <f t="shared" si="4"/>
        <v>49</v>
      </c>
      <c r="V22" s="1" t="str">
        <f t="shared" si="5"/>
        <v>L0</v>
      </c>
      <c r="W22" s="2">
        <f t="shared" si="6"/>
        <v>14.326530612244898</v>
      </c>
      <c r="X22" s="2">
        <f t="shared" si="11"/>
        <v>0</v>
      </c>
      <c r="Y22" s="18">
        <f t="shared" si="7"/>
        <v>23.886749003601786</v>
      </c>
      <c r="Z22" s="18">
        <f t="shared" si="8"/>
        <v>0</v>
      </c>
      <c r="AA22" s="2">
        <f t="shared" si="12"/>
        <v>342.2142408271113</v>
      </c>
    </row>
    <row r="23" spans="1:27" ht="12.75">
      <c r="A23">
        <v>1957</v>
      </c>
      <c r="C23" s="35">
        <f t="shared" si="9"/>
        <v>702</v>
      </c>
      <c r="D23" s="35">
        <v>0</v>
      </c>
      <c r="E23" s="35">
        <v>1860</v>
      </c>
      <c r="F23" s="35">
        <v>0</v>
      </c>
      <c r="G23" s="35">
        <f t="shared" si="0"/>
        <v>2562</v>
      </c>
      <c r="H23" s="28">
        <v>63.5</v>
      </c>
      <c r="I23" s="29">
        <v>0</v>
      </c>
      <c r="J23" s="29">
        <f t="shared" si="1"/>
        <v>0</v>
      </c>
      <c r="L23" s="38">
        <f aca="true" t="shared" si="13" ref="L23:L86">D23+E23</f>
        <v>1860</v>
      </c>
      <c r="R23" s="21">
        <f t="shared" si="10"/>
        <v>1957</v>
      </c>
      <c r="S23" s="4">
        <f t="shared" si="2"/>
        <v>1860</v>
      </c>
      <c r="T23">
        <f t="shared" si="3"/>
        <v>0</v>
      </c>
      <c r="U23">
        <f t="shared" si="4"/>
        <v>49</v>
      </c>
      <c r="V23" s="1" t="str">
        <f t="shared" si="5"/>
        <v>L0</v>
      </c>
      <c r="W23" s="2">
        <f t="shared" si="6"/>
        <v>37.95918367346939</v>
      </c>
      <c r="X23" s="2">
        <f t="shared" si="11"/>
        <v>0</v>
      </c>
      <c r="Y23" s="18">
        <f t="shared" si="7"/>
        <v>24.143126445562732</v>
      </c>
      <c r="Z23" s="18">
        <f t="shared" si="8"/>
        <v>0</v>
      </c>
      <c r="AA23" s="2">
        <f t="shared" si="12"/>
        <v>916.4533711989119</v>
      </c>
    </row>
    <row r="24" spans="1:27" ht="12.75">
      <c r="A24">
        <v>1958</v>
      </c>
      <c r="C24" s="35">
        <f t="shared" si="9"/>
        <v>2562</v>
      </c>
      <c r="D24" s="35">
        <v>0</v>
      </c>
      <c r="E24" s="35">
        <v>1172</v>
      </c>
      <c r="F24" s="35">
        <v>0</v>
      </c>
      <c r="G24" s="35">
        <f t="shared" si="0"/>
        <v>3734</v>
      </c>
      <c r="H24" s="28">
        <v>62.5</v>
      </c>
      <c r="I24" s="29">
        <v>0</v>
      </c>
      <c r="J24" s="29">
        <f t="shared" si="1"/>
        <v>0</v>
      </c>
      <c r="L24" s="38">
        <f t="shared" si="13"/>
        <v>1172</v>
      </c>
      <c r="R24" s="21">
        <f t="shared" si="10"/>
        <v>1958</v>
      </c>
      <c r="S24" s="4">
        <f t="shared" si="2"/>
        <v>1172</v>
      </c>
      <c r="T24">
        <f t="shared" si="3"/>
        <v>0</v>
      </c>
      <c r="U24">
        <f t="shared" si="4"/>
        <v>49</v>
      </c>
      <c r="V24" s="1" t="str">
        <f t="shared" si="5"/>
        <v>L0</v>
      </c>
      <c r="W24" s="2">
        <f t="shared" si="6"/>
        <v>23.918367346938776</v>
      </c>
      <c r="X24" s="2">
        <f t="shared" si="11"/>
        <v>0</v>
      </c>
      <c r="Y24" s="18">
        <f t="shared" si="7"/>
        <v>24.401884650073647</v>
      </c>
      <c r="Z24" s="18">
        <f t="shared" si="8"/>
        <v>0</v>
      </c>
      <c r="AA24" s="2">
        <f t="shared" si="12"/>
        <v>583.6532410180881</v>
      </c>
    </row>
    <row r="25" spans="1:27" ht="12.75">
      <c r="A25">
        <v>1959</v>
      </c>
      <c r="C25" s="35">
        <f t="shared" si="9"/>
        <v>3734</v>
      </c>
      <c r="D25" s="35">
        <v>0</v>
      </c>
      <c r="E25" s="35">
        <v>366</v>
      </c>
      <c r="F25" s="35">
        <v>0</v>
      </c>
      <c r="G25" s="35">
        <f t="shared" si="0"/>
        <v>4100</v>
      </c>
      <c r="H25" s="28">
        <v>61.5</v>
      </c>
      <c r="I25" s="29">
        <v>0</v>
      </c>
      <c r="J25" s="29">
        <f t="shared" si="1"/>
        <v>0</v>
      </c>
      <c r="L25" s="38">
        <f t="shared" si="13"/>
        <v>366</v>
      </c>
      <c r="R25" s="21">
        <f t="shared" si="10"/>
        <v>1959</v>
      </c>
      <c r="S25" s="4">
        <f t="shared" si="2"/>
        <v>366</v>
      </c>
      <c r="T25">
        <f t="shared" si="3"/>
        <v>0</v>
      </c>
      <c r="U25">
        <f t="shared" si="4"/>
        <v>49</v>
      </c>
      <c r="V25" s="1" t="str">
        <f t="shared" si="5"/>
        <v>L0</v>
      </c>
      <c r="W25" s="2">
        <f t="shared" si="6"/>
        <v>7.469387755102041</v>
      </c>
      <c r="X25" s="2">
        <f t="shared" si="11"/>
        <v>0</v>
      </c>
      <c r="Y25" s="18">
        <f t="shared" si="7"/>
        <v>24.663056812436707</v>
      </c>
      <c r="Z25" s="18">
        <f t="shared" si="8"/>
        <v>0</v>
      </c>
      <c r="AA25" s="2">
        <f t="shared" si="12"/>
        <v>184.2179345582007</v>
      </c>
    </row>
    <row r="26" spans="1:27" ht="12.75">
      <c r="A26">
        <v>1960</v>
      </c>
      <c r="C26" s="35">
        <f t="shared" si="9"/>
        <v>4100</v>
      </c>
      <c r="D26" s="35">
        <v>0</v>
      </c>
      <c r="E26" s="35">
        <v>1596</v>
      </c>
      <c r="F26" s="35">
        <v>0</v>
      </c>
      <c r="G26" s="35">
        <f t="shared" si="0"/>
        <v>5696</v>
      </c>
      <c r="H26" s="28">
        <v>60.5</v>
      </c>
      <c r="I26" s="29">
        <v>0</v>
      </c>
      <c r="J26" s="29">
        <f t="shared" si="1"/>
        <v>0</v>
      </c>
      <c r="L26" s="38">
        <f t="shared" si="13"/>
        <v>1596</v>
      </c>
      <c r="R26" s="21">
        <f t="shared" si="10"/>
        <v>1960</v>
      </c>
      <c r="S26" s="4">
        <f t="shared" si="2"/>
        <v>1596</v>
      </c>
      <c r="T26">
        <f t="shared" si="3"/>
        <v>0</v>
      </c>
      <c r="U26">
        <f t="shared" si="4"/>
        <v>49</v>
      </c>
      <c r="V26" s="1" t="str">
        <f t="shared" si="5"/>
        <v>L0</v>
      </c>
      <c r="W26" s="2">
        <f t="shared" si="6"/>
        <v>32.57142857142857</v>
      </c>
      <c r="X26" s="2">
        <f t="shared" si="11"/>
        <v>0</v>
      </c>
      <c r="Y26" s="18">
        <f t="shared" si="7"/>
        <v>24.926676585279186</v>
      </c>
      <c r="Z26" s="18">
        <f t="shared" si="8"/>
        <v>0</v>
      </c>
      <c r="AA26" s="2">
        <f t="shared" si="12"/>
        <v>811.897465920522</v>
      </c>
    </row>
    <row r="27" spans="1:27" ht="12.75">
      <c r="A27">
        <v>1961</v>
      </c>
      <c r="C27" s="35">
        <f t="shared" si="9"/>
        <v>5696</v>
      </c>
      <c r="D27" s="35">
        <v>0</v>
      </c>
      <c r="E27" s="35">
        <v>941</v>
      </c>
      <c r="F27" s="35">
        <v>0</v>
      </c>
      <c r="G27" s="35">
        <f t="shared" si="0"/>
        <v>6637</v>
      </c>
      <c r="H27" s="28">
        <v>59.5</v>
      </c>
      <c r="I27" s="29">
        <v>0</v>
      </c>
      <c r="J27" s="29">
        <f t="shared" si="1"/>
        <v>0</v>
      </c>
      <c r="L27" s="38">
        <f t="shared" si="13"/>
        <v>941</v>
      </c>
      <c r="R27" s="21">
        <f t="shared" si="10"/>
        <v>1961</v>
      </c>
      <c r="S27" s="4">
        <f t="shared" si="2"/>
        <v>941</v>
      </c>
      <c r="T27">
        <f t="shared" si="3"/>
        <v>0</v>
      </c>
      <c r="U27">
        <f t="shared" si="4"/>
        <v>49</v>
      </c>
      <c r="V27" s="1" t="str">
        <f t="shared" si="5"/>
        <v>L0</v>
      </c>
      <c r="W27" s="2">
        <f t="shared" si="6"/>
        <v>19.20408163265306</v>
      </c>
      <c r="X27" s="2">
        <f t="shared" si="11"/>
        <v>0</v>
      </c>
      <c r="Y27" s="18">
        <f t="shared" si="7"/>
        <v>25.19277808319935</v>
      </c>
      <c r="Z27" s="18">
        <f t="shared" si="8"/>
        <v>0</v>
      </c>
      <c r="AA27" s="2">
        <f t="shared" si="12"/>
        <v>483.80416686307325</v>
      </c>
    </row>
    <row r="28" spans="1:27" ht="12.75">
      <c r="A28">
        <v>1962</v>
      </c>
      <c r="C28" s="35">
        <f t="shared" si="9"/>
        <v>6637</v>
      </c>
      <c r="D28" s="35">
        <v>0</v>
      </c>
      <c r="E28" s="35">
        <v>168</v>
      </c>
      <c r="F28" s="35">
        <v>0</v>
      </c>
      <c r="G28" s="35">
        <f t="shared" si="0"/>
        <v>6805</v>
      </c>
      <c r="H28" s="28">
        <v>58.5</v>
      </c>
      <c r="I28" s="29">
        <v>0</v>
      </c>
      <c r="J28" s="29">
        <f t="shared" si="1"/>
        <v>0</v>
      </c>
      <c r="L28" s="38">
        <f t="shared" si="13"/>
        <v>168</v>
      </c>
      <c r="R28" s="21">
        <f t="shared" si="10"/>
        <v>1962</v>
      </c>
      <c r="S28" s="4">
        <f t="shared" si="2"/>
        <v>168</v>
      </c>
      <c r="T28">
        <f t="shared" si="3"/>
        <v>0</v>
      </c>
      <c r="U28">
        <f t="shared" si="4"/>
        <v>49</v>
      </c>
      <c r="V28" s="1" t="str">
        <f t="shared" si="5"/>
        <v>L0</v>
      </c>
      <c r="W28" s="2">
        <f t="shared" si="6"/>
        <v>3.4285714285714284</v>
      </c>
      <c r="X28" s="2">
        <f t="shared" si="11"/>
        <v>0</v>
      </c>
      <c r="Y28" s="18">
        <f t="shared" si="7"/>
        <v>25.461395882473106</v>
      </c>
      <c r="Z28" s="18">
        <f t="shared" si="8"/>
        <v>0</v>
      </c>
      <c r="AA28" s="2">
        <f t="shared" si="12"/>
        <v>87.2962144541935</v>
      </c>
    </row>
    <row r="29" spans="1:27" ht="12.75">
      <c r="A29">
        <v>1963</v>
      </c>
      <c r="C29" s="35">
        <f t="shared" si="9"/>
        <v>6805</v>
      </c>
      <c r="D29" s="35">
        <v>0</v>
      </c>
      <c r="E29" s="35">
        <v>1767</v>
      </c>
      <c r="F29" s="35">
        <v>0</v>
      </c>
      <c r="G29" s="35">
        <f t="shared" si="0"/>
        <v>8572</v>
      </c>
      <c r="H29" s="28">
        <v>57.5</v>
      </c>
      <c r="I29" s="29">
        <v>0</v>
      </c>
      <c r="J29" s="29">
        <f t="shared" si="1"/>
        <v>0</v>
      </c>
      <c r="L29" s="38">
        <f t="shared" si="13"/>
        <v>1767</v>
      </c>
      <c r="R29" s="21">
        <f t="shared" si="10"/>
        <v>1963</v>
      </c>
      <c r="S29" s="4">
        <f t="shared" si="2"/>
        <v>1767</v>
      </c>
      <c r="T29">
        <f t="shared" si="3"/>
        <v>0</v>
      </c>
      <c r="U29">
        <f t="shared" si="4"/>
        <v>49</v>
      </c>
      <c r="V29" s="1" t="str">
        <f t="shared" si="5"/>
        <v>L0</v>
      </c>
      <c r="W29" s="2">
        <f t="shared" si="6"/>
        <v>36.06122448979592</v>
      </c>
      <c r="X29" s="2">
        <f t="shared" si="11"/>
        <v>0</v>
      </c>
      <c r="Y29" s="18">
        <f t="shared" si="7"/>
        <v>25.732565024579795</v>
      </c>
      <c r="Z29" s="18">
        <f t="shared" si="8"/>
        <v>0</v>
      </c>
      <c r="AA29" s="2">
        <f t="shared" si="12"/>
        <v>927.9478040496429</v>
      </c>
    </row>
    <row r="30" spans="1:27" ht="12.75">
      <c r="A30">
        <v>1964</v>
      </c>
      <c r="C30" s="35">
        <f t="shared" si="9"/>
        <v>8572</v>
      </c>
      <c r="D30" s="35">
        <v>0</v>
      </c>
      <c r="E30" s="35">
        <v>308</v>
      </c>
      <c r="F30" s="35">
        <v>0</v>
      </c>
      <c r="G30" s="35">
        <f t="shared" si="0"/>
        <v>8880</v>
      </c>
      <c r="H30" s="28">
        <v>56.5</v>
      </c>
      <c r="I30" s="29">
        <v>0</v>
      </c>
      <c r="J30" s="29">
        <f t="shared" si="1"/>
        <v>0</v>
      </c>
      <c r="L30" s="38">
        <f t="shared" si="13"/>
        <v>308</v>
      </c>
      <c r="R30" s="21">
        <f t="shared" si="10"/>
        <v>1964</v>
      </c>
      <c r="S30" s="4">
        <f t="shared" si="2"/>
        <v>308</v>
      </c>
      <c r="T30">
        <f t="shared" si="3"/>
        <v>0</v>
      </c>
      <c r="U30">
        <f t="shared" si="4"/>
        <v>49</v>
      </c>
      <c r="V30" s="1" t="str">
        <f t="shared" si="5"/>
        <v>L0</v>
      </c>
      <c r="W30" s="2">
        <f t="shared" si="6"/>
        <v>6.285714285714286</v>
      </c>
      <c r="X30" s="2">
        <f t="shared" si="11"/>
        <v>0</v>
      </c>
      <c r="Y30" s="18">
        <f t="shared" si="7"/>
        <v>26.006321016830952</v>
      </c>
      <c r="Z30" s="18">
        <f t="shared" si="8"/>
        <v>0</v>
      </c>
      <c r="AA30" s="2">
        <f t="shared" si="12"/>
        <v>163.468303534366</v>
      </c>
    </row>
    <row r="31" spans="1:27" ht="12.75">
      <c r="A31">
        <v>1965</v>
      </c>
      <c r="C31" s="35">
        <f t="shared" si="9"/>
        <v>8880</v>
      </c>
      <c r="D31" s="35">
        <v>0</v>
      </c>
      <c r="E31" s="35">
        <v>1098</v>
      </c>
      <c r="F31" s="35">
        <v>753</v>
      </c>
      <c r="G31" s="35">
        <f t="shared" si="0"/>
        <v>9225</v>
      </c>
      <c r="H31" s="28">
        <v>55.5</v>
      </c>
      <c r="I31" s="29">
        <v>0</v>
      </c>
      <c r="J31" s="29">
        <f t="shared" si="1"/>
        <v>0</v>
      </c>
      <c r="L31" s="38">
        <f t="shared" si="13"/>
        <v>1098</v>
      </c>
      <c r="R31" s="21">
        <f t="shared" si="10"/>
        <v>1965</v>
      </c>
      <c r="S31" s="4">
        <f t="shared" si="2"/>
        <v>1098</v>
      </c>
      <c r="T31">
        <f t="shared" si="3"/>
        <v>0</v>
      </c>
      <c r="U31">
        <f t="shared" si="4"/>
        <v>49</v>
      </c>
      <c r="V31" s="1" t="str">
        <f t="shared" si="5"/>
        <v>L0</v>
      </c>
      <c r="W31" s="2">
        <f t="shared" si="6"/>
        <v>22.408163265306122</v>
      </c>
      <c r="X31" s="2">
        <f t="shared" si="11"/>
        <v>0</v>
      </c>
      <c r="Y31" s="18">
        <f t="shared" si="7"/>
        <v>26.28269983401529</v>
      </c>
      <c r="Z31" s="18">
        <f t="shared" si="8"/>
        <v>0</v>
      </c>
      <c r="AA31" s="2">
        <f t="shared" si="12"/>
        <v>588.9470289336488</v>
      </c>
    </row>
    <row r="32" spans="1:27" ht="12.75">
      <c r="A32">
        <v>1966</v>
      </c>
      <c r="C32" s="35">
        <f t="shared" si="9"/>
        <v>9225</v>
      </c>
      <c r="D32" s="35">
        <v>0</v>
      </c>
      <c r="E32" s="35">
        <v>1847</v>
      </c>
      <c r="F32" s="35">
        <v>0</v>
      </c>
      <c r="G32" s="35">
        <f t="shared" si="0"/>
        <v>11072</v>
      </c>
      <c r="H32" s="28">
        <v>54.5</v>
      </c>
      <c r="I32" s="29">
        <v>0</v>
      </c>
      <c r="J32" s="29">
        <f t="shared" si="1"/>
        <v>0</v>
      </c>
      <c r="L32" s="38">
        <f t="shared" si="13"/>
        <v>1847</v>
      </c>
      <c r="R32" s="21">
        <f t="shared" si="10"/>
        <v>1966</v>
      </c>
      <c r="S32" s="4">
        <f t="shared" si="2"/>
        <v>1847</v>
      </c>
      <c r="T32">
        <f t="shared" si="3"/>
        <v>0</v>
      </c>
      <c r="U32">
        <f t="shared" si="4"/>
        <v>49</v>
      </c>
      <c r="V32" s="1" t="str">
        <f t="shared" si="5"/>
        <v>L0</v>
      </c>
      <c r="W32" s="2">
        <f t="shared" si="6"/>
        <v>37.69387755102041</v>
      </c>
      <c r="X32" s="2">
        <f t="shared" si="11"/>
        <v>0</v>
      </c>
      <c r="Y32" s="18">
        <f t="shared" si="7"/>
        <v>26.561737920156638</v>
      </c>
      <c r="Z32" s="18">
        <f t="shared" si="8"/>
        <v>0</v>
      </c>
      <c r="AA32" s="2">
        <f t="shared" si="12"/>
        <v>1001.2148967046797</v>
      </c>
    </row>
    <row r="33" spans="1:27" ht="12.75">
      <c r="A33">
        <v>1967</v>
      </c>
      <c r="C33" s="35">
        <f t="shared" si="9"/>
        <v>11072</v>
      </c>
      <c r="D33" s="35">
        <v>0</v>
      </c>
      <c r="E33" s="35">
        <v>2885</v>
      </c>
      <c r="F33" s="35">
        <v>321</v>
      </c>
      <c r="G33" s="35">
        <f t="shared" si="0"/>
        <v>13636</v>
      </c>
      <c r="H33" s="28">
        <v>53.5</v>
      </c>
      <c r="I33" s="29">
        <v>0</v>
      </c>
      <c r="J33" s="29">
        <f t="shared" si="1"/>
        <v>0</v>
      </c>
      <c r="L33" s="38">
        <f t="shared" si="13"/>
        <v>2885</v>
      </c>
      <c r="R33" s="21">
        <f t="shared" si="10"/>
        <v>1967</v>
      </c>
      <c r="S33" s="4">
        <f t="shared" si="2"/>
        <v>2885</v>
      </c>
      <c r="T33">
        <f t="shared" si="3"/>
        <v>0</v>
      </c>
      <c r="U33">
        <f t="shared" si="4"/>
        <v>49</v>
      </c>
      <c r="V33" s="1" t="str">
        <f t="shared" si="5"/>
        <v>L0</v>
      </c>
      <c r="W33" s="2">
        <f t="shared" si="6"/>
        <v>58.87755102040816</v>
      </c>
      <c r="X33" s="2">
        <f t="shared" si="11"/>
        <v>0</v>
      </c>
      <c r="Y33" s="18">
        <f t="shared" si="7"/>
        <v>26.84347218896352</v>
      </c>
      <c r="Z33" s="18">
        <f t="shared" si="8"/>
        <v>0</v>
      </c>
      <c r="AA33" s="2">
        <f t="shared" si="12"/>
        <v>1580.4779033706072</v>
      </c>
    </row>
    <row r="34" spans="1:27" ht="12.75">
      <c r="A34">
        <v>1968</v>
      </c>
      <c r="C34" s="35">
        <f t="shared" si="9"/>
        <v>13636</v>
      </c>
      <c r="D34" s="35">
        <v>0</v>
      </c>
      <c r="E34" s="35">
        <v>2179</v>
      </c>
      <c r="F34" s="35">
        <v>993</v>
      </c>
      <c r="G34" s="35">
        <f t="shared" si="0"/>
        <v>14822</v>
      </c>
      <c r="H34" s="28">
        <v>52.5</v>
      </c>
      <c r="I34" s="29">
        <v>0</v>
      </c>
      <c r="J34" s="29">
        <f t="shared" si="1"/>
        <v>0</v>
      </c>
      <c r="L34" s="38">
        <f t="shared" si="13"/>
        <v>2179</v>
      </c>
      <c r="R34" s="21">
        <f t="shared" si="10"/>
        <v>1968</v>
      </c>
      <c r="S34" s="4">
        <f t="shared" si="2"/>
        <v>2179</v>
      </c>
      <c r="T34">
        <f t="shared" si="3"/>
        <v>0</v>
      </c>
      <c r="U34">
        <f t="shared" si="4"/>
        <v>49</v>
      </c>
      <c r="V34" s="1" t="str">
        <f t="shared" si="5"/>
        <v>L0</v>
      </c>
      <c r="W34" s="2">
        <f t="shared" si="6"/>
        <v>44.46938775510204</v>
      </c>
      <c r="X34" s="2">
        <f t="shared" si="11"/>
        <v>0</v>
      </c>
      <c r="Y34" s="18">
        <f t="shared" si="7"/>
        <v>27.127940025029687</v>
      </c>
      <c r="Z34" s="18">
        <f t="shared" si="8"/>
        <v>0</v>
      </c>
      <c r="AA34" s="2">
        <f t="shared" si="12"/>
        <v>1206.3628839701978</v>
      </c>
    </row>
    <row r="35" spans="1:27" ht="12.75">
      <c r="A35">
        <v>1969</v>
      </c>
      <c r="C35" s="35">
        <f t="shared" si="9"/>
        <v>14822</v>
      </c>
      <c r="D35" s="35">
        <v>0</v>
      </c>
      <c r="E35" s="35">
        <v>1759</v>
      </c>
      <c r="F35" s="35">
        <v>0</v>
      </c>
      <c r="G35" s="35">
        <f t="shared" si="0"/>
        <v>16581</v>
      </c>
      <c r="H35" s="28">
        <v>51.5</v>
      </c>
      <c r="I35" s="29">
        <v>0</v>
      </c>
      <c r="J35" s="29">
        <f t="shared" si="1"/>
        <v>0</v>
      </c>
      <c r="L35" s="38">
        <f t="shared" si="13"/>
        <v>1759</v>
      </c>
      <c r="R35" s="21">
        <f t="shared" si="10"/>
        <v>1969</v>
      </c>
      <c r="S35" s="4">
        <f t="shared" si="2"/>
        <v>1759</v>
      </c>
      <c r="T35">
        <f t="shared" si="3"/>
        <v>0</v>
      </c>
      <c r="U35">
        <f t="shared" si="4"/>
        <v>49</v>
      </c>
      <c r="V35" s="1" t="str">
        <f t="shared" si="5"/>
        <v>L0</v>
      </c>
      <c r="W35" s="2">
        <f t="shared" si="6"/>
        <v>35.89795918367347</v>
      </c>
      <c r="X35" s="2">
        <f t="shared" si="11"/>
        <v>0</v>
      </c>
      <c r="Y35" s="18">
        <f t="shared" si="7"/>
        <v>27.415179283948753</v>
      </c>
      <c r="Z35" s="18">
        <f t="shared" si="8"/>
        <v>0</v>
      </c>
      <c r="AA35" s="2">
        <f t="shared" si="12"/>
        <v>984.1489869482829</v>
      </c>
    </row>
    <row r="36" spans="1:27" ht="12.75">
      <c r="A36">
        <v>1970</v>
      </c>
      <c r="C36" s="35">
        <f t="shared" si="9"/>
        <v>16581</v>
      </c>
      <c r="D36" s="35">
        <v>0</v>
      </c>
      <c r="E36" s="35">
        <v>3485</v>
      </c>
      <c r="F36" s="35">
        <v>596</v>
      </c>
      <c r="G36" s="35">
        <f t="shared" si="0"/>
        <v>19470</v>
      </c>
      <c r="H36" s="28">
        <v>50.5</v>
      </c>
      <c r="I36" s="29">
        <v>0</v>
      </c>
      <c r="J36" s="29">
        <f t="shared" si="1"/>
        <v>0</v>
      </c>
      <c r="L36" s="38">
        <f t="shared" si="13"/>
        <v>3485</v>
      </c>
      <c r="R36" s="21">
        <f t="shared" si="10"/>
        <v>1970</v>
      </c>
      <c r="S36" s="4">
        <f t="shared" si="2"/>
        <v>3485</v>
      </c>
      <c r="T36">
        <f t="shared" si="3"/>
        <v>0</v>
      </c>
      <c r="U36">
        <f t="shared" si="4"/>
        <v>49</v>
      </c>
      <c r="V36" s="1" t="str">
        <f t="shared" si="5"/>
        <v>L0</v>
      </c>
      <c r="W36" s="2">
        <f t="shared" si="6"/>
        <v>71.12244897959184</v>
      </c>
      <c r="X36" s="2">
        <f t="shared" si="11"/>
        <v>0</v>
      </c>
      <c r="Y36" s="18">
        <f t="shared" si="7"/>
        <v>27.705228293520317</v>
      </c>
      <c r="Z36" s="18">
        <f t="shared" si="8"/>
        <v>0</v>
      </c>
      <c r="AA36" s="2">
        <f t="shared" si="12"/>
        <v>1970.463685773843</v>
      </c>
    </row>
    <row r="37" spans="1:27" ht="12.75">
      <c r="A37">
        <v>1971</v>
      </c>
      <c r="C37" s="35">
        <f t="shared" si="9"/>
        <v>19470</v>
      </c>
      <c r="D37" s="35">
        <v>0</v>
      </c>
      <c r="E37" s="35">
        <v>3084</v>
      </c>
      <c r="F37" s="35">
        <v>439</v>
      </c>
      <c r="G37" s="35">
        <f t="shared" si="0"/>
        <v>22115</v>
      </c>
      <c r="H37" s="28">
        <v>49.5</v>
      </c>
      <c r="I37" s="29">
        <v>0</v>
      </c>
      <c r="J37" s="29">
        <f t="shared" si="1"/>
        <v>0</v>
      </c>
      <c r="L37" s="38">
        <f t="shared" si="13"/>
        <v>3084</v>
      </c>
      <c r="R37" s="21">
        <f t="shared" si="10"/>
        <v>1971</v>
      </c>
      <c r="S37" s="4">
        <f t="shared" si="2"/>
        <v>3084</v>
      </c>
      <c r="T37">
        <f t="shared" si="3"/>
        <v>0</v>
      </c>
      <c r="U37">
        <f t="shared" si="4"/>
        <v>49</v>
      </c>
      <c r="V37" s="1" t="str">
        <f t="shared" si="5"/>
        <v>L0</v>
      </c>
      <c r="W37" s="2">
        <f t="shared" si="6"/>
        <v>62.93877551020408</v>
      </c>
      <c r="X37" s="2">
        <f t="shared" si="11"/>
        <v>0</v>
      </c>
      <c r="Y37" s="18">
        <f t="shared" si="7"/>
        <v>27.998125853061033</v>
      </c>
      <c r="Z37" s="18">
        <f t="shared" si="8"/>
        <v>0</v>
      </c>
      <c r="AA37" s="2">
        <f t="shared" si="12"/>
        <v>1762.1677577722496</v>
      </c>
    </row>
    <row r="38" spans="1:27" ht="12.75">
      <c r="A38">
        <v>1972</v>
      </c>
      <c r="C38" s="35">
        <f t="shared" si="9"/>
        <v>22115</v>
      </c>
      <c r="D38" s="35">
        <v>0</v>
      </c>
      <c r="E38" s="35">
        <v>2554</v>
      </c>
      <c r="F38" s="35">
        <v>696</v>
      </c>
      <c r="G38" s="35">
        <f t="shared" si="0"/>
        <v>23973</v>
      </c>
      <c r="H38" s="28">
        <v>48.5</v>
      </c>
      <c r="I38" s="29">
        <v>0</v>
      </c>
      <c r="J38" s="29">
        <f t="shared" si="1"/>
        <v>0</v>
      </c>
      <c r="L38" s="38">
        <f t="shared" si="13"/>
        <v>2554</v>
      </c>
      <c r="R38" s="21">
        <f t="shared" si="10"/>
        <v>1972</v>
      </c>
      <c r="S38" s="4">
        <f aca="true" t="shared" si="14" ref="S38:S68">E38</f>
        <v>2554</v>
      </c>
      <c r="T38">
        <f aca="true" t="shared" si="15" ref="T38:T68">IF(D38&gt;0,IF(J38&gt;0,D38,0),0)</f>
        <v>0</v>
      </c>
      <c r="U38">
        <f aca="true" t="shared" si="16" ref="U38:U86">$V$94</f>
        <v>49</v>
      </c>
      <c r="V38" s="1" t="str">
        <f aca="true" t="shared" si="17" ref="V38:V86">$V$93</f>
        <v>L0</v>
      </c>
      <c r="W38" s="2">
        <f aca="true" t="shared" si="18" ref="W38:W68">S38/U38</f>
        <v>52.12244897959184</v>
      </c>
      <c r="X38" s="2">
        <f t="shared" si="11"/>
        <v>0</v>
      </c>
      <c r="Y38" s="18">
        <f aca="true" t="shared" si="19" ref="Y38:Y66">Prob_life(V38,H38,U38)</f>
        <v>28.29391123311139</v>
      </c>
      <c r="Z38" s="18">
        <f aca="true" t="shared" si="20" ref="Z38:Z68">IF(J38&gt;0,Prob_life(V38,J38+0.5,U38),0)</f>
        <v>0</v>
      </c>
      <c r="AA38" s="2">
        <f t="shared" si="12"/>
        <v>1474.7479446809489</v>
      </c>
    </row>
    <row r="39" spans="1:27" ht="12.75">
      <c r="A39">
        <v>1973</v>
      </c>
      <c r="C39" s="35">
        <f t="shared" si="9"/>
        <v>23973</v>
      </c>
      <c r="D39" s="35">
        <v>0</v>
      </c>
      <c r="E39" s="35">
        <v>3174</v>
      </c>
      <c r="F39" s="35">
        <v>358</v>
      </c>
      <c r="G39" s="35">
        <f t="shared" si="0"/>
        <v>26789</v>
      </c>
      <c r="H39" s="28">
        <v>47.5</v>
      </c>
      <c r="I39" s="29">
        <v>0</v>
      </c>
      <c r="J39" s="29">
        <f t="shared" si="1"/>
        <v>0</v>
      </c>
      <c r="L39" s="38">
        <f t="shared" si="13"/>
        <v>3174</v>
      </c>
      <c r="R39" s="21">
        <f t="shared" si="10"/>
        <v>1973</v>
      </c>
      <c r="S39" s="4">
        <f t="shared" si="14"/>
        <v>3174</v>
      </c>
      <c r="T39">
        <f t="shared" si="15"/>
        <v>0</v>
      </c>
      <c r="U39">
        <f t="shared" si="16"/>
        <v>49</v>
      </c>
      <c r="V39" s="1" t="str">
        <f t="shared" si="17"/>
        <v>L0</v>
      </c>
      <c r="W39" s="2">
        <f t="shared" si="18"/>
        <v>64.77551020408163</v>
      </c>
      <c r="X39" s="2">
        <f t="shared" si="11"/>
        <v>0</v>
      </c>
      <c r="Y39" s="18">
        <f t="shared" si="19"/>
        <v>28.592624175240058</v>
      </c>
      <c r="Z39" s="18">
        <f t="shared" si="20"/>
        <v>0</v>
      </c>
      <c r="AA39" s="2">
        <f t="shared" si="12"/>
        <v>1852.1018190247335</v>
      </c>
    </row>
    <row r="40" spans="1:27" ht="12.75">
      <c r="A40">
        <v>1974</v>
      </c>
      <c r="C40" s="35">
        <f t="shared" si="9"/>
        <v>26789</v>
      </c>
      <c r="D40" s="35">
        <v>0</v>
      </c>
      <c r="E40" s="35">
        <v>2543</v>
      </c>
      <c r="F40" s="35">
        <v>581</v>
      </c>
      <c r="G40" s="35">
        <f t="shared" si="0"/>
        <v>28751</v>
      </c>
      <c r="H40" s="28">
        <v>46.5</v>
      </c>
      <c r="I40" s="29">
        <v>0</v>
      </c>
      <c r="J40" s="29">
        <f t="shared" si="1"/>
        <v>0</v>
      </c>
      <c r="L40" s="38">
        <f t="shared" si="13"/>
        <v>2543</v>
      </c>
      <c r="R40" s="21">
        <f t="shared" si="10"/>
        <v>1974</v>
      </c>
      <c r="S40" s="4">
        <f t="shared" si="14"/>
        <v>2543</v>
      </c>
      <c r="T40">
        <f t="shared" si="15"/>
        <v>0</v>
      </c>
      <c r="U40">
        <f t="shared" si="16"/>
        <v>49</v>
      </c>
      <c r="V40" s="1" t="str">
        <f t="shared" si="17"/>
        <v>L0</v>
      </c>
      <c r="W40" s="2">
        <f t="shared" si="18"/>
        <v>51.89795918367347</v>
      </c>
      <c r="X40" s="2">
        <f t="shared" si="11"/>
        <v>0</v>
      </c>
      <c r="Y40" s="18">
        <f t="shared" si="19"/>
        <v>28.894304891117393</v>
      </c>
      <c r="Z40" s="18">
        <f t="shared" si="20"/>
        <v>0</v>
      </c>
      <c r="AA40" s="2">
        <f t="shared" si="12"/>
        <v>1499.5554558798272</v>
      </c>
    </row>
    <row r="41" spans="1:27" ht="12.75">
      <c r="A41">
        <v>1975</v>
      </c>
      <c r="C41" s="35">
        <f t="shared" si="9"/>
        <v>28751</v>
      </c>
      <c r="D41" s="35">
        <v>0</v>
      </c>
      <c r="E41" s="35">
        <v>1682</v>
      </c>
      <c r="F41" s="35">
        <v>0</v>
      </c>
      <c r="G41" s="35">
        <f t="shared" si="0"/>
        <v>30433</v>
      </c>
      <c r="H41" s="28">
        <v>45.5</v>
      </c>
      <c r="I41" s="29">
        <v>0</v>
      </c>
      <c r="J41" s="29">
        <f t="shared" si="1"/>
        <v>0</v>
      </c>
      <c r="L41" s="38">
        <f t="shared" si="13"/>
        <v>1682</v>
      </c>
      <c r="R41" s="21">
        <f t="shared" si="10"/>
        <v>1975</v>
      </c>
      <c r="S41" s="4">
        <f t="shared" si="14"/>
        <v>1682</v>
      </c>
      <c r="T41">
        <f t="shared" si="15"/>
        <v>0</v>
      </c>
      <c r="U41">
        <f t="shared" si="16"/>
        <v>49</v>
      </c>
      <c r="V41" s="1" t="str">
        <f t="shared" si="17"/>
        <v>L0</v>
      </c>
      <c r="W41" s="2">
        <f t="shared" si="18"/>
        <v>34.326530612244895</v>
      </c>
      <c r="X41" s="2">
        <f t="shared" si="11"/>
        <v>0</v>
      </c>
      <c r="Y41" s="18">
        <f t="shared" si="19"/>
        <v>29.198994061011902</v>
      </c>
      <c r="Z41" s="18">
        <f t="shared" si="20"/>
        <v>0</v>
      </c>
      <c r="AA41" s="2">
        <f t="shared" si="12"/>
        <v>1002.300163482082</v>
      </c>
    </row>
    <row r="42" spans="1:27" ht="12.75">
      <c r="A42">
        <v>1976</v>
      </c>
      <c r="C42" s="35">
        <f t="shared" si="9"/>
        <v>30433</v>
      </c>
      <c r="D42" s="35">
        <v>0</v>
      </c>
      <c r="E42" s="35">
        <v>6518</v>
      </c>
      <c r="F42" s="35">
        <v>703</v>
      </c>
      <c r="G42" s="35">
        <f t="shared" si="0"/>
        <v>36248</v>
      </c>
      <c r="H42" s="28">
        <v>44.5</v>
      </c>
      <c r="I42" s="29">
        <v>0</v>
      </c>
      <c r="J42" s="29">
        <f t="shared" si="1"/>
        <v>0</v>
      </c>
      <c r="L42" s="38">
        <f t="shared" si="13"/>
        <v>6518</v>
      </c>
      <c r="R42" s="21">
        <f t="shared" si="10"/>
        <v>1976</v>
      </c>
      <c r="S42" s="4">
        <f t="shared" si="14"/>
        <v>6518</v>
      </c>
      <c r="T42">
        <f t="shared" si="15"/>
        <v>0</v>
      </c>
      <c r="U42">
        <f t="shared" si="16"/>
        <v>49</v>
      </c>
      <c r="V42" s="1" t="str">
        <f t="shared" si="17"/>
        <v>L0</v>
      </c>
      <c r="W42" s="2">
        <f t="shared" si="18"/>
        <v>133.0204081632653</v>
      </c>
      <c r="X42" s="2">
        <f t="shared" si="11"/>
        <v>0</v>
      </c>
      <c r="Y42" s="18">
        <f t="shared" si="19"/>
        <v>29.506732832177676</v>
      </c>
      <c r="Z42" s="18">
        <f t="shared" si="20"/>
        <v>0</v>
      </c>
      <c r="AA42" s="2">
        <f t="shared" si="12"/>
        <v>3924.9976449006954</v>
      </c>
    </row>
    <row r="43" spans="1:27" ht="12.75">
      <c r="A43">
        <v>1977</v>
      </c>
      <c r="C43" s="35">
        <f t="shared" si="9"/>
        <v>36248</v>
      </c>
      <c r="D43" s="35">
        <v>0</v>
      </c>
      <c r="E43" s="35">
        <v>0</v>
      </c>
      <c r="F43" s="35">
        <v>0</v>
      </c>
      <c r="G43" s="35">
        <f t="shared" si="0"/>
        <v>36248</v>
      </c>
      <c r="H43" s="28">
        <v>43.5</v>
      </c>
      <c r="I43" s="29">
        <v>0</v>
      </c>
      <c r="J43" s="29">
        <f t="shared" si="1"/>
        <v>0</v>
      </c>
      <c r="L43" s="38">
        <f t="shared" si="13"/>
        <v>0</v>
      </c>
      <c r="R43" s="21">
        <f t="shared" si="10"/>
        <v>1977</v>
      </c>
      <c r="S43" s="4">
        <f t="shared" si="14"/>
        <v>0</v>
      </c>
      <c r="T43">
        <f t="shared" si="15"/>
        <v>0</v>
      </c>
      <c r="U43">
        <f t="shared" si="16"/>
        <v>49</v>
      </c>
      <c r="V43" s="1" t="str">
        <f t="shared" si="17"/>
        <v>L0</v>
      </c>
      <c r="W43" s="2">
        <f t="shared" si="18"/>
        <v>0</v>
      </c>
      <c r="X43" s="2">
        <f t="shared" si="11"/>
        <v>0</v>
      </c>
      <c r="Y43" s="18">
        <f t="shared" si="19"/>
        <v>29.817562816863536</v>
      </c>
      <c r="Z43" s="18">
        <f t="shared" si="20"/>
        <v>0</v>
      </c>
      <c r="AA43" s="2">
        <f t="shared" si="12"/>
        <v>0</v>
      </c>
    </row>
    <row r="44" spans="1:27" ht="12.75">
      <c r="A44">
        <v>1978</v>
      </c>
      <c r="C44" s="35">
        <f t="shared" si="9"/>
        <v>36248</v>
      </c>
      <c r="D44" s="35">
        <v>0</v>
      </c>
      <c r="E44" s="35">
        <v>4035</v>
      </c>
      <c r="F44" s="35">
        <v>1645</v>
      </c>
      <c r="G44" s="35">
        <f t="shared" si="0"/>
        <v>38638</v>
      </c>
      <c r="H44" s="28">
        <v>42.5</v>
      </c>
      <c r="I44" s="29">
        <v>0</v>
      </c>
      <c r="J44" s="29">
        <f t="shared" si="1"/>
        <v>0</v>
      </c>
      <c r="L44" s="38">
        <f t="shared" si="13"/>
        <v>4035</v>
      </c>
      <c r="R44" s="21">
        <f t="shared" si="10"/>
        <v>1978</v>
      </c>
      <c r="S44" s="4">
        <f t="shared" si="14"/>
        <v>4035</v>
      </c>
      <c r="T44">
        <f t="shared" si="15"/>
        <v>0</v>
      </c>
      <c r="U44">
        <f t="shared" si="16"/>
        <v>49</v>
      </c>
      <c r="V44" s="1" t="str">
        <f t="shared" si="17"/>
        <v>L0</v>
      </c>
      <c r="W44" s="2">
        <f t="shared" si="18"/>
        <v>82.34693877551021</v>
      </c>
      <c r="X44" s="2">
        <f t="shared" si="11"/>
        <v>0</v>
      </c>
      <c r="Y44" s="18">
        <f t="shared" si="19"/>
        <v>30.131526090072835</v>
      </c>
      <c r="Z44" s="18">
        <f t="shared" si="20"/>
        <v>0</v>
      </c>
      <c r="AA44" s="2">
        <f t="shared" si="12"/>
        <v>2481.2389341519165</v>
      </c>
    </row>
    <row r="45" spans="1:27" ht="12.75">
      <c r="A45">
        <v>1979</v>
      </c>
      <c r="C45" s="35">
        <f t="shared" si="9"/>
        <v>38638</v>
      </c>
      <c r="D45" s="35">
        <v>0</v>
      </c>
      <c r="E45" s="35">
        <v>3969</v>
      </c>
      <c r="F45" s="35">
        <v>0</v>
      </c>
      <c r="G45" s="35">
        <f t="shared" si="0"/>
        <v>42607</v>
      </c>
      <c r="H45" s="28">
        <v>41.5</v>
      </c>
      <c r="I45" s="29">
        <v>0</v>
      </c>
      <c r="J45" s="29">
        <f t="shared" si="1"/>
        <v>0</v>
      </c>
      <c r="L45" s="38">
        <f t="shared" si="13"/>
        <v>3969</v>
      </c>
      <c r="R45" s="21">
        <f t="shared" si="10"/>
        <v>1979</v>
      </c>
      <c r="S45" s="4">
        <f t="shared" si="14"/>
        <v>3969</v>
      </c>
      <c r="T45">
        <f t="shared" si="15"/>
        <v>0</v>
      </c>
      <c r="U45">
        <f t="shared" si="16"/>
        <v>49</v>
      </c>
      <c r="V45" s="1" t="str">
        <f t="shared" si="17"/>
        <v>L0</v>
      </c>
      <c r="W45" s="2">
        <f t="shared" si="18"/>
        <v>81</v>
      </c>
      <c r="X45" s="2">
        <f t="shared" si="11"/>
        <v>0</v>
      </c>
      <c r="Y45" s="18">
        <f t="shared" si="19"/>
        <v>30.44866518611832</v>
      </c>
      <c r="Z45" s="18">
        <f t="shared" si="20"/>
        <v>0</v>
      </c>
      <c r="AA45" s="2">
        <f t="shared" si="12"/>
        <v>2466.341880075584</v>
      </c>
    </row>
    <row r="46" spans="1:27" ht="12.75">
      <c r="A46">
        <v>1980</v>
      </c>
      <c r="C46" s="35">
        <f t="shared" si="9"/>
        <v>42607</v>
      </c>
      <c r="D46" s="35">
        <v>0</v>
      </c>
      <c r="E46" s="35">
        <v>4307</v>
      </c>
      <c r="F46" s="35">
        <v>1883</v>
      </c>
      <c r="G46" s="35">
        <f t="shared" si="0"/>
        <v>45031</v>
      </c>
      <c r="H46" s="28">
        <v>40.5</v>
      </c>
      <c r="I46" s="29">
        <v>0</v>
      </c>
      <c r="J46" s="29">
        <f t="shared" si="1"/>
        <v>0</v>
      </c>
      <c r="L46" s="38">
        <f t="shared" si="13"/>
        <v>4307</v>
      </c>
      <c r="R46" s="21">
        <f t="shared" si="10"/>
        <v>1980</v>
      </c>
      <c r="S46" s="4">
        <f t="shared" si="14"/>
        <v>4307</v>
      </c>
      <c r="T46">
        <f t="shared" si="15"/>
        <v>0</v>
      </c>
      <c r="U46">
        <f t="shared" si="16"/>
        <v>49</v>
      </c>
      <c r="V46" s="1" t="str">
        <f t="shared" si="17"/>
        <v>L0</v>
      </c>
      <c r="W46" s="2">
        <f t="shared" si="18"/>
        <v>87.89795918367346</v>
      </c>
      <c r="X46" s="2">
        <f t="shared" si="11"/>
        <v>0</v>
      </c>
      <c r="Y46" s="18">
        <f t="shared" si="19"/>
        <v>30.76902309588292</v>
      </c>
      <c r="Z46" s="18">
        <f t="shared" si="20"/>
        <v>0</v>
      </c>
      <c r="AA46" s="2">
        <f t="shared" si="12"/>
        <v>2704.5343362034228</v>
      </c>
    </row>
    <row r="47" spans="1:27" ht="12.75">
      <c r="A47">
        <v>1981</v>
      </c>
      <c r="C47" s="35">
        <f t="shared" si="9"/>
        <v>45031</v>
      </c>
      <c r="D47" s="35">
        <v>0</v>
      </c>
      <c r="E47" s="35">
        <v>33109</v>
      </c>
      <c r="F47" s="35">
        <v>913</v>
      </c>
      <c r="G47" s="35">
        <f t="shared" si="0"/>
        <v>77227</v>
      </c>
      <c r="H47" s="28">
        <v>39.5</v>
      </c>
      <c r="I47" s="29">
        <v>0</v>
      </c>
      <c r="J47" s="29">
        <f t="shared" si="1"/>
        <v>0</v>
      </c>
      <c r="L47" s="38">
        <f t="shared" si="13"/>
        <v>33109</v>
      </c>
      <c r="R47" s="21">
        <f t="shared" si="10"/>
        <v>1981</v>
      </c>
      <c r="S47" s="4">
        <f t="shared" si="14"/>
        <v>33109</v>
      </c>
      <c r="T47">
        <f t="shared" si="15"/>
        <v>0</v>
      </c>
      <c r="U47">
        <f t="shared" si="16"/>
        <v>49</v>
      </c>
      <c r="V47" s="1" t="str">
        <f t="shared" si="17"/>
        <v>L0</v>
      </c>
      <c r="W47" s="2">
        <f t="shared" si="18"/>
        <v>675.6938775510204</v>
      </c>
      <c r="X47" s="2">
        <f t="shared" si="11"/>
        <v>0</v>
      </c>
      <c r="Y47" s="18">
        <f t="shared" si="19"/>
        <v>31.092643262500836</v>
      </c>
      <c r="Z47" s="18">
        <f t="shared" si="20"/>
        <v>0</v>
      </c>
      <c r="AA47" s="2">
        <f t="shared" si="12"/>
        <v>21009.1086893498</v>
      </c>
    </row>
    <row r="48" spans="1:27" ht="12.75">
      <c r="A48">
        <v>1982</v>
      </c>
      <c r="C48" s="35">
        <f t="shared" si="9"/>
        <v>77227</v>
      </c>
      <c r="D48" s="35">
        <v>0</v>
      </c>
      <c r="E48" s="35">
        <v>19688</v>
      </c>
      <c r="F48" s="35">
        <v>0</v>
      </c>
      <c r="G48" s="35">
        <f t="shared" si="0"/>
        <v>96915</v>
      </c>
      <c r="H48" s="28">
        <v>38.5</v>
      </c>
      <c r="I48" s="29">
        <v>0</v>
      </c>
      <c r="J48" s="29">
        <f t="shared" si="1"/>
        <v>0</v>
      </c>
      <c r="L48" s="38">
        <f t="shared" si="13"/>
        <v>19688</v>
      </c>
      <c r="R48" s="21">
        <f t="shared" si="10"/>
        <v>1982</v>
      </c>
      <c r="S48" s="4">
        <f t="shared" si="14"/>
        <v>19688</v>
      </c>
      <c r="T48">
        <f t="shared" si="15"/>
        <v>0</v>
      </c>
      <c r="U48">
        <f t="shared" si="16"/>
        <v>49</v>
      </c>
      <c r="V48" s="1" t="str">
        <f t="shared" si="17"/>
        <v>L0</v>
      </c>
      <c r="W48" s="2">
        <f t="shared" si="18"/>
        <v>401.7959183673469</v>
      </c>
      <c r="X48" s="2">
        <f t="shared" si="11"/>
        <v>0</v>
      </c>
      <c r="Y48" s="18">
        <f t="shared" si="19"/>
        <v>31.41956957713533</v>
      </c>
      <c r="Z48" s="18">
        <f t="shared" si="20"/>
        <v>0</v>
      </c>
      <c r="AA48" s="2">
        <f t="shared" si="12"/>
        <v>12624.254812951844</v>
      </c>
    </row>
    <row r="49" spans="1:27" ht="12.75">
      <c r="A49">
        <v>1983</v>
      </c>
      <c r="C49" s="35">
        <f t="shared" si="9"/>
        <v>96915</v>
      </c>
      <c r="D49" s="35">
        <v>0</v>
      </c>
      <c r="E49" s="35">
        <v>17371</v>
      </c>
      <c r="F49" s="35">
        <v>0</v>
      </c>
      <c r="G49" s="35">
        <f t="shared" si="0"/>
        <v>114286</v>
      </c>
      <c r="H49" s="28">
        <v>37.5</v>
      </c>
      <c r="I49" s="29">
        <v>0</v>
      </c>
      <c r="J49" s="29">
        <f t="shared" si="1"/>
        <v>0</v>
      </c>
      <c r="L49" s="38">
        <f t="shared" si="13"/>
        <v>17371</v>
      </c>
      <c r="R49" s="21">
        <f t="shared" si="10"/>
        <v>1983</v>
      </c>
      <c r="S49" s="4">
        <f t="shared" si="14"/>
        <v>17371</v>
      </c>
      <c r="T49">
        <f t="shared" si="15"/>
        <v>0</v>
      </c>
      <c r="U49">
        <f t="shared" si="16"/>
        <v>49</v>
      </c>
      <c r="V49" s="1" t="str">
        <f t="shared" si="17"/>
        <v>L0</v>
      </c>
      <c r="W49" s="2">
        <f t="shared" si="18"/>
        <v>354.51020408163265</v>
      </c>
      <c r="X49" s="2">
        <f t="shared" si="11"/>
        <v>0</v>
      </c>
      <c r="Y49" s="18">
        <f t="shared" si="19"/>
        <v>31.74984637411407</v>
      </c>
      <c r="Z49" s="18">
        <f t="shared" si="20"/>
        <v>0</v>
      </c>
      <c r="AA49" s="2">
        <f t="shared" si="12"/>
        <v>11255.644517647665</v>
      </c>
    </row>
    <row r="50" spans="1:27" ht="12.75">
      <c r="A50">
        <v>1984</v>
      </c>
      <c r="C50" s="35">
        <f t="shared" si="9"/>
        <v>114286</v>
      </c>
      <c r="D50" s="35">
        <v>0</v>
      </c>
      <c r="E50" s="35">
        <v>26528</v>
      </c>
      <c r="F50" s="35">
        <v>0</v>
      </c>
      <c r="G50" s="35">
        <f t="shared" si="0"/>
        <v>140814</v>
      </c>
      <c r="H50" s="28">
        <v>36.5</v>
      </c>
      <c r="I50" s="29">
        <v>0</v>
      </c>
      <c r="J50" s="29">
        <f t="shared" si="1"/>
        <v>0</v>
      </c>
      <c r="L50" s="38">
        <f t="shared" si="13"/>
        <v>26528</v>
      </c>
      <c r="R50" s="21">
        <f t="shared" si="10"/>
        <v>1984</v>
      </c>
      <c r="S50" s="4">
        <f t="shared" si="14"/>
        <v>26528</v>
      </c>
      <c r="T50">
        <f t="shared" si="15"/>
        <v>0</v>
      </c>
      <c r="U50">
        <f t="shared" si="16"/>
        <v>49</v>
      </c>
      <c r="V50" s="1" t="str">
        <f t="shared" si="17"/>
        <v>L0</v>
      </c>
      <c r="W50" s="2">
        <f t="shared" si="18"/>
        <v>541.3877551020408</v>
      </c>
      <c r="X50" s="2">
        <f t="shared" si="11"/>
        <v>0</v>
      </c>
      <c r="Y50" s="18">
        <f t="shared" si="19"/>
        <v>32.083518425503826</v>
      </c>
      <c r="Z50" s="18">
        <f t="shared" si="20"/>
        <v>0</v>
      </c>
      <c r="AA50" s="2">
        <f t="shared" si="12"/>
        <v>17369.62401615848</v>
      </c>
    </row>
    <row r="51" spans="1:27" ht="12.75">
      <c r="A51">
        <v>1985</v>
      </c>
      <c r="C51" s="35">
        <f t="shared" si="9"/>
        <v>140814</v>
      </c>
      <c r="D51" s="35">
        <v>0</v>
      </c>
      <c r="E51" s="35">
        <v>39740</v>
      </c>
      <c r="F51" s="35">
        <v>3274</v>
      </c>
      <c r="G51" s="35">
        <f t="shared" si="0"/>
        <v>177280</v>
      </c>
      <c r="H51" s="28">
        <v>35.5</v>
      </c>
      <c r="I51" s="29">
        <v>0</v>
      </c>
      <c r="J51" s="29">
        <f t="shared" si="1"/>
        <v>0</v>
      </c>
      <c r="L51" s="38">
        <f t="shared" si="13"/>
        <v>39740</v>
      </c>
      <c r="R51" s="21">
        <f t="shared" si="10"/>
        <v>1985</v>
      </c>
      <c r="S51" s="4">
        <f t="shared" si="14"/>
        <v>39740</v>
      </c>
      <c r="T51">
        <f t="shared" si="15"/>
        <v>0</v>
      </c>
      <c r="U51">
        <f t="shared" si="16"/>
        <v>49</v>
      </c>
      <c r="V51" s="1" t="str">
        <f t="shared" si="17"/>
        <v>L0</v>
      </c>
      <c r="W51" s="2">
        <f t="shared" si="18"/>
        <v>811.0204081632653</v>
      </c>
      <c r="X51" s="2">
        <f t="shared" si="11"/>
        <v>0</v>
      </c>
      <c r="Y51" s="18">
        <f t="shared" si="19"/>
        <v>32.42063093488552</v>
      </c>
      <c r="Z51" s="18">
        <f t="shared" si="20"/>
        <v>0</v>
      </c>
      <c r="AA51" s="2">
        <f t="shared" si="12"/>
        <v>26293.79333372144</v>
      </c>
    </row>
    <row r="52" spans="1:27" ht="12.75">
      <c r="A52">
        <v>1986</v>
      </c>
      <c r="C52" s="35">
        <f aca="true" t="shared" si="21" ref="C52:C68">G51</f>
        <v>177280</v>
      </c>
      <c r="D52" s="35">
        <v>0</v>
      </c>
      <c r="E52" s="35">
        <f>62225-26574+34864</f>
        <v>70515</v>
      </c>
      <c r="F52" s="35">
        <f>6034-3274+0</f>
        <v>2760</v>
      </c>
      <c r="G52" s="35">
        <f aca="true" t="shared" si="22" ref="G52:G68">C52+D52+E52-F52</f>
        <v>245035</v>
      </c>
      <c r="H52" s="28">
        <v>34.5</v>
      </c>
      <c r="I52" s="29">
        <v>0</v>
      </c>
      <c r="J52" s="29">
        <f>IF(I52=0,0,ROUND((I52/D52/$G$94)+H52,1))</f>
        <v>0</v>
      </c>
      <c r="L52" s="38">
        <f t="shared" si="13"/>
        <v>70515</v>
      </c>
      <c r="R52" s="21">
        <f t="shared" si="10"/>
        <v>1986</v>
      </c>
      <c r="S52" s="4">
        <f t="shared" si="14"/>
        <v>70515</v>
      </c>
      <c r="T52">
        <f t="shared" si="15"/>
        <v>0</v>
      </c>
      <c r="U52">
        <f t="shared" si="16"/>
        <v>49</v>
      </c>
      <c r="V52" s="1" t="str">
        <f t="shared" si="17"/>
        <v>L0</v>
      </c>
      <c r="W52" s="2">
        <f t="shared" si="18"/>
        <v>1439.0816326530612</v>
      </c>
      <c r="X52" s="2">
        <f t="shared" si="11"/>
        <v>0</v>
      </c>
      <c r="Y52" s="18">
        <f t="shared" si="19"/>
        <v>32.7612295309986</v>
      </c>
      <c r="Z52" s="18">
        <f t="shared" si="20"/>
        <v>0</v>
      </c>
      <c r="AA52" s="2">
        <f t="shared" si="12"/>
        <v>47146.08368119114</v>
      </c>
    </row>
    <row r="53" spans="1:27" ht="12.75">
      <c r="A53">
        <v>1987</v>
      </c>
      <c r="C53" s="35">
        <f t="shared" si="21"/>
        <v>245035</v>
      </c>
      <c r="D53" s="35">
        <v>0</v>
      </c>
      <c r="E53" s="35">
        <f>67206-34864+26196</f>
        <v>58538</v>
      </c>
      <c r="F53" s="35">
        <f>2039+3619</f>
        <v>5658</v>
      </c>
      <c r="G53" s="35">
        <f t="shared" si="22"/>
        <v>297915</v>
      </c>
      <c r="H53" s="28">
        <v>33.5</v>
      </c>
      <c r="I53" s="29">
        <v>0</v>
      </c>
      <c r="J53" s="29">
        <f aca="true" t="shared" si="23" ref="J53:J68">IF(I53=0,0,ROUND((I53/D53/$G$94)+H53,1))</f>
        <v>0</v>
      </c>
      <c r="L53" s="38">
        <f t="shared" si="13"/>
        <v>58538</v>
      </c>
      <c r="R53" s="21">
        <f t="shared" si="10"/>
        <v>1987</v>
      </c>
      <c r="S53" s="4">
        <f t="shared" si="14"/>
        <v>58538</v>
      </c>
      <c r="T53">
        <f t="shared" si="15"/>
        <v>0</v>
      </c>
      <c r="U53">
        <f t="shared" si="16"/>
        <v>49</v>
      </c>
      <c r="V53" s="1" t="str">
        <f t="shared" si="17"/>
        <v>L0</v>
      </c>
      <c r="W53" s="2">
        <f t="shared" si="18"/>
        <v>1194.6530612244899</v>
      </c>
      <c r="X53" s="2">
        <f t="shared" si="11"/>
        <v>0</v>
      </c>
      <c r="Y53" s="18">
        <f t="shared" si="19"/>
        <v>33.10536026005021</v>
      </c>
      <c r="Z53" s="18">
        <f t="shared" si="20"/>
        <v>0</v>
      </c>
      <c r="AA53" s="2">
        <f t="shared" si="12"/>
        <v>39549.41997760856</v>
      </c>
    </row>
    <row r="54" spans="1:27" ht="12.75">
      <c r="A54">
        <v>1988</v>
      </c>
      <c r="C54" s="35">
        <f t="shared" si="21"/>
        <v>297915</v>
      </c>
      <c r="D54" s="35">
        <v>0</v>
      </c>
      <c r="E54" s="35">
        <f>107728-26196+27930</f>
        <v>109462</v>
      </c>
      <c r="F54" s="35">
        <f>4279-3619+1326</f>
        <v>1986</v>
      </c>
      <c r="G54" s="35">
        <f t="shared" si="22"/>
        <v>405391</v>
      </c>
      <c r="H54" s="28">
        <v>32.5</v>
      </c>
      <c r="I54" s="9">
        <v>0</v>
      </c>
      <c r="J54" s="29">
        <f t="shared" si="23"/>
        <v>0</v>
      </c>
      <c r="L54" s="38">
        <f t="shared" si="13"/>
        <v>109462</v>
      </c>
      <c r="R54" s="21">
        <f t="shared" si="10"/>
        <v>1988</v>
      </c>
      <c r="S54" s="4">
        <f t="shared" si="14"/>
        <v>109462</v>
      </c>
      <c r="T54">
        <f t="shared" si="15"/>
        <v>0</v>
      </c>
      <c r="U54">
        <f t="shared" si="16"/>
        <v>49</v>
      </c>
      <c r="V54" s="1" t="str">
        <f t="shared" si="17"/>
        <v>L0</v>
      </c>
      <c r="W54" s="2">
        <f t="shared" si="18"/>
        <v>2233.918367346939</v>
      </c>
      <c r="X54" s="2">
        <f t="shared" si="11"/>
        <v>0</v>
      </c>
      <c r="Y54" s="18">
        <f t="shared" si="19"/>
        <v>33.45306957813015</v>
      </c>
      <c r="Z54" s="18">
        <f t="shared" si="20"/>
        <v>0</v>
      </c>
      <c r="AA54" s="2">
        <f t="shared" si="12"/>
        <v>74731.42657472004</v>
      </c>
    </row>
    <row r="55" spans="1:27" ht="12.75">
      <c r="A55">
        <v>1989</v>
      </c>
      <c r="C55" s="35">
        <f t="shared" si="21"/>
        <v>405391</v>
      </c>
      <c r="D55" s="35">
        <v>0</v>
      </c>
      <c r="E55" s="35">
        <f>103043-27930+66197</f>
        <v>141310</v>
      </c>
      <c r="F55" s="35">
        <f>18470-1326+5210</f>
        <v>22354</v>
      </c>
      <c r="G55" s="35">
        <f t="shared" si="22"/>
        <v>524347</v>
      </c>
      <c r="H55" s="28">
        <v>31.5</v>
      </c>
      <c r="I55" s="29">
        <v>0</v>
      </c>
      <c r="J55" s="29">
        <f t="shared" si="23"/>
        <v>0</v>
      </c>
      <c r="L55" s="38">
        <f t="shared" si="13"/>
        <v>141310</v>
      </c>
      <c r="R55" s="21">
        <f t="shared" si="10"/>
        <v>1989</v>
      </c>
      <c r="S55" s="4">
        <f t="shared" si="14"/>
        <v>141310</v>
      </c>
      <c r="T55">
        <f t="shared" si="15"/>
        <v>0</v>
      </c>
      <c r="U55">
        <f t="shared" si="16"/>
        <v>49</v>
      </c>
      <c r="V55" s="1" t="str">
        <f t="shared" si="17"/>
        <v>L0</v>
      </c>
      <c r="W55" s="2">
        <f t="shared" si="18"/>
        <v>2883.877551020408</v>
      </c>
      <c r="X55" s="2">
        <f t="shared" si="11"/>
        <v>0</v>
      </c>
      <c r="Y55" s="18">
        <f t="shared" si="19"/>
        <v>33.80440434239116</v>
      </c>
      <c r="Z55" s="18">
        <f t="shared" si="20"/>
        <v>0</v>
      </c>
      <c r="AA55" s="2">
        <f t="shared" si="12"/>
        <v>97487.76280863867</v>
      </c>
    </row>
    <row r="56" spans="1:27" ht="12.75">
      <c r="A56">
        <v>1990</v>
      </c>
      <c r="C56" s="35">
        <f t="shared" si="21"/>
        <v>524347</v>
      </c>
      <c r="D56" s="35">
        <v>-947</v>
      </c>
      <c r="E56" s="35">
        <f>125654-66197+38863</f>
        <v>98320</v>
      </c>
      <c r="F56" s="35">
        <f>6084-5210+2994</f>
        <v>3868</v>
      </c>
      <c r="G56" s="35">
        <f t="shared" si="22"/>
        <v>617852</v>
      </c>
      <c r="H56" s="28">
        <v>30.5</v>
      </c>
      <c r="I56" s="29">
        <v>0</v>
      </c>
      <c r="J56" s="29">
        <f t="shared" si="23"/>
        <v>0</v>
      </c>
      <c r="L56" s="38">
        <f t="shared" si="13"/>
        <v>97373</v>
      </c>
      <c r="R56" s="21">
        <f t="shared" si="10"/>
        <v>1990</v>
      </c>
      <c r="S56" s="4">
        <f t="shared" si="14"/>
        <v>98320</v>
      </c>
      <c r="T56">
        <f t="shared" si="15"/>
        <v>0</v>
      </c>
      <c r="U56">
        <f t="shared" si="16"/>
        <v>49</v>
      </c>
      <c r="V56" s="1" t="str">
        <f t="shared" si="17"/>
        <v>L0</v>
      </c>
      <c r="W56" s="2">
        <f t="shared" si="18"/>
        <v>2006.530612244898</v>
      </c>
      <c r="X56" s="2">
        <f t="shared" si="11"/>
        <v>0</v>
      </c>
      <c r="Y56" s="18">
        <f t="shared" si="19"/>
        <v>34.15941180168512</v>
      </c>
      <c r="Z56" s="18">
        <f t="shared" si="20"/>
        <v>0</v>
      </c>
      <c r="AA56" s="2">
        <f t="shared" si="12"/>
        <v>68541.90547636083</v>
      </c>
    </row>
    <row r="57" spans="1:27" ht="12.75">
      <c r="A57">
        <v>1991</v>
      </c>
      <c r="C57" s="35">
        <f t="shared" si="21"/>
        <v>617852</v>
      </c>
      <c r="D57" s="35">
        <v>0</v>
      </c>
      <c r="E57" s="35">
        <f>71903-38863+38151</f>
        <v>71191</v>
      </c>
      <c r="F57" s="35">
        <f>2994-2994</f>
        <v>0</v>
      </c>
      <c r="G57" s="35">
        <f t="shared" si="22"/>
        <v>689043</v>
      </c>
      <c r="H57" s="28">
        <v>29.5</v>
      </c>
      <c r="I57" s="29">
        <v>0</v>
      </c>
      <c r="J57" s="29">
        <f t="shared" si="23"/>
        <v>0</v>
      </c>
      <c r="L57" s="38">
        <f t="shared" si="13"/>
        <v>71191</v>
      </c>
      <c r="R57" s="21">
        <f t="shared" si="10"/>
        <v>1991</v>
      </c>
      <c r="S57" s="4">
        <f t="shared" si="14"/>
        <v>71191</v>
      </c>
      <c r="T57">
        <f t="shared" si="15"/>
        <v>0</v>
      </c>
      <c r="U57">
        <f t="shared" si="16"/>
        <v>49</v>
      </c>
      <c r="V57" s="1" t="str">
        <f t="shared" si="17"/>
        <v>L0</v>
      </c>
      <c r="W57" s="2">
        <f t="shared" si="18"/>
        <v>1452.8775510204082</v>
      </c>
      <c r="X57" s="2">
        <f t="shared" si="11"/>
        <v>0</v>
      </c>
      <c r="Y57" s="18">
        <f t="shared" si="19"/>
        <v>34.51813958650519</v>
      </c>
      <c r="Z57" s="18">
        <f t="shared" si="20"/>
        <v>0</v>
      </c>
      <c r="AA57" s="2">
        <f t="shared" si="12"/>
        <v>50150.63010822227</v>
      </c>
    </row>
    <row r="58" spans="1:27" ht="12.75">
      <c r="A58">
        <v>1992</v>
      </c>
      <c r="C58" s="35">
        <f t="shared" si="21"/>
        <v>689043</v>
      </c>
      <c r="D58" s="35">
        <v>5968</v>
      </c>
      <c r="E58" s="35">
        <f>58040-38151+22783</f>
        <v>42672</v>
      </c>
      <c r="F58" s="35">
        <v>4492</v>
      </c>
      <c r="G58" s="35">
        <f t="shared" si="22"/>
        <v>733191</v>
      </c>
      <c r="H58" s="28">
        <v>28.5</v>
      </c>
      <c r="I58" s="29">
        <v>0</v>
      </c>
      <c r="J58" s="29">
        <f t="shared" si="23"/>
        <v>0</v>
      </c>
      <c r="L58" s="38">
        <f t="shared" si="13"/>
        <v>48640</v>
      </c>
      <c r="R58" s="21">
        <f t="shared" si="10"/>
        <v>1992</v>
      </c>
      <c r="S58" s="4">
        <f t="shared" si="14"/>
        <v>42672</v>
      </c>
      <c r="T58">
        <f t="shared" si="15"/>
        <v>0</v>
      </c>
      <c r="U58">
        <f t="shared" si="16"/>
        <v>49</v>
      </c>
      <c r="V58" s="1" t="str">
        <f t="shared" si="17"/>
        <v>L0</v>
      </c>
      <c r="W58" s="2">
        <f t="shared" si="18"/>
        <v>870.8571428571429</v>
      </c>
      <c r="X58" s="2">
        <f t="shared" si="11"/>
        <v>0</v>
      </c>
      <c r="Y58" s="18">
        <f t="shared" si="19"/>
        <v>34.88063569807894</v>
      </c>
      <c r="Z58" s="18">
        <f t="shared" si="20"/>
        <v>0</v>
      </c>
      <c r="AA58" s="2">
        <f t="shared" si="12"/>
        <v>30376.05074506989</v>
      </c>
    </row>
    <row r="59" spans="1:27" ht="12.75">
      <c r="A59">
        <v>1993</v>
      </c>
      <c r="C59" s="35">
        <f t="shared" si="21"/>
        <v>733191</v>
      </c>
      <c r="D59" s="35">
        <v>0</v>
      </c>
      <c r="E59" s="35">
        <f>70394-22783+31520</f>
        <v>79131</v>
      </c>
      <c r="F59" s="35">
        <f>198+118</f>
        <v>316</v>
      </c>
      <c r="G59" s="35">
        <f t="shared" si="22"/>
        <v>812006</v>
      </c>
      <c r="H59" s="28">
        <v>27.5</v>
      </c>
      <c r="I59" s="29"/>
      <c r="J59" s="29">
        <f t="shared" si="23"/>
        <v>0</v>
      </c>
      <c r="L59" s="38">
        <f t="shared" si="13"/>
        <v>79131</v>
      </c>
      <c r="R59" s="21">
        <f t="shared" si="10"/>
        <v>1993</v>
      </c>
      <c r="S59" s="4">
        <f t="shared" si="14"/>
        <v>79131</v>
      </c>
      <c r="T59">
        <f t="shared" si="15"/>
        <v>0</v>
      </c>
      <c r="U59">
        <f t="shared" si="16"/>
        <v>49</v>
      </c>
      <c r="V59" s="1" t="str">
        <f t="shared" si="17"/>
        <v>L0</v>
      </c>
      <c r="W59" s="2">
        <f t="shared" si="18"/>
        <v>1614.9183673469388</v>
      </c>
      <c r="X59" s="2">
        <f t="shared" si="11"/>
        <v>0</v>
      </c>
      <c r="Y59" s="18">
        <f t="shared" si="19"/>
        <v>35.24694849668594</v>
      </c>
      <c r="Z59" s="18">
        <f t="shared" si="20"/>
        <v>0</v>
      </c>
      <c r="AA59" s="2">
        <f t="shared" si="12"/>
        <v>56920.94452022969</v>
      </c>
    </row>
    <row r="60" spans="1:27" ht="12.75">
      <c r="A60">
        <v>1994</v>
      </c>
      <c r="C60" s="35">
        <f t="shared" si="21"/>
        <v>812006</v>
      </c>
      <c r="D60" s="35">
        <v>0</v>
      </c>
      <c r="E60" s="35">
        <f>70251-31520+50599</f>
        <v>89330</v>
      </c>
      <c r="F60" s="35">
        <f>208-118</f>
        <v>90</v>
      </c>
      <c r="G60" s="35">
        <f t="shared" si="22"/>
        <v>901246</v>
      </c>
      <c r="H60" s="28">
        <v>26.5</v>
      </c>
      <c r="I60" s="29">
        <v>0</v>
      </c>
      <c r="J60" s="29">
        <f t="shared" si="23"/>
        <v>0</v>
      </c>
      <c r="L60" s="38">
        <f t="shared" si="13"/>
        <v>89330</v>
      </c>
      <c r="R60" s="21">
        <f t="shared" si="10"/>
        <v>1994</v>
      </c>
      <c r="S60" s="4">
        <f t="shared" si="14"/>
        <v>89330</v>
      </c>
      <c r="T60">
        <f t="shared" si="15"/>
        <v>0</v>
      </c>
      <c r="U60">
        <f t="shared" si="16"/>
        <v>49</v>
      </c>
      <c r="V60" s="1" t="str">
        <f t="shared" si="17"/>
        <v>L0</v>
      </c>
      <c r="W60" s="2">
        <f t="shared" si="18"/>
        <v>1823.061224489796</v>
      </c>
      <c r="X60" s="2">
        <f t="shared" si="11"/>
        <v>0</v>
      </c>
      <c r="Y60" s="18">
        <f t="shared" si="19"/>
        <v>35.617126689161005</v>
      </c>
      <c r="Z60" s="18">
        <f t="shared" si="20"/>
        <v>0</v>
      </c>
      <c r="AA60" s="2">
        <f t="shared" si="12"/>
        <v>64932.20259475005</v>
      </c>
    </row>
    <row r="61" spans="1:27" ht="12.75">
      <c r="A61">
        <v>1995</v>
      </c>
      <c r="C61" s="35">
        <f t="shared" si="21"/>
        <v>901246</v>
      </c>
      <c r="D61" s="35">
        <v>0</v>
      </c>
      <c r="E61" s="35">
        <f>88459-50599+52021</f>
        <v>89881</v>
      </c>
      <c r="F61" s="35">
        <v>288</v>
      </c>
      <c r="G61" s="35">
        <f t="shared" si="22"/>
        <v>990839</v>
      </c>
      <c r="H61" s="28">
        <v>25.5</v>
      </c>
      <c r="I61" s="29"/>
      <c r="J61" s="29">
        <f t="shared" si="23"/>
        <v>0</v>
      </c>
      <c r="L61" s="38">
        <f t="shared" si="13"/>
        <v>89881</v>
      </c>
      <c r="R61" s="21">
        <f t="shared" si="10"/>
        <v>1995</v>
      </c>
      <c r="S61" s="4">
        <f t="shared" si="14"/>
        <v>89881</v>
      </c>
      <c r="T61">
        <f t="shared" si="15"/>
        <v>0</v>
      </c>
      <c r="U61">
        <f t="shared" si="16"/>
        <v>49</v>
      </c>
      <c r="V61" s="1" t="str">
        <f t="shared" si="17"/>
        <v>L0</v>
      </c>
      <c r="W61" s="2">
        <f t="shared" si="18"/>
        <v>1834.3061224489795</v>
      </c>
      <c r="X61" s="2">
        <f t="shared" si="11"/>
        <v>0</v>
      </c>
      <c r="Y61" s="18">
        <f t="shared" si="19"/>
        <v>35.99121931547101</v>
      </c>
      <c r="Z61" s="18">
        <f t="shared" si="20"/>
        <v>0</v>
      </c>
      <c r="AA61" s="2">
        <f t="shared" si="12"/>
        <v>66018.91394477244</v>
      </c>
    </row>
    <row r="62" spans="1:27" ht="12.75">
      <c r="A62">
        <v>1996</v>
      </c>
      <c r="C62" s="35">
        <f t="shared" si="21"/>
        <v>990839</v>
      </c>
      <c r="D62" s="35">
        <v>0</v>
      </c>
      <c r="E62" s="35">
        <f>84645-52021+40148</f>
        <v>72772</v>
      </c>
      <c r="F62" s="35">
        <f>287-288+585</f>
        <v>584</v>
      </c>
      <c r="G62" s="35">
        <f t="shared" si="22"/>
        <v>1063027</v>
      </c>
      <c r="H62" s="28">
        <v>24.5</v>
      </c>
      <c r="I62" s="29">
        <v>0</v>
      </c>
      <c r="J62" s="29">
        <f t="shared" si="23"/>
        <v>0</v>
      </c>
      <c r="L62" s="38">
        <f t="shared" si="13"/>
        <v>72772</v>
      </c>
      <c r="R62" s="21">
        <f t="shared" si="10"/>
        <v>1996</v>
      </c>
      <c r="S62" s="4">
        <f t="shared" si="14"/>
        <v>72772</v>
      </c>
      <c r="T62">
        <f t="shared" si="15"/>
        <v>0</v>
      </c>
      <c r="U62">
        <f t="shared" si="16"/>
        <v>49</v>
      </c>
      <c r="V62" s="1" t="str">
        <f t="shared" si="17"/>
        <v>L0</v>
      </c>
      <c r="W62" s="2">
        <f t="shared" si="18"/>
        <v>1485.142857142857</v>
      </c>
      <c r="X62" s="2">
        <f t="shared" si="11"/>
        <v>0</v>
      </c>
      <c r="Y62" s="18">
        <f t="shared" si="19"/>
        <v>36.369275734529616</v>
      </c>
      <c r="Z62" s="18">
        <f t="shared" si="20"/>
        <v>0</v>
      </c>
      <c r="AA62" s="2">
        <f t="shared" si="12"/>
        <v>54013.57007659569</v>
      </c>
    </row>
    <row r="63" spans="1:27" ht="12.75">
      <c r="A63">
        <v>1997</v>
      </c>
      <c r="C63" s="35">
        <f t="shared" si="21"/>
        <v>1063027</v>
      </c>
      <c r="D63" s="35">
        <v>0</v>
      </c>
      <c r="E63" s="35">
        <v>57974</v>
      </c>
      <c r="F63" s="35">
        <v>7658</v>
      </c>
      <c r="G63" s="35">
        <f t="shared" si="22"/>
        <v>1113343</v>
      </c>
      <c r="H63" s="28">
        <v>23.5</v>
      </c>
      <c r="I63" s="9">
        <v>0</v>
      </c>
      <c r="J63" s="29">
        <f t="shared" si="23"/>
        <v>0</v>
      </c>
      <c r="L63" s="38">
        <f t="shared" si="13"/>
        <v>57974</v>
      </c>
      <c r="R63" s="21">
        <f t="shared" si="10"/>
        <v>1997</v>
      </c>
      <c r="S63" s="4">
        <f t="shared" si="14"/>
        <v>57974</v>
      </c>
      <c r="T63">
        <f t="shared" si="15"/>
        <v>0</v>
      </c>
      <c r="U63">
        <f t="shared" si="16"/>
        <v>49</v>
      </c>
      <c r="V63" s="1" t="str">
        <f t="shared" si="17"/>
        <v>L0</v>
      </c>
      <c r="W63" s="2">
        <f t="shared" si="18"/>
        <v>1183.142857142857</v>
      </c>
      <c r="X63" s="2">
        <f t="shared" si="11"/>
        <v>0</v>
      </c>
      <c r="Y63" s="18">
        <f t="shared" si="19"/>
        <v>36.75138493431973</v>
      </c>
      <c r="Z63" s="18">
        <f t="shared" si="20"/>
        <v>0</v>
      </c>
      <c r="AA63" s="2">
        <f t="shared" si="12"/>
        <v>43482.138575148</v>
      </c>
    </row>
    <row r="64" spans="1:27" ht="12.75">
      <c r="A64">
        <v>1998</v>
      </c>
      <c r="C64" s="35">
        <f t="shared" si="21"/>
        <v>1113343</v>
      </c>
      <c r="D64" s="35">
        <v>0</v>
      </c>
      <c r="E64" s="35">
        <v>91757</v>
      </c>
      <c r="F64" s="35">
        <v>2732</v>
      </c>
      <c r="G64" s="35">
        <f t="shared" si="22"/>
        <v>1202368</v>
      </c>
      <c r="H64" s="28">
        <v>22.5</v>
      </c>
      <c r="I64" s="5">
        <v>0</v>
      </c>
      <c r="J64" s="29">
        <f t="shared" si="23"/>
        <v>0</v>
      </c>
      <c r="L64" s="38">
        <f t="shared" si="13"/>
        <v>91757</v>
      </c>
      <c r="R64" s="21">
        <f t="shared" si="10"/>
        <v>1998</v>
      </c>
      <c r="S64" s="4">
        <f t="shared" si="14"/>
        <v>91757</v>
      </c>
      <c r="T64">
        <f t="shared" si="15"/>
        <v>0</v>
      </c>
      <c r="U64">
        <f t="shared" si="16"/>
        <v>49</v>
      </c>
      <c r="V64" s="1" t="str">
        <f t="shared" si="17"/>
        <v>L0</v>
      </c>
      <c r="W64" s="2">
        <f t="shared" si="18"/>
        <v>1872.591836734694</v>
      </c>
      <c r="X64" s="2">
        <f t="shared" si="11"/>
        <v>0</v>
      </c>
      <c r="Y64" s="18">
        <f t="shared" si="19"/>
        <v>37.13802333328566</v>
      </c>
      <c r="Z64" s="18">
        <f t="shared" si="20"/>
        <v>0</v>
      </c>
      <c r="AA64" s="2">
        <f t="shared" si="12"/>
        <v>69544.35932637332</v>
      </c>
    </row>
    <row r="65" spans="1:27" ht="12.75">
      <c r="A65">
        <v>1999</v>
      </c>
      <c r="C65" s="35">
        <f t="shared" si="21"/>
        <v>1202368</v>
      </c>
      <c r="D65" s="35">
        <v>-1125</v>
      </c>
      <c r="E65" s="35">
        <v>60714</v>
      </c>
      <c r="F65" s="35">
        <v>23578</v>
      </c>
      <c r="G65" s="35">
        <f t="shared" si="22"/>
        <v>1238379</v>
      </c>
      <c r="H65" s="28">
        <v>21.5</v>
      </c>
      <c r="I65" s="29">
        <v>0</v>
      </c>
      <c r="J65" s="29">
        <f t="shared" si="23"/>
        <v>0</v>
      </c>
      <c r="L65" s="38">
        <f t="shared" si="13"/>
        <v>59589</v>
      </c>
      <c r="R65" s="21">
        <f t="shared" si="10"/>
        <v>1999</v>
      </c>
      <c r="S65" s="4">
        <f t="shared" si="14"/>
        <v>60714</v>
      </c>
      <c r="T65">
        <f t="shared" si="15"/>
        <v>0</v>
      </c>
      <c r="U65">
        <f t="shared" si="16"/>
        <v>49</v>
      </c>
      <c r="V65" s="1" t="str">
        <f t="shared" si="17"/>
        <v>L0</v>
      </c>
      <c r="W65" s="2">
        <f t="shared" si="18"/>
        <v>1239.061224489796</v>
      </c>
      <c r="X65" s="2">
        <f t="shared" si="11"/>
        <v>0</v>
      </c>
      <c r="Y65" s="18">
        <f t="shared" si="19"/>
        <v>37.529871842061695</v>
      </c>
      <c r="Z65" s="18">
        <f t="shared" si="20"/>
        <v>0</v>
      </c>
      <c r="AA65" s="2">
        <f t="shared" si="12"/>
        <v>46501.80895957007</v>
      </c>
    </row>
    <row r="66" spans="1:27" ht="12.75">
      <c r="A66">
        <v>2000</v>
      </c>
      <c r="C66" s="35">
        <f t="shared" si="21"/>
        <v>1238379</v>
      </c>
      <c r="D66" s="35">
        <v>0</v>
      </c>
      <c r="E66" s="35">
        <v>54409</v>
      </c>
      <c r="F66" s="35">
        <v>14998</v>
      </c>
      <c r="G66" s="35">
        <f t="shared" si="22"/>
        <v>1277790</v>
      </c>
      <c r="H66" s="28">
        <v>20.5</v>
      </c>
      <c r="I66" s="9">
        <v>0</v>
      </c>
      <c r="J66" s="29">
        <f t="shared" si="23"/>
        <v>0</v>
      </c>
      <c r="L66" s="38">
        <f t="shared" si="13"/>
        <v>54409</v>
      </c>
      <c r="R66" s="21">
        <f t="shared" si="10"/>
        <v>2000</v>
      </c>
      <c r="S66" s="4">
        <f t="shared" si="14"/>
        <v>54409</v>
      </c>
      <c r="T66">
        <f t="shared" si="15"/>
        <v>0</v>
      </c>
      <c r="U66">
        <f t="shared" si="16"/>
        <v>49</v>
      </c>
      <c r="V66" s="1" t="str">
        <f t="shared" si="17"/>
        <v>L0</v>
      </c>
      <c r="W66" s="2">
        <f t="shared" si="18"/>
        <v>1110.3877551020407</v>
      </c>
      <c r="X66" s="2">
        <f t="shared" si="11"/>
        <v>0</v>
      </c>
      <c r="Y66" s="18">
        <f t="shared" si="19"/>
        <v>37.92759401813064</v>
      </c>
      <c r="Z66" s="18">
        <f t="shared" si="20"/>
        <v>0</v>
      </c>
      <c r="AA66" s="2">
        <f t="shared" si="12"/>
        <v>42114.33597821367</v>
      </c>
    </row>
    <row r="67" spans="1:27" ht="12.75">
      <c r="A67">
        <v>2001</v>
      </c>
      <c r="C67" s="35">
        <f t="shared" si="21"/>
        <v>1277790</v>
      </c>
      <c r="D67" s="35">
        <v>0</v>
      </c>
      <c r="E67" s="35">
        <v>70925</v>
      </c>
      <c r="F67" s="35">
        <v>14054</v>
      </c>
      <c r="G67" s="35">
        <f t="shared" si="22"/>
        <v>1334661</v>
      </c>
      <c r="H67" s="28">
        <v>19.5</v>
      </c>
      <c r="I67" s="9">
        <v>0</v>
      </c>
      <c r="J67" s="29">
        <f t="shared" si="23"/>
        <v>0</v>
      </c>
      <c r="L67" s="38">
        <f t="shared" si="13"/>
        <v>70925</v>
      </c>
      <c r="R67" s="21">
        <f t="shared" si="10"/>
        <v>2001</v>
      </c>
      <c r="S67" s="4">
        <f t="shared" si="14"/>
        <v>70925</v>
      </c>
      <c r="T67">
        <f t="shared" si="15"/>
        <v>0</v>
      </c>
      <c r="U67">
        <f t="shared" si="16"/>
        <v>49</v>
      </c>
      <c r="V67" s="1" t="str">
        <f t="shared" si="17"/>
        <v>L0</v>
      </c>
      <c r="W67" s="2">
        <f t="shared" si="18"/>
        <v>1447.4489795918366</v>
      </c>
      <c r="X67" s="2">
        <f t="shared" si="11"/>
        <v>0</v>
      </c>
      <c r="Y67" s="18">
        <f>Prob_life($V$67,H67,$U$67)</f>
        <v>38.33184218569739</v>
      </c>
      <c r="Z67" s="18">
        <f t="shared" si="20"/>
        <v>0</v>
      </c>
      <c r="AA67" s="2">
        <f t="shared" si="12"/>
        <v>55483.385857563</v>
      </c>
    </row>
    <row r="68" spans="1:27" ht="12.75">
      <c r="A68">
        <v>2002</v>
      </c>
      <c r="C68" s="35">
        <f t="shared" si="21"/>
        <v>1334661</v>
      </c>
      <c r="D68" s="35">
        <v>0</v>
      </c>
      <c r="E68" s="35">
        <v>13369.99</v>
      </c>
      <c r="F68" s="35">
        <v>0</v>
      </c>
      <c r="G68" s="35">
        <f t="shared" si="22"/>
        <v>1348030.99</v>
      </c>
      <c r="H68" s="28">
        <v>18.5</v>
      </c>
      <c r="I68" s="29">
        <v>0</v>
      </c>
      <c r="J68" s="29">
        <f t="shared" si="23"/>
        <v>0</v>
      </c>
      <c r="L68" s="38">
        <f t="shared" si="13"/>
        <v>13369.99</v>
      </c>
      <c r="R68" s="21">
        <f t="shared" si="10"/>
        <v>2002</v>
      </c>
      <c r="S68" s="4">
        <f t="shared" si="14"/>
        <v>13369.99</v>
      </c>
      <c r="T68">
        <f t="shared" si="15"/>
        <v>0</v>
      </c>
      <c r="U68">
        <f t="shared" si="16"/>
        <v>49</v>
      </c>
      <c r="V68" s="1" t="str">
        <f t="shared" si="17"/>
        <v>L0</v>
      </c>
      <c r="W68" s="2">
        <f t="shared" si="18"/>
        <v>272.8569387755102</v>
      </c>
      <c r="X68" s="2">
        <f t="shared" si="11"/>
        <v>0</v>
      </c>
      <c r="Y68" s="18">
        <f aca="true" t="shared" si="24" ref="Y68:Y75">Prob_life(V68,H68,U68)</f>
        <v>38.74326639374554</v>
      </c>
      <c r="Z68" s="18">
        <f t="shared" si="20"/>
        <v>0</v>
      </c>
      <c r="AA68" s="2">
        <f t="shared" si="12"/>
        <v>10571.369066361509</v>
      </c>
    </row>
    <row r="69" spans="1:27" ht="12.75">
      <c r="A69">
        <v>2003</v>
      </c>
      <c r="C69" s="35">
        <f aca="true" t="shared" si="25" ref="C69:C75">G68</f>
        <v>1348030.99</v>
      </c>
      <c r="D69" s="35">
        <v>0</v>
      </c>
      <c r="E69" s="35">
        <v>54587</v>
      </c>
      <c r="F69" s="35">
        <v>1839</v>
      </c>
      <c r="G69" s="35">
        <f aca="true" t="shared" si="26" ref="G69:G75">C69+D69+E69-F69</f>
        <v>1400778.99</v>
      </c>
      <c r="H69" s="28">
        <v>17.5</v>
      </c>
      <c r="I69" s="29"/>
      <c r="J69" s="29"/>
      <c r="L69" s="38">
        <f t="shared" si="13"/>
        <v>54587</v>
      </c>
      <c r="R69" s="21">
        <f aca="true" t="shared" si="27" ref="R69:R75">A69</f>
        <v>2003</v>
      </c>
      <c r="S69" s="4">
        <f aca="true" t="shared" si="28" ref="S69:S75">E69</f>
        <v>54587</v>
      </c>
      <c r="T69">
        <f aca="true" t="shared" si="29" ref="T69:T75">IF(D69&gt;0,IF(J69&gt;0,D69,0),0)</f>
        <v>0</v>
      </c>
      <c r="U69">
        <f t="shared" si="16"/>
        <v>49</v>
      </c>
      <c r="V69" s="1" t="str">
        <f t="shared" si="17"/>
        <v>L0</v>
      </c>
      <c r="W69" s="2">
        <f aca="true" t="shared" si="30" ref="W69:W75">S69/U69</f>
        <v>1114.0204081632653</v>
      </c>
      <c r="X69" s="2">
        <f aca="true" t="shared" si="31" ref="X69:X75">T69/U69</f>
        <v>0</v>
      </c>
      <c r="Y69" s="18">
        <f t="shared" si="24"/>
        <v>39.16252370198702</v>
      </c>
      <c r="Z69" s="18">
        <f aca="true" t="shared" si="32" ref="Z69:Z75">IF(J69&gt;0,Prob_life(V69,J69+0.5,U69),0)</f>
        <v>0</v>
      </c>
      <c r="AA69" s="2">
        <f aca="true" t="shared" si="33" ref="AA69:AA75">W69*Y69+X69*Z69</f>
        <v>43627.85063919113</v>
      </c>
    </row>
    <row r="70" spans="1:27" ht="12.75">
      <c r="A70">
        <v>2004</v>
      </c>
      <c r="C70" s="35">
        <f t="shared" si="25"/>
        <v>1400778.99</v>
      </c>
      <c r="D70" s="35">
        <v>0</v>
      </c>
      <c r="E70" s="35">
        <v>53260</v>
      </c>
      <c r="F70" s="35">
        <v>3645</v>
      </c>
      <c r="G70" s="35">
        <f t="shared" si="26"/>
        <v>1450393.99</v>
      </c>
      <c r="H70" s="28">
        <v>16.5</v>
      </c>
      <c r="I70" s="29"/>
      <c r="J70" s="29"/>
      <c r="L70" s="38">
        <f t="shared" si="13"/>
        <v>53260</v>
      </c>
      <c r="R70" s="21">
        <f t="shared" si="27"/>
        <v>2004</v>
      </c>
      <c r="S70" s="4">
        <f t="shared" si="28"/>
        <v>53260</v>
      </c>
      <c r="T70">
        <f t="shared" si="29"/>
        <v>0</v>
      </c>
      <c r="U70">
        <f t="shared" si="16"/>
        <v>49</v>
      </c>
      <c r="V70" s="1" t="str">
        <f t="shared" si="17"/>
        <v>L0</v>
      </c>
      <c r="W70" s="2">
        <f t="shared" si="30"/>
        <v>1086.938775510204</v>
      </c>
      <c r="X70" s="2">
        <f t="shared" si="31"/>
        <v>0</v>
      </c>
      <c r="Y70" s="18">
        <f t="shared" si="24"/>
        <v>39.5902880643652</v>
      </c>
      <c r="Z70" s="18">
        <f t="shared" si="32"/>
        <v>0</v>
      </c>
      <c r="AA70" s="2">
        <f t="shared" si="33"/>
        <v>43032.21923077736</v>
      </c>
    </row>
    <row r="71" spans="1:27" ht="12.75">
      <c r="A71">
        <v>2005</v>
      </c>
      <c r="C71" s="35">
        <f t="shared" si="25"/>
        <v>1450393.99</v>
      </c>
      <c r="D71" s="35">
        <v>0</v>
      </c>
      <c r="E71" s="35">
        <v>31213.15</v>
      </c>
      <c r="F71" s="35">
        <v>0</v>
      </c>
      <c r="G71" s="35">
        <f t="shared" si="26"/>
        <v>1481607.14</v>
      </c>
      <c r="H71" s="28">
        <v>15.5</v>
      </c>
      <c r="I71" s="29"/>
      <c r="J71" s="29"/>
      <c r="L71" s="38">
        <f t="shared" si="13"/>
        <v>31213.15</v>
      </c>
      <c r="R71" s="21">
        <f t="shared" si="27"/>
        <v>2005</v>
      </c>
      <c r="S71" s="4">
        <f t="shared" si="28"/>
        <v>31213.15</v>
      </c>
      <c r="T71">
        <f t="shared" si="29"/>
        <v>0</v>
      </c>
      <c r="U71">
        <f t="shared" si="16"/>
        <v>49</v>
      </c>
      <c r="V71" s="1" t="str">
        <f t="shared" si="17"/>
        <v>L0</v>
      </c>
      <c r="W71" s="2">
        <f t="shared" si="30"/>
        <v>637.0030612244898</v>
      </c>
      <c r="X71" s="2">
        <f t="shared" si="31"/>
        <v>0</v>
      </c>
      <c r="Y71" s="18">
        <f t="shared" si="24"/>
        <v>40.02726114423755</v>
      </c>
      <c r="Z71" s="18">
        <f t="shared" si="32"/>
        <v>0</v>
      </c>
      <c r="AA71" s="2">
        <f t="shared" si="33"/>
        <v>25497.487881311394</v>
      </c>
    </row>
    <row r="72" spans="1:27" ht="12.75">
      <c r="A72">
        <v>2006</v>
      </c>
      <c r="C72" s="35">
        <f t="shared" si="25"/>
        <v>1481607.14</v>
      </c>
      <c r="D72" s="35">
        <v>0</v>
      </c>
      <c r="E72" s="35">
        <v>51485.82</v>
      </c>
      <c r="F72" s="35">
        <v>2875.96</v>
      </c>
      <c r="G72" s="35">
        <f t="shared" si="26"/>
        <v>1530217</v>
      </c>
      <c r="H72" s="28">
        <v>14.5</v>
      </c>
      <c r="I72" s="29"/>
      <c r="J72" s="29"/>
      <c r="L72" s="38">
        <f t="shared" si="13"/>
        <v>51485.82</v>
      </c>
      <c r="R72" s="21">
        <f t="shared" si="27"/>
        <v>2006</v>
      </c>
      <c r="S72" s="4">
        <f t="shared" si="28"/>
        <v>51485.82</v>
      </c>
      <c r="T72">
        <f t="shared" si="29"/>
        <v>0</v>
      </c>
      <c r="U72">
        <f t="shared" si="16"/>
        <v>49</v>
      </c>
      <c r="V72" s="1" t="str">
        <f t="shared" si="17"/>
        <v>L0</v>
      </c>
      <c r="W72" s="2">
        <f t="shared" si="30"/>
        <v>1050.7310204081632</v>
      </c>
      <c r="X72" s="2">
        <f t="shared" si="31"/>
        <v>0</v>
      </c>
      <c r="Y72" s="18">
        <f t="shared" si="24"/>
        <v>40.47418448971757</v>
      </c>
      <c r="Z72" s="18">
        <f t="shared" si="32"/>
        <v>0</v>
      </c>
      <c r="AA72" s="2">
        <f t="shared" si="33"/>
        <v>42527.4811690692</v>
      </c>
    </row>
    <row r="73" spans="1:27" ht="12.75">
      <c r="A73">
        <v>2007</v>
      </c>
      <c r="C73" s="35">
        <f t="shared" si="25"/>
        <v>1530217</v>
      </c>
      <c r="D73" s="35">
        <v>0</v>
      </c>
      <c r="E73" s="35">
        <v>24432.03</v>
      </c>
      <c r="F73" s="35">
        <v>26085.95</v>
      </c>
      <c r="G73" s="35">
        <f t="shared" si="26"/>
        <v>1528563.08</v>
      </c>
      <c r="H73" s="28">
        <v>13.5</v>
      </c>
      <c r="I73" s="29"/>
      <c r="J73" s="29"/>
      <c r="L73" s="38">
        <f t="shared" si="13"/>
        <v>24432.03</v>
      </c>
      <c r="R73" s="21">
        <f t="shared" si="27"/>
        <v>2007</v>
      </c>
      <c r="S73" s="4">
        <f t="shared" si="28"/>
        <v>24432.03</v>
      </c>
      <c r="T73">
        <f t="shared" si="29"/>
        <v>0</v>
      </c>
      <c r="U73">
        <f t="shared" si="16"/>
        <v>49</v>
      </c>
      <c r="V73" s="1" t="str">
        <f t="shared" si="17"/>
        <v>L0</v>
      </c>
      <c r="W73" s="2">
        <f t="shared" si="30"/>
        <v>498.61285714285714</v>
      </c>
      <c r="X73" s="2">
        <f t="shared" si="31"/>
        <v>0</v>
      </c>
      <c r="Y73" s="18">
        <f t="shared" si="24"/>
        <v>40.93185363664075</v>
      </c>
      <c r="Z73" s="18">
        <f t="shared" si="32"/>
        <v>0</v>
      </c>
      <c r="AA73" s="2">
        <f t="shared" si="33"/>
        <v>20409.148489918694</v>
      </c>
    </row>
    <row r="74" spans="1:27" ht="12.75">
      <c r="A74">
        <v>2008</v>
      </c>
      <c r="C74" s="35">
        <f t="shared" si="25"/>
        <v>1528563.08</v>
      </c>
      <c r="D74" s="35">
        <v>0</v>
      </c>
      <c r="E74" s="35">
        <v>51360.09</v>
      </c>
      <c r="F74" s="35">
        <v>12758.69</v>
      </c>
      <c r="G74" s="35">
        <f t="shared" si="26"/>
        <v>1567164.4800000002</v>
      </c>
      <c r="H74" s="28">
        <v>12.5</v>
      </c>
      <c r="I74" s="29"/>
      <c r="J74" s="29"/>
      <c r="L74" s="38">
        <f t="shared" si="13"/>
        <v>51360.09</v>
      </c>
      <c r="R74" s="21">
        <f t="shared" si="27"/>
        <v>2008</v>
      </c>
      <c r="S74" s="4">
        <f t="shared" si="28"/>
        <v>51360.09</v>
      </c>
      <c r="T74">
        <f t="shared" si="29"/>
        <v>0</v>
      </c>
      <c r="U74">
        <f t="shared" si="16"/>
        <v>49</v>
      </c>
      <c r="V74" s="1" t="str">
        <f t="shared" si="17"/>
        <v>L0</v>
      </c>
      <c r="W74" s="2">
        <f t="shared" si="30"/>
        <v>1048.1651020408162</v>
      </c>
      <c r="X74" s="2">
        <f t="shared" si="31"/>
        <v>0</v>
      </c>
      <c r="Y74" s="18">
        <f t="shared" si="24"/>
        <v>41.40113491416719</v>
      </c>
      <c r="Z74" s="18">
        <f t="shared" si="32"/>
        <v>0</v>
      </c>
      <c r="AA74" s="2">
        <f t="shared" si="33"/>
        <v>43395.224801913646</v>
      </c>
    </row>
    <row r="75" spans="1:27" ht="12.75">
      <c r="A75" s="29">
        <v>2009</v>
      </c>
      <c r="C75" s="35">
        <f t="shared" si="25"/>
        <v>1567164.4800000002</v>
      </c>
      <c r="D75" s="35">
        <v>0</v>
      </c>
      <c r="E75" s="35">
        <v>11085.35</v>
      </c>
      <c r="F75" s="35">
        <v>11141.81</v>
      </c>
      <c r="G75" s="35">
        <f t="shared" si="26"/>
        <v>1567108.0200000003</v>
      </c>
      <c r="H75" s="28">
        <v>11.5</v>
      </c>
      <c r="I75" s="29"/>
      <c r="J75" s="29"/>
      <c r="L75" s="38">
        <f t="shared" si="13"/>
        <v>11085.35</v>
      </c>
      <c r="R75" s="21">
        <f t="shared" si="27"/>
        <v>2009</v>
      </c>
      <c r="S75" s="4">
        <f t="shared" si="28"/>
        <v>11085.35</v>
      </c>
      <c r="T75">
        <f t="shared" si="29"/>
        <v>0</v>
      </c>
      <c r="U75">
        <f t="shared" si="16"/>
        <v>49</v>
      </c>
      <c r="V75" s="1" t="str">
        <f t="shared" si="17"/>
        <v>L0</v>
      </c>
      <c r="W75" s="2">
        <f t="shared" si="30"/>
        <v>226.23163265306124</v>
      </c>
      <c r="X75" s="2">
        <f t="shared" si="31"/>
        <v>0</v>
      </c>
      <c r="Y75" s="18">
        <f t="shared" si="24"/>
        <v>41.8829860441587</v>
      </c>
      <c r="Z75" s="18">
        <f t="shared" si="32"/>
        <v>0</v>
      </c>
      <c r="AA75" s="2">
        <f t="shared" si="33"/>
        <v>9475.256313155402</v>
      </c>
    </row>
    <row r="76" spans="1:27" ht="12.75">
      <c r="A76" s="29">
        <v>2010</v>
      </c>
      <c r="C76" s="35">
        <f aca="true" t="shared" si="34" ref="C76:C86">G75</f>
        <v>1567108.0200000003</v>
      </c>
      <c r="D76" s="35">
        <v>0</v>
      </c>
      <c r="E76" s="35">
        <v>51514.76</v>
      </c>
      <c r="F76" s="35">
        <v>24799.8</v>
      </c>
      <c r="G76" s="35">
        <f aca="true" t="shared" si="35" ref="G76:G86">C76+D76+E76-F76</f>
        <v>1593822.9800000002</v>
      </c>
      <c r="H76" s="28">
        <v>10.5</v>
      </c>
      <c r="I76" s="29"/>
      <c r="J76" s="29"/>
      <c r="L76" s="38">
        <f t="shared" si="13"/>
        <v>51514.76</v>
      </c>
      <c r="R76" s="21">
        <f aca="true" t="shared" si="36" ref="R76:R86">A76</f>
        <v>2010</v>
      </c>
      <c r="S76" s="4">
        <f aca="true" t="shared" si="37" ref="S76:S86">E76</f>
        <v>51514.76</v>
      </c>
      <c r="T76">
        <f aca="true" t="shared" si="38" ref="T76:T86">IF(D76&gt;0,IF(J76&gt;0,D76,0),0)</f>
        <v>0</v>
      </c>
      <c r="U76">
        <f t="shared" si="16"/>
        <v>49</v>
      </c>
      <c r="V76" s="1" t="str">
        <f t="shared" si="17"/>
        <v>L0</v>
      </c>
      <c r="W76" s="2">
        <f aca="true" t="shared" si="39" ref="W76:W86">S76/U76</f>
        <v>1051.3216326530612</v>
      </c>
      <c r="X76" s="2">
        <f aca="true" t="shared" si="40" ref="X76:X86">T76/U76</f>
        <v>0</v>
      </c>
      <c r="Y76" s="18">
        <f aca="true" t="shared" si="41" ref="Y76:Y86">Prob_life(V76,H76,U76)</f>
        <v>42.3784821192705</v>
      </c>
      <c r="Z76" s="18">
        <f aca="true" t="shared" si="42" ref="Z76:Z86">IF(J76&gt;0,Prob_life(V76,J76+0.5,U76),0)</f>
        <v>0</v>
      </c>
      <c r="AA76" s="2">
        <f aca="true" t="shared" si="43" ref="AA76:AA86">W76*Y76+X76*Z76</f>
        <v>44553.41501099002</v>
      </c>
    </row>
    <row r="77" spans="1:27" ht="12.75">
      <c r="A77" s="29">
        <v>2011</v>
      </c>
      <c r="C77" s="35">
        <f t="shared" si="34"/>
        <v>1593822.9800000002</v>
      </c>
      <c r="D77" s="35">
        <v>0</v>
      </c>
      <c r="E77" s="35">
        <v>15487.69</v>
      </c>
      <c r="F77" s="35">
        <v>3093.57</v>
      </c>
      <c r="G77" s="35">
        <f t="shared" si="35"/>
        <v>1606217.1</v>
      </c>
      <c r="H77" s="28">
        <v>9.5</v>
      </c>
      <c r="I77" s="29"/>
      <c r="J77" s="29"/>
      <c r="L77" s="38">
        <f t="shared" si="13"/>
        <v>15487.69</v>
      </c>
      <c r="R77" s="21">
        <f t="shared" si="36"/>
        <v>2011</v>
      </c>
      <c r="S77" s="4">
        <f t="shared" si="37"/>
        <v>15487.69</v>
      </c>
      <c r="T77">
        <f t="shared" si="38"/>
        <v>0</v>
      </c>
      <c r="U77">
        <f t="shared" si="16"/>
        <v>49</v>
      </c>
      <c r="V77" s="1" t="str">
        <f t="shared" si="17"/>
        <v>L0</v>
      </c>
      <c r="W77" s="2">
        <f t="shared" si="39"/>
        <v>316.075306122449</v>
      </c>
      <c r="X77" s="2">
        <f t="shared" si="40"/>
        <v>0</v>
      </c>
      <c r="Y77" s="18">
        <f t="shared" si="41"/>
        <v>42.888849340207535</v>
      </c>
      <c r="Z77" s="18">
        <f t="shared" si="42"/>
        <v>0</v>
      </c>
      <c r="AA77" s="2">
        <f t="shared" si="43"/>
        <v>13556.10618444569</v>
      </c>
    </row>
    <row r="78" spans="1:27" ht="12.75">
      <c r="A78" s="29">
        <v>2012</v>
      </c>
      <c r="C78" s="35">
        <f t="shared" si="34"/>
        <v>1606217.1</v>
      </c>
      <c r="D78" s="35">
        <v>0</v>
      </c>
      <c r="E78" s="35">
        <v>69140.55</v>
      </c>
      <c r="F78" s="35">
        <v>33340.88</v>
      </c>
      <c r="G78" s="35">
        <f t="shared" si="35"/>
        <v>1642016.7700000003</v>
      </c>
      <c r="H78" s="28">
        <v>8.5</v>
      </c>
      <c r="I78" s="29"/>
      <c r="J78" s="29"/>
      <c r="L78" s="38">
        <f t="shared" si="13"/>
        <v>69140.55</v>
      </c>
      <c r="R78" s="21">
        <f t="shared" si="36"/>
        <v>2012</v>
      </c>
      <c r="S78" s="4">
        <f t="shared" si="37"/>
        <v>69140.55</v>
      </c>
      <c r="T78">
        <f t="shared" si="38"/>
        <v>0</v>
      </c>
      <c r="U78">
        <f t="shared" si="16"/>
        <v>49</v>
      </c>
      <c r="V78" s="1" t="str">
        <f t="shared" si="17"/>
        <v>L0</v>
      </c>
      <c r="W78" s="2">
        <f t="shared" si="39"/>
        <v>1411.0316326530613</v>
      </c>
      <c r="X78" s="2">
        <f t="shared" si="40"/>
        <v>0</v>
      </c>
      <c r="Y78" s="18">
        <f t="shared" si="41"/>
        <v>43.41551022269174</v>
      </c>
      <c r="Z78" s="18">
        <f t="shared" si="42"/>
        <v>0</v>
      </c>
      <c r="AA78" s="2">
        <f t="shared" si="43"/>
        <v>61260.6582719904</v>
      </c>
    </row>
    <row r="79" spans="1:27" ht="12.75">
      <c r="A79" s="29">
        <v>2013</v>
      </c>
      <c r="C79" s="35">
        <f t="shared" si="34"/>
        <v>1642016.7700000003</v>
      </c>
      <c r="D79" s="35">
        <v>0</v>
      </c>
      <c r="E79" s="35">
        <v>41973.77</v>
      </c>
      <c r="F79" s="35">
        <v>127365.04</v>
      </c>
      <c r="G79" s="35">
        <f t="shared" si="35"/>
        <v>1556625.5000000002</v>
      </c>
      <c r="H79" s="28">
        <v>7.5</v>
      </c>
      <c r="I79" s="29"/>
      <c r="J79" s="29"/>
      <c r="L79" s="38">
        <f t="shared" si="13"/>
        <v>41973.77</v>
      </c>
      <c r="R79" s="21">
        <f t="shared" si="36"/>
        <v>2013</v>
      </c>
      <c r="S79" s="4">
        <f t="shared" si="37"/>
        <v>41973.77</v>
      </c>
      <c r="T79">
        <f t="shared" si="38"/>
        <v>0</v>
      </c>
      <c r="U79">
        <f t="shared" si="16"/>
        <v>49</v>
      </c>
      <c r="V79" s="1" t="str">
        <f t="shared" si="17"/>
        <v>L0</v>
      </c>
      <c r="W79" s="2">
        <f t="shared" si="39"/>
        <v>856.6075510204081</v>
      </c>
      <c r="X79" s="2">
        <f t="shared" si="40"/>
        <v>0</v>
      </c>
      <c r="Y79" s="18">
        <f t="shared" si="41"/>
        <v>43.96014631043281</v>
      </c>
      <c r="Z79" s="18">
        <f t="shared" si="42"/>
        <v>0</v>
      </c>
      <c r="AA79" s="2">
        <f t="shared" si="43"/>
        <v>37656.59327347868</v>
      </c>
    </row>
    <row r="80" spans="1:27" ht="12.75">
      <c r="A80" s="29">
        <v>2014</v>
      </c>
      <c r="C80" s="35">
        <f t="shared" si="34"/>
        <v>1556625.5000000002</v>
      </c>
      <c r="D80" s="35">
        <v>0</v>
      </c>
      <c r="E80" s="35">
        <v>96823.14</v>
      </c>
      <c r="F80" s="35">
        <v>6795.55</v>
      </c>
      <c r="G80" s="35">
        <f t="shared" si="35"/>
        <v>1646653.09</v>
      </c>
      <c r="H80" s="28">
        <v>6.5</v>
      </c>
      <c r="I80" s="29"/>
      <c r="J80" s="29"/>
      <c r="L80" s="38">
        <f t="shared" si="13"/>
        <v>96823.14</v>
      </c>
      <c r="R80" s="21">
        <f t="shared" si="36"/>
        <v>2014</v>
      </c>
      <c r="S80" s="4">
        <f t="shared" si="37"/>
        <v>96823.14</v>
      </c>
      <c r="T80">
        <f t="shared" si="38"/>
        <v>0</v>
      </c>
      <c r="U80">
        <f t="shared" si="16"/>
        <v>49</v>
      </c>
      <c r="V80" s="1" t="str">
        <f t="shared" si="17"/>
        <v>L0</v>
      </c>
      <c r="W80" s="2">
        <f t="shared" si="39"/>
        <v>1975.982448979592</v>
      </c>
      <c r="X80" s="2">
        <f t="shared" si="40"/>
        <v>0</v>
      </c>
      <c r="Y80" s="18">
        <f t="shared" si="41"/>
        <v>44.52478872452149</v>
      </c>
      <c r="Z80" s="18">
        <f t="shared" si="42"/>
        <v>0</v>
      </c>
      <c r="AA80" s="2">
        <f t="shared" si="43"/>
        <v>87980.2010641789</v>
      </c>
    </row>
    <row r="81" spans="1:27" ht="12.75">
      <c r="A81" s="29">
        <v>2015</v>
      </c>
      <c r="C81" s="35">
        <f t="shared" si="34"/>
        <v>1646653.09</v>
      </c>
      <c r="D81" s="35">
        <v>0</v>
      </c>
      <c r="E81" s="35">
        <v>35424.21</v>
      </c>
      <c r="F81" s="35">
        <v>14165.43</v>
      </c>
      <c r="G81" s="35">
        <f t="shared" si="35"/>
        <v>1667911.87</v>
      </c>
      <c r="H81" s="28">
        <v>5.5</v>
      </c>
      <c r="I81" s="29"/>
      <c r="J81" s="29"/>
      <c r="L81" s="38">
        <f t="shared" si="13"/>
        <v>35424.21</v>
      </c>
      <c r="R81" s="21">
        <f t="shared" si="36"/>
        <v>2015</v>
      </c>
      <c r="S81" s="4">
        <f t="shared" si="37"/>
        <v>35424.21</v>
      </c>
      <c r="T81">
        <f t="shared" si="38"/>
        <v>0</v>
      </c>
      <c r="U81">
        <f t="shared" si="16"/>
        <v>49</v>
      </c>
      <c r="V81" s="1" t="str">
        <f t="shared" si="17"/>
        <v>L0</v>
      </c>
      <c r="W81" s="2">
        <f t="shared" si="39"/>
        <v>722.9430612244897</v>
      </c>
      <c r="X81" s="2">
        <f t="shared" si="40"/>
        <v>0</v>
      </c>
      <c r="Y81" s="18">
        <f t="shared" si="41"/>
        <v>45.111955360061344</v>
      </c>
      <c r="Z81" s="18">
        <f t="shared" si="42"/>
        <v>0</v>
      </c>
      <c r="AA81" s="2">
        <f t="shared" si="43"/>
        <v>32613.375105825275</v>
      </c>
    </row>
    <row r="82" spans="1:27" ht="12.75">
      <c r="A82" s="29">
        <v>2016</v>
      </c>
      <c r="C82" s="35">
        <f t="shared" si="34"/>
        <v>1667911.87</v>
      </c>
      <c r="D82" s="35">
        <v>0</v>
      </c>
      <c r="E82" s="35">
        <v>18092.11</v>
      </c>
      <c r="F82" s="35">
        <v>23447.34</v>
      </c>
      <c r="G82" s="35">
        <f t="shared" si="35"/>
        <v>1662556.6400000001</v>
      </c>
      <c r="H82" s="28">
        <v>4.5</v>
      </c>
      <c r="I82" s="29"/>
      <c r="J82" s="29"/>
      <c r="L82" s="38">
        <f t="shared" si="13"/>
        <v>18092.11</v>
      </c>
      <c r="R82" s="21">
        <f t="shared" si="36"/>
        <v>2016</v>
      </c>
      <c r="S82" s="4">
        <f t="shared" si="37"/>
        <v>18092.11</v>
      </c>
      <c r="T82">
        <f t="shared" si="38"/>
        <v>0</v>
      </c>
      <c r="U82">
        <f t="shared" si="16"/>
        <v>49</v>
      </c>
      <c r="V82" s="1" t="str">
        <f t="shared" si="17"/>
        <v>L0</v>
      </c>
      <c r="W82" s="2">
        <f t="shared" si="39"/>
        <v>369.2267346938776</v>
      </c>
      <c r="X82" s="2">
        <f t="shared" si="40"/>
        <v>0</v>
      </c>
      <c r="Y82" s="18">
        <f t="shared" si="41"/>
        <v>45.72487178170955</v>
      </c>
      <c r="Z82" s="18">
        <f t="shared" si="42"/>
        <v>0</v>
      </c>
      <c r="AA82" s="2">
        <f t="shared" si="43"/>
        <v>16882.84510225684</v>
      </c>
    </row>
    <row r="83" spans="1:27" ht="12.75">
      <c r="A83" s="29">
        <v>2017</v>
      </c>
      <c r="C83" s="35">
        <f t="shared" si="34"/>
        <v>1662556.6400000001</v>
      </c>
      <c r="D83" s="35">
        <v>0</v>
      </c>
      <c r="E83" s="35">
        <v>12747.36</v>
      </c>
      <c r="F83" s="35">
        <v>4092.75</v>
      </c>
      <c r="G83" s="35">
        <f t="shared" si="35"/>
        <v>1671211.2500000002</v>
      </c>
      <c r="H83" s="28">
        <v>3.5</v>
      </c>
      <c r="I83" s="29"/>
      <c r="J83" s="29"/>
      <c r="L83" s="38">
        <f t="shared" si="13"/>
        <v>12747.36</v>
      </c>
      <c r="R83" s="21">
        <f t="shared" si="36"/>
        <v>2017</v>
      </c>
      <c r="S83" s="4">
        <f t="shared" si="37"/>
        <v>12747.36</v>
      </c>
      <c r="T83">
        <f t="shared" si="38"/>
        <v>0</v>
      </c>
      <c r="U83">
        <f t="shared" si="16"/>
        <v>49</v>
      </c>
      <c r="V83" s="1" t="str">
        <f t="shared" si="17"/>
        <v>L0</v>
      </c>
      <c r="W83" s="2">
        <f t="shared" si="39"/>
        <v>260.15020408163264</v>
      </c>
      <c r="X83" s="2">
        <f t="shared" si="40"/>
        <v>0</v>
      </c>
      <c r="Y83" s="18">
        <f t="shared" si="41"/>
        <v>46.3678567743286</v>
      </c>
      <c r="Z83" s="18">
        <f t="shared" si="42"/>
        <v>0</v>
      </c>
      <c r="AA83" s="2">
        <f t="shared" si="43"/>
        <v>12062.607402669499</v>
      </c>
    </row>
    <row r="84" spans="1:27" ht="12.75">
      <c r="A84" s="29">
        <v>2018</v>
      </c>
      <c r="C84" s="35">
        <f t="shared" si="34"/>
        <v>1671211.2500000002</v>
      </c>
      <c r="D84" s="35">
        <v>0</v>
      </c>
      <c r="E84" s="35">
        <v>12655.09</v>
      </c>
      <c r="F84" s="35">
        <v>30808.77</v>
      </c>
      <c r="G84" s="35">
        <f t="shared" si="35"/>
        <v>1653057.5700000003</v>
      </c>
      <c r="H84" s="28">
        <v>2.5</v>
      </c>
      <c r="I84" s="29"/>
      <c r="J84" s="29"/>
      <c r="L84" s="38">
        <f t="shared" si="13"/>
        <v>12655.09</v>
      </c>
      <c r="R84" s="21">
        <f t="shared" si="36"/>
        <v>2018</v>
      </c>
      <c r="S84" s="4">
        <f t="shared" si="37"/>
        <v>12655.09</v>
      </c>
      <c r="T84">
        <f t="shared" si="38"/>
        <v>0</v>
      </c>
      <c r="U84">
        <f t="shared" si="16"/>
        <v>49</v>
      </c>
      <c r="V84" s="1" t="str">
        <f t="shared" si="17"/>
        <v>L0</v>
      </c>
      <c r="W84" s="2">
        <f t="shared" si="39"/>
        <v>258.26714285714286</v>
      </c>
      <c r="X84" s="2">
        <f t="shared" si="40"/>
        <v>0</v>
      </c>
      <c r="Y84" s="18">
        <f t="shared" si="41"/>
        <v>47.047077085086705</v>
      </c>
      <c r="Z84" s="18">
        <f t="shared" si="42"/>
        <v>0</v>
      </c>
      <c r="AA84" s="2">
        <f t="shared" si="43"/>
        <v>12150.7141785451</v>
      </c>
    </row>
    <row r="85" spans="1:27" ht="12.75">
      <c r="A85" s="29">
        <v>2019</v>
      </c>
      <c r="C85" s="35">
        <f t="shared" si="34"/>
        <v>1653057.5700000003</v>
      </c>
      <c r="D85" s="35">
        <v>0</v>
      </c>
      <c r="E85" s="35">
        <v>35645.46</v>
      </c>
      <c r="F85" s="35">
        <v>3041.63</v>
      </c>
      <c r="G85" s="35">
        <f t="shared" si="35"/>
        <v>1685661.4000000004</v>
      </c>
      <c r="H85" s="28">
        <v>1.5</v>
      </c>
      <c r="I85" s="29"/>
      <c r="J85" s="29"/>
      <c r="L85" s="38">
        <f t="shared" si="13"/>
        <v>35645.46</v>
      </c>
      <c r="R85" s="21">
        <f t="shared" si="36"/>
        <v>2019</v>
      </c>
      <c r="S85" s="4">
        <f t="shared" si="37"/>
        <v>35645.46</v>
      </c>
      <c r="T85">
        <f t="shared" si="38"/>
        <v>0</v>
      </c>
      <c r="U85">
        <f t="shared" si="16"/>
        <v>49</v>
      </c>
      <c r="V85" s="1" t="str">
        <f t="shared" si="17"/>
        <v>L0</v>
      </c>
      <c r="W85" s="2">
        <f t="shared" si="39"/>
        <v>727.4583673469388</v>
      </c>
      <c r="X85" s="2">
        <f t="shared" si="40"/>
        <v>0</v>
      </c>
      <c r="Y85" s="18">
        <f t="shared" si="41"/>
        <v>47.77231769914968</v>
      </c>
      <c r="Z85" s="18">
        <f t="shared" si="42"/>
        <v>0</v>
      </c>
      <c r="AA85" s="2">
        <f t="shared" si="43"/>
        <v>34752.372237802694</v>
      </c>
    </row>
    <row r="86" spans="1:27" ht="12.75">
      <c r="A86" s="29">
        <v>2020</v>
      </c>
      <c r="C86" s="35">
        <f t="shared" si="34"/>
        <v>1685661.4000000004</v>
      </c>
      <c r="D86" s="35">
        <v>0</v>
      </c>
      <c r="E86" s="35">
        <v>138306.35</v>
      </c>
      <c r="F86" s="35">
        <v>42334.31</v>
      </c>
      <c r="G86" s="35">
        <f t="shared" si="35"/>
        <v>1781633.4400000004</v>
      </c>
      <c r="H86" s="28">
        <v>0.5</v>
      </c>
      <c r="I86" s="29"/>
      <c r="J86" s="29"/>
      <c r="L86" s="38">
        <f t="shared" si="13"/>
        <v>138306.35</v>
      </c>
      <c r="R86" s="21">
        <f t="shared" si="36"/>
        <v>2020</v>
      </c>
      <c r="S86" s="4">
        <f t="shared" si="37"/>
        <v>138306.35</v>
      </c>
      <c r="T86">
        <f t="shared" si="38"/>
        <v>0</v>
      </c>
      <c r="U86">
        <f t="shared" si="16"/>
        <v>49</v>
      </c>
      <c r="V86" s="1" t="str">
        <f t="shared" si="17"/>
        <v>L0</v>
      </c>
      <c r="W86" s="2">
        <f t="shared" si="39"/>
        <v>2822.5785714285716</v>
      </c>
      <c r="X86" s="2">
        <f t="shared" si="40"/>
        <v>0</v>
      </c>
      <c r="Y86" s="18">
        <f t="shared" si="41"/>
        <v>48.56288429495364</v>
      </c>
      <c r="Z86" s="18">
        <f t="shared" si="42"/>
        <v>0</v>
      </c>
      <c r="AA86" s="2">
        <f t="shared" si="43"/>
        <v>137072.55657770127</v>
      </c>
    </row>
    <row r="87" spans="3:27" ht="12.75">
      <c r="C87" s="8"/>
      <c r="D87" s="8"/>
      <c r="E87" s="8"/>
      <c r="F87" s="8"/>
      <c r="G87" s="8"/>
      <c r="W87" s="2"/>
      <c r="X87" s="2"/>
      <c r="AA87" s="2"/>
    </row>
    <row r="88" spans="7:27" ht="12.75">
      <c r="G88" s="4">
        <f>SUM(G82:G87)/5</f>
        <v>1690824.06</v>
      </c>
      <c r="I88" s="8"/>
      <c r="S88" s="4">
        <f>SUM(S6:S87)</f>
        <v>2267939.9200000004</v>
      </c>
      <c r="T88" s="4">
        <f>SUM(T6:T87)</f>
        <v>0</v>
      </c>
      <c r="W88" s="2">
        <f>SUM(W6:W87)</f>
        <v>46284.48816326531</v>
      </c>
      <c r="X88" s="2">
        <f>SUM(X6:X87)</f>
        <v>0</v>
      </c>
      <c r="Y88" s="19">
        <f>AA88/W88</f>
        <v>37.93118321732089</v>
      </c>
      <c r="Z88" s="18"/>
      <c r="AA88" s="2">
        <f>SUM(AA6:AA87)</f>
        <v>1755625.4006407368</v>
      </c>
    </row>
    <row r="90" spans="2:27" ht="12.75">
      <c r="B90" t="s">
        <v>7</v>
      </c>
      <c r="D90" s="4"/>
      <c r="G90" s="10"/>
      <c r="W90" t="s">
        <v>35</v>
      </c>
      <c r="AA90" s="15">
        <f>AA88/(W88+X88)</f>
        <v>37.93118321732089</v>
      </c>
    </row>
    <row r="92" spans="2:7" ht="12.75">
      <c r="B92" t="s">
        <v>8</v>
      </c>
      <c r="D92" s="8"/>
      <c r="G92" s="10"/>
    </row>
    <row r="93" spans="20:22" ht="12.75">
      <c r="T93" s="20" t="s">
        <v>26</v>
      </c>
      <c r="V93" s="32" t="s">
        <v>15</v>
      </c>
    </row>
    <row r="94" spans="2:22" ht="12.75">
      <c r="B94" t="s">
        <v>9</v>
      </c>
      <c r="G94">
        <v>0.03</v>
      </c>
      <c r="T94" s="20" t="s">
        <v>11</v>
      </c>
      <c r="V94">
        <v>49</v>
      </c>
    </row>
    <row r="96" ht="12.75">
      <c r="B96" t="s">
        <v>10</v>
      </c>
    </row>
    <row r="98" spans="3:11" ht="12.75">
      <c r="C98" s="24"/>
      <c r="D98" s="23"/>
      <c r="E98" s="23"/>
      <c r="F98" s="23"/>
      <c r="G98" s="23"/>
      <c r="H98" s="23"/>
      <c r="I98" s="23"/>
      <c r="J98" s="23"/>
      <c r="K98" s="23"/>
    </row>
    <row r="99" spans="3:11" ht="12.75">
      <c r="C99" s="24"/>
      <c r="D99" s="43"/>
      <c r="E99" s="23"/>
      <c r="F99" s="23"/>
      <c r="G99" s="23"/>
      <c r="H99" s="23"/>
      <c r="I99" s="23"/>
      <c r="J99" s="23"/>
      <c r="K99" s="16"/>
    </row>
    <row r="100" spans="3:11" ht="12.75">
      <c r="C100" s="24"/>
      <c r="D100" s="24"/>
      <c r="E100" s="24"/>
      <c r="F100" s="42"/>
      <c r="G100" s="42"/>
      <c r="H100" s="44"/>
      <c r="I100" s="44"/>
      <c r="J100" s="44"/>
      <c r="K100" s="24"/>
    </row>
    <row r="101" spans="3:11" ht="12.75">
      <c r="C101" s="24"/>
      <c r="D101" s="24"/>
      <c r="E101" s="24"/>
      <c r="F101" s="42"/>
      <c r="G101" s="42"/>
      <c r="H101" s="44"/>
      <c r="I101" s="44"/>
      <c r="J101" s="44"/>
      <c r="K101" s="24"/>
    </row>
    <row r="102" spans="3:11" ht="12.75">
      <c r="C102" s="24"/>
      <c r="D102" s="24"/>
      <c r="E102" s="24"/>
      <c r="F102" s="42"/>
      <c r="G102" s="42"/>
      <c r="H102" s="44"/>
      <c r="I102" s="44"/>
      <c r="J102" s="44"/>
      <c r="K102" s="24"/>
    </row>
    <row r="103" spans="3:11" ht="12.75">
      <c r="C103" s="24"/>
      <c r="D103" s="24"/>
      <c r="E103" s="24"/>
      <c r="F103" s="42"/>
      <c r="G103" s="42"/>
      <c r="H103" s="44"/>
      <c r="I103" s="44"/>
      <c r="J103" s="44"/>
      <c r="K103" s="24"/>
    </row>
    <row r="104" spans="3:11" ht="12.75">
      <c r="C104" s="24"/>
      <c r="D104" s="24"/>
      <c r="E104" s="24"/>
      <c r="F104" s="42"/>
      <c r="G104" s="42"/>
      <c r="H104" s="44"/>
      <c r="I104" s="44"/>
      <c r="J104" s="44"/>
      <c r="K104" s="24"/>
    </row>
    <row r="105" spans="3:11" ht="12.75">
      <c r="C105" s="24"/>
      <c r="D105" s="24"/>
      <c r="E105" s="24"/>
      <c r="F105" s="42"/>
      <c r="G105" s="42"/>
      <c r="H105" s="44"/>
      <c r="I105" s="44"/>
      <c r="J105" s="44"/>
      <c r="K105" s="24"/>
    </row>
    <row r="106" spans="3:11" ht="12.75">
      <c r="C106" s="24"/>
      <c r="D106" s="24"/>
      <c r="E106" s="24"/>
      <c r="F106" s="42"/>
      <c r="G106" s="42"/>
      <c r="H106" s="44"/>
      <c r="I106" s="44"/>
      <c r="J106" s="44"/>
      <c r="K106" s="24"/>
    </row>
    <row r="107" spans="3:11" ht="12.75">
      <c r="C107" s="24"/>
      <c r="D107" s="24"/>
      <c r="E107" s="24"/>
      <c r="F107" s="42"/>
      <c r="G107" s="42"/>
      <c r="H107" s="44"/>
      <c r="I107" s="44"/>
      <c r="J107" s="44"/>
      <c r="K107" s="24"/>
    </row>
    <row r="108" spans="3:11" ht="12.75">
      <c r="C108" s="24"/>
      <c r="D108" s="24"/>
      <c r="E108" s="24"/>
      <c r="F108" s="42"/>
      <c r="G108" s="42"/>
      <c r="H108" s="44"/>
      <c r="I108" s="44"/>
      <c r="J108" s="44"/>
      <c r="K108" s="24"/>
    </row>
    <row r="109" spans="3:11" ht="12.75">
      <c r="C109" s="24"/>
      <c r="D109" s="24"/>
      <c r="E109" s="24"/>
      <c r="F109" s="42"/>
      <c r="G109" s="42"/>
      <c r="H109" s="44"/>
      <c r="I109" s="44"/>
      <c r="J109" s="44"/>
      <c r="K109" s="24"/>
    </row>
    <row r="110" spans="3:11" ht="12.75">
      <c r="C110" s="24"/>
      <c r="D110" s="24"/>
      <c r="E110" s="24"/>
      <c r="F110" s="42"/>
      <c r="G110" s="42"/>
      <c r="H110" s="44"/>
      <c r="I110" s="44"/>
      <c r="J110" s="44"/>
      <c r="K110" s="24"/>
    </row>
    <row r="111" spans="3:11" ht="12.75">
      <c r="C111" s="24"/>
      <c r="D111" s="24"/>
      <c r="E111" s="24"/>
      <c r="F111" s="42"/>
      <c r="G111" s="42"/>
      <c r="H111" s="44"/>
      <c r="I111" s="44"/>
      <c r="J111" s="44"/>
      <c r="K111" s="24"/>
    </row>
    <row r="112" spans="3:11" ht="12.75">
      <c r="C112" s="24"/>
      <c r="D112" s="24"/>
      <c r="E112" s="24"/>
      <c r="F112" s="42"/>
      <c r="G112" s="42"/>
      <c r="H112" s="44"/>
      <c r="I112" s="44"/>
      <c r="J112" s="44"/>
      <c r="K112" s="24"/>
    </row>
    <row r="113" spans="3:11" ht="12.75">
      <c r="C113" s="24"/>
      <c r="D113" s="24"/>
      <c r="E113" s="24"/>
      <c r="F113" s="42"/>
      <c r="G113" s="42"/>
      <c r="H113" s="44"/>
      <c r="I113" s="44"/>
      <c r="J113" s="44"/>
      <c r="K113" s="24"/>
    </row>
    <row r="114" spans="3:11" ht="12.75">
      <c r="C114" s="24"/>
      <c r="D114" s="24"/>
      <c r="E114" s="24"/>
      <c r="F114" s="42"/>
      <c r="G114" s="42"/>
      <c r="H114" s="44"/>
      <c r="I114" s="44"/>
      <c r="J114" s="44"/>
      <c r="K114" s="24"/>
    </row>
    <row r="115" spans="3:11" ht="12.75">
      <c r="C115" s="24"/>
      <c r="D115" s="24"/>
      <c r="E115" s="24"/>
      <c r="F115" s="42"/>
      <c r="G115" s="42"/>
      <c r="H115" s="44"/>
      <c r="I115" s="44"/>
      <c r="J115" s="44"/>
      <c r="K115" s="24"/>
    </row>
    <row r="116" spans="3:11" ht="12.75">
      <c r="C116" s="24"/>
      <c r="D116" s="24"/>
      <c r="E116" s="24"/>
      <c r="F116" s="42"/>
      <c r="G116" s="42"/>
      <c r="H116" s="44"/>
      <c r="I116" s="44"/>
      <c r="J116" s="44"/>
      <c r="K116" s="24"/>
    </row>
    <row r="117" spans="3:11" ht="12.75">
      <c r="C117" s="24"/>
      <c r="D117" s="24"/>
      <c r="E117" s="24"/>
      <c r="F117" s="42"/>
      <c r="G117" s="42"/>
      <c r="H117" s="44"/>
      <c r="I117" s="44"/>
      <c r="J117" s="44"/>
      <c r="K117" s="24"/>
    </row>
    <row r="118" spans="3:11" ht="12.75">
      <c r="C118" s="24"/>
      <c r="D118" s="24"/>
      <c r="E118" s="24"/>
      <c r="F118" s="42"/>
      <c r="G118" s="42"/>
      <c r="H118" s="44"/>
      <c r="I118" s="44"/>
      <c r="J118" s="44"/>
      <c r="K118" s="24"/>
    </row>
    <row r="119" spans="3:11" ht="12.75">
      <c r="C119" s="24"/>
      <c r="D119" s="24"/>
      <c r="E119" s="24"/>
      <c r="F119" s="42"/>
      <c r="G119" s="42"/>
      <c r="H119" s="44"/>
      <c r="I119" s="44"/>
      <c r="J119" s="44"/>
      <c r="K119" s="24"/>
    </row>
    <row r="120" spans="3:11" ht="12.75">
      <c r="C120" s="24"/>
      <c r="D120" s="24"/>
      <c r="E120" s="24"/>
      <c r="F120" s="42"/>
      <c r="G120" s="42"/>
      <c r="H120" s="44"/>
      <c r="I120" s="44"/>
      <c r="J120" s="44"/>
      <c r="K120" s="24"/>
    </row>
    <row r="121" spans="3:11" ht="12.75">
      <c r="C121" s="24"/>
      <c r="D121" s="24"/>
      <c r="E121" s="24"/>
      <c r="F121" s="42"/>
      <c r="G121" s="42"/>
      <c r="H121" s="44"/>
      <c r="I121" s="44"/>
      <c r="J121" s="44"/>
      <c r="K121" s="24"/>
    </row>
    <row r="122" ht="12.75">
      <c r="K122" s="24"/>
    </row>
    <row r="123" ht="12.75">
      <c r="K123" s="24"/>
    </row>
    <row r="124" spans="4:11" ht="12.75">
      <c r="D124" s="33" t="s">
        <v>36</v>
      </c>
      <c r="E124" s="34">
        <v>40270</v>
      </c>
      <c r="K124" s="24"/>
    </row>
    <row r="125" ht="12.75">
      <c r="K125" s="24"/>
    </row>
    <row r="126" ht="12.75">
      <c r="K126" s="24"/>
    </row>
    <row r="127" ht="12.75">
      <c r="K127" s="24"/>
    </row>
    <row r="128" ht="12.75">
      <c r="K128" s="24"/>
    </row>
    <row r="129" ht="12.75">
      <c r="K129" s="24"/>
    </row>
    <row r="130" ht="12.75">
      <c r="K130" s="24"/>
    </row>
    <row r="131" ht="12.75">
      <c r="K131" s="24"/>
    </row>
    <row r="132" ht="12.75">
      <c r="K132" s="24"/>
    </row>
    <row r="133" ht="12.75">
      <c r="K133" s="24"/>
    </row>
    <row r="134" ht="12.75">
      <c r="K134" s="24"/>
    </row>
    <row r="135" ht="12.75">
      <c r="K135" s="24"/>
    </row>
    <row r="136" ht="12.75">
      <c r="K136" s="24"/>
    </row>
    <row r="137" ht="12.75">
      <c r="K137" s="24"/>
    </row>
    <row r="138" ht="12.75">
      <c r="K138" s="24"/>
    </row>
    <row r="139" ht="12.75">
      <c r="K139" s="24"/>
    </row>
    <row r="140" ht="12.75">
      <c r="K140" s="24"/>
    </row>
    <row r="141" ht="12.75">
      <c r="K141" s="24"/>
    </row>
    <row r="142" ht="12.75">
      <c r="K142" s="24"/>
    </row>
    <row r="143" ht="12.75">
      <c r="K143" s="24"/>
    </row>
    <row r="144" ht="12.75">
      <c r="K144" s="24"/>
    </row>
    <row r="145" ht="12.75">
      <c r="K145" s="24"/>
    </row>
    <row r="146" ht="12.75">
      <c r="K146" s="24"/>
    </row>
    <row r="147" ht="12.75">
      <c r="K147" s="24"/>
    </row>
    <row r="148" ht="12.75">
      <c r="K148" s="24"/>
    </row>
    <row r="149" ht="12.75">
      <c r="K149" s="24"/>
    </row>
    <row r="150" ht="12.75">
      <c r="K150" s="24"/>
    </row>
    <row r="151" ht="12.75">
      <c r="K151" s="24"/>
    </row>
    <row r="152" ht="12.75">
      <c r="K152" s="24"/>
    </row>
    <row r="153" ht="12.75">
      <c r="K153" s="24"/>
    </row>
    <row r="154" ht="12.75">
      <c r="K154" s="24"/>
    </row>
    <row r="155" ht="12.75">
      <c r="K155" s="24"/>
    </row>
    <row r="156" ht="12.75">
      <c r="K156" s="24"/>
    </row>
    <row r="157" ht="12.75">
      <c r="K157" s="24"/>
    </row>
    <row r="158" ht="12.75">
      <c r="K158" s="24"/>
    </row>
    <row r="159" ht="12.75">
      <c r="K159" s="24"/>
    </row>
    <row r="160" ht="12.75">
      <c r="K160" s="24"/>
    </row>
    <row r="161" ht="12.75">
      <c r="K161" s="24"/>
    </row>
    <row r="162" ht="12.75">
      <c r="K162" s="24"/>
    </row>
    <row r="163" ht="12.75">
      <c r="K163" s="24"/>
    </row>
    <row r="164" ht="12.75">
      <c r="K164" s="24"/>
    </row>
    <row r="165" ht="12.75">
      <c r="K165" s="24"/>
    </row>
    <row r="166" ht="12.75">
      <c r="K166" s="24"/>
    </row>
    <row r="167" ht="12.75">
      <c r="K167" s="24"/>
    </row>
    <row r="168" ht="12.75">
      <c r="K168" s="24"/>
    </row>
    <row r="169" ht="12.75">
      <c r="K169" s="24"/>
    </row>
    <row r="170" ht="12.75">
      <c r="K170" s="24"/>
    </row>
    <row r="171" ht="12.75">
      <c r="K171" s="24"/>
    </row>
    <row r="172" ht="12.75">
      <c r="K172" s="24"/>
    </row>
    <row r="173" ht="12.75">
      <c r="K173" s="24"/>
    </row>
    <row r="174" ht="12.75">
      <c r="K174" s="24"/>
    </row>
    <row r="175" ht="12.75">
      <c r="K175" s="24"/>
    </row>
    <row r="176" ht="12.75">
      <c r="K176" s="24"/>
    </row>
    <row r="177" ht="12.75">
      <c r="K177" s="24"/>
    </row>
    <row r="178" ht="12.75">
      <c r="K178" s="24"/>
    </row>
    <row r="179" ht="12.75">
      <c r="K179" s="24"/>
    </row>
    <row r="180" ht="12.75">
      <c r="K180" s="24"/>
    </row>
    <row r="181" ht="12.75">
      <c r="K181" s="24"/>
    </row>
    <row r="182" ht="12.75">
      <c r="K182" s="24"/>
    </row>
    <row r="183" ht="12.75">
      <c r="K183" s="24"/>
    </row>
    <row r="184" ht="12.75">
      <c r="K184" s="24"/>
    </row>
    <row r="185" ht="12.75">
      <c r="K185" s="24"/>
    </row>
    <row r="186" ht="12.75">
      <c r="K186" s="24"/>
    </row>
    <row r="187" ht="12.75">
      <c r="K187" s="24"/>
    </row>
    <row r="188" ht="12.75">
      <c r="K188" s="24"/>
    </row>
    <row r="189" ht="12.75">
      <c r="K189" s="24"/>
    </row>
    <row r="190" ht="12.75">
      <c r="K190" s="24"/>
    </row>
    <row r="191" ht="12.75">
      <c r="K191" s="24"/>
    </row>
    <row r="192" ht="12.75">
      <c r="K192" s="24"/>
    </row>
    <row r="193" ht="12.75">
      <c r="K193" s="24"/>
    </row>
    <row r="194" ht="12.75">
      <c r="K194" s="24"/>
    </row>
    <row r="195" ht="12.75">
      <c r="K195" s="24"/>
    </row>
    <row r="196" ht="12.75">
      <c r="K196" s="24"/>
    </row>
    <row r="197" ht="12.75">
      <c r="K197" s="24"/>
    </row>
    <row r="198" ht="12.75">
      <c r="K198" s="24"/>
    </row>
    <row r="199" ht="12.75">
      <c r="K199" s="24"/>
    </row>
    <row r="200" ht="12.75">
      <c r="K200" s="24"/>
    </row>
    <row r="201" ht="12.75">
      <c r="K201" s="24"/>
    </row>
    <row r="202" ht="12.75">
      <c r="K202" s="24"/>
    </row>
    <row r="203" ht="12.75">
      <c r="K203" s="24"/>
    </row>
    <row r="204" ht="12.75">
      <c r="K204" s="24"/>
    </row>
    <row r="205" ht="12.75">
      <c r="K205" s="24"/>
    </row>
    <row r="206" ht="12.75">
      <c r="K206" s="24"/>
    </row>
    <row r="207" ht="12.75">
      <c r="K207" s="24"/>
    </row>
    <row r="208" ht="12.75">
      <c r="K208" s="24"/>
    </row>
    <row r="209" ht="12.75">
      <c r="K209" s="24"/>
    </row>
    <row r="210" ht="12.75">
      <c r="K210" s="24"/>
    </row>
    <row r="211" ht="12.75">
      <c r="K211" s="24"/>
    </row>
    <row r="212" ht="12.75">
      <c r="K212" s="24"/>
    </row>
    <row r="213" ht="12.75">
      <c r="K213" s="24"/>
    </row>
    <row r="214" ht="12.75">
      <c r="K214" s="24"/>
    </row>
    <row r="215" ht="12.75">
      <c r="K215" s="24"/>
    </row>
    <row r="216" ht="12.75">
      <c r="K216" s="24"/>
    </row>
    <row r="217" ht="12.75">
      <c r="K217" s="24"/>
    </row>
    <row r="218" ht="12.75">
      <c r="K218" s="24"/>
    </row>
    <row r="219" ht="12.75">
      <c r="K219" s="24"/>
    </row>
    <row r="220" ht="12.75">
      <c r="K220" s="24"/>
    </row>
    <row r="221" ht="12.75">
      <c r="K221" s="24"/>
    </row>
    <row r="222" ht="12.75">
      <c r="K222" s="24"/>
    </row>
    <row r="223" ht="12.75">
      <c r="K223" s="24"/>
    </row>
    <row r="224" ht="12.75">
      <c r="K224" s="24"/>
    </row>
    <row r="225" ht="12.75">
      <c r="K225" s="24"/>
    </row>
    <row r="226" ht="12.75">
      <c r="K226" s="24"/>
    </row>
    <row r="227" ht="12.75">
      <c r="K227" s="24"/>
    </row>
    <row r="228" ht="12.75">
      <c r="K228" s="24"/>
    </row>
    <row r="229" ht="12.75">
      <c r="K229" s="24"/>
    </row>
    <row r="230" ht="12.75">
      <c r="K230" s="24"/>
    </row>
    <row r="231" ht="12.75">
      <c r="K231" s="24"/>
    </row>
    <row r="232" ht="12.75">
      <c r="K232" s="24"/>
    </row>
    <row r="233" ht="12.75">
      <c r="K233" s="24"/>
    </row>
    <row r="234" ht="12.75">
      <c r="K234" s="24"/>
    </row>
    <row r="235" ht="12.75">
      <c r="K235" s="24"/>
    </row>
    <row r="236" ht="12.75">
      <c r="K236" s="24"/>
    </row>
    <row r="237" ht="12.75">
      <c r="K237" s="24"/>
    </row>
    <row r="238" ht="12.75">
      <c r="K238" s="24"/>
    </row>
    <row r="239" ht="12.75">
      <c r="K239" s="24"/>
    </row>
    <row r="240" ht="12.75">
      <c r="K240" s="24"/>
    </row>
    <row r="241" ht="12.75">
      <c r="K241" s="24"/>
    </row>
    <row r="242" ht="12.75">
      <c r="K242" s="24"/>
    </row>
    <row r="243" ht="12.75">
      <c r="K243" s="24"/>
    </row>
    <row r="244" ht="12.75">
      <c r="K244" s="24"/>
    </row>
    <row r="245" ht="12.75">
      <c r="K245" s="24"/>
    </row>
    <row r="246" ht="12.75">
      <c r="K246" s="24"/>
    </row>
    <row r="247" ht="12.75">
      <c r="K247" s="24"/>
    </row>
    <row r="248" ht="12.75">
      <c r="K248" s="24"/>
    </row>
    <row r="249" ht="12.75">
      <c r="K249" s="24"/>
    </row>
    <row r="250" ht="12.75">
      <c r="K250" s="24"/>
    </row>
    <row r="251" ht="12.75">
      <c r="K251" s="24"/>
    </row>
    <row r="252" ht="12.75">
      <c r="K252" s="24"/>
    </row>
    <row r="253" ht="12.75">
      <c r="K253" s="24"/>
    </row>
    <row r="254" ht="12.75">
      <c r="K254" s="24"/>
    </row>
    <row r="255" ht="12.75">
      <c r="K255" s="24"/>
    </row>
    <row r="256" ht="12.75">
      <c r="K256" s="24"/>
    </row>
    <row r="257" ht="12.75">
      <c r="K257" s="24"/>
    </row>
    <row r="258" ht="12.75">
      <c r="K258" s="24"/>
    </row>
    <row r="259" ht="12.75">
      <c r="K259" s="24"/>
    </row>
    <row r="260" ht="12.75">
      <c r="K260" s="24"/>
    </row>
    <row r="261" ht="12.75">
      <c r="K261" s="24"/>
    </row>
    <row r="262" ht="12.75">
      <c r="K262" s="24"/>
    </row>
    <row r="263" ht="12.75">
      <c r="K263" s="24"/>
    </row>
    <row r="264" ht="12.75">
      <c r="K264" s="24"/>
    </row>
    <row r="265" ht="12.75">
      <c r="K265" s="24"/>
    </row>
    <row r="266" ht="12.75">
      <c r="K266" s="24"/>
    </row>
    <row r="267" ht="12.75">
      <c r="K267" s="24"/>
    </row>
    <row r="268" ht="12.75">
      <c r="K268" s="24"/>
    </row>
    <row r="269" ht="12.75">
      <c r="K269" s="24"/>
    </row>
    <row r="270" ht="12.75">
      <c r="K270" s="24"/>
    </row>
    <row r="271" ht="12.75">
      <c r="K271" s="24"/>
    </row>
    <row r="272" ht="12.75">
      <c r="K272" s="24"/>
    </row>
    <row r="273" ht="12.75">
      <c r="K273" s="24"/>
    </row>
    <row r="274" ht="12.75">
      <c r="K274" s="24"/>
    </row>
    <row r="275" ht="12.75">
      <c r="K275" s="24"/>
    </row>
    <row r="276" ht="12.75">
      <c r="K276" s="24"/>
    </row>
    <row r="277" ht="12.75">
      <c r="K277" s="24"/>
    </row>
    <row r="278" ht="12.75">
      <c r="K278" s="24"/>
    </row>
    <row r="279" ht="12.75">
      <c r="K279" s="24"/>
    </row>
    <row r="280" ht="12.75">
      <c r="K280" s="24"/>
    </row>
    <row r="281" ht="12.75">
      <c r="K281" s="24"/>
    </row>
    <row r="282" ht="12.75">
      <c r="K282" s="24"/>
    </row>
    <row r="283" ht="12.75">
      <c r="K283" s="24"/>
    </row>
    <row r="284" ht="12.75">
      <c r="K284" s="24"/>
    </row>
    <row r="285" ht="12.75">
      <c r="K285" s="24"/>
    </row>
    <row r="286" ht="12.75">
      <c r="K286" s="24"/>
    </row>
    <row r="287" ht="12.75">
      <c r="K287" s="24"/>
    </row>
    <row r="288" ht="12.75">
      <c r="K288" s="24"/>
    </row>
    <row r="289" ht="12.75">
      <c r="K289" s="24"/>
    </row>
    <row r="290" ht="12.75">
      <c r="K290" s="24"/>
    </row>
    <row r="291" ht="12.75">
      <c r="K291" s="24"/>
    </row>
    <row r="292" ht="12.75">
      <c r="K292" s="24"/>
    </row>
    <row r="293" ht="12.75">
      <c r="K293" s="24"/>
    </row>
    <row r="294" ht="12.75">
      <c r="K294" s="24"/>
    </row>
    <row r="295" ht="12.75">
      <c r="K295" s="24"/>
    </row>
    <row r="296" ht="12.75">
      <c r="K296" s="24"/>
    </row>
    <row r="297" ht="12.75">
      <c r="K297" s="24"/>
    </row>
    <row r="298" ht="12.75">
      <c r="K298" s="24"/>
    </row>
    <row r="299" ht="12.75">
      <c r="K299" s="24"/>
    </row>
    <row r="300" ht="12.75">
      <c r="K300" s="24"/>
    </row>
    <row r="301" ht="12.75">
      <c r="K301" s="24"/>
    </row>
    <row r="302" ht="12.75">
      <c r="K302" s="24"/>
    </row>
    <row r="303" ht="12.75">
      <c r="K303" s="24"/>
    </row>
    <row r="304" ht="12.75">
      <c r="K304" s="24"/>
    </row>
    <row r="305" ht="12.75">
      <c r="K305" s="24"/>
    </row>
    <row r="306" ht="12.75">
      <c r="K306" s="24"/>
    </row>
    <row r="307" ht="12.75">
      <c r="K307" s="24"/>
    </row>
    <row r="308" ht="12.75">
      <c r="K308" s="24"/>
    </row>
    <row r="309" ht="12.75">
      <c r="K309" s="24"/>
    </row>
    <row r="310" ht="12.75">
      <c r="K310" s="24"/>
    </row>
    <row r="311" ht="12.75">
      <c r="K311" s="24"/>
    </row>
    <row r="312" ht="12.75">
      <c r="K312" s="24"/>
    </row>
    <row r="313" ht="12.75">
      <c r="K313" s="24"/>
    </row>
    <row r="314" ht="12.75">
      <c r="K314" s="24"/>
    </row>
    <row r="315" ht="12.75">
      <c r="K315" s="24"/>
    </row>
    <row r="316" ht="12.75">
      <c r="K316" s="24"/>
    </row>
    <row r="317" ht="12.75">
      <c r="K317" s="24"/>
    </row>
    <row r="318" ht="12.75">
      <c r="K318" s="24"/>
    </row>
    <row r="319" ht="12.75">
      <c r="K319" s="24"/>
    </row>
    <row r="320" ht="12.75">
      <c r="K320" s="24"/>
    </row>
    <row r="321" ht="12.75">
      <c r="K321" s="24"/>
    </row>
    <row r="322" ht="12.75">
      <c r="K322" s="24"/>
    </row>
    <row r="323" ht="12.75">
      <c r="K323" s="24"/>
    </row>
    <row r="324" ht="12.75">
      <c r="K324" s="24"/>
    </row>
    <row r="325" ht="12.75">
      <c r="K325" s="24"/>
    </row>
    <row r="326" ht="12.75">
      <c r="K326" s="24"/>
    </row>
    <row r="327" ht="12.75">
      <c r="K327" s="24"/>
    </row>
    <row r="328" ht="12.75">
      <c r="K328" s="24"/>
    </row>
    <row r="329" ht="12.75">
      <c r="K329" s="24"/>
    </row>
    <row r="330" ht="12.75">
      <c r="K330" s="24"/>
    </row>
    <row r="331" ht="12.75">
      <c r="K331" s="24"/>
    </row>
    <row r="332" ht="12.75">
      <c r="K332" s="24"/>
    </row>
    <row r="333" ht="12.75">
      <c r="K333" s="24"/>
    </row>
    <row r="334" ht="12.75">
      <c r="K334" s="24"/>
    </row>
    <row r="335" ht="12.75">
      <c r="K335" s="24"/>
    </row>
    <row r="336" ht="12.75">
      <c r="K336" s="24"/>
    </row>
    <row r="337" ht="12.75">
      <c r="K337" s="24"/>
    </row>
    <row r="338" ht="12.75">
      <c r="K338" s="24"/>
    </row>
    <row r="339" ht="12.75">
      <c r="K339" s="24"/>
    </row>
    <row r="340" ht="12.75">
      <c r="K340" s="24"/>
    </row>
    <row r="341" ht="12.75">
      <c r="K341" s="24"/>
    </row>
    <row r="342" ht="12.75">
      <c r="K342" s="24"/>
    </row>
    <row r="343" ht="12.75">
      <c r="K343" s="24"/>
    </row>
    <row r="344" ht="12.75">
      <c r="K344" s="24"/>
    </row>
    <row r="345" ht="12.75">
      <c r="K345" s="24"/>
    </row>
    <row r="346" ht="12.75">
      <c r="K346" s="24"/>
    </row>
    <row r="347" ht="12.75">
      <c r="K347" s="24"/>
    </row>
    <row r="348" ht="12.75">
      <c r="K348" s="24"/>
    </row>
    <row r="349" ht="12.75">
      <c r="K349" s="24"/>
    </row>
    <row r="350" ht="12.75">
      <c r="K350" s="24"/>
    </row>
    <row r="351" ht="12.75">
      <c r="K351" s="24"/>
    </row>
    <row r="352" ht="12.75">
      <c r="K352" s="24"/>
    </row>
    <row r="353" ht="12.75">
      <c r="K353" s="24"/>
    </row>
    <row r="354" ht="12.75">
      <c r="K354" s="24"/>
    </row>
    <row r="355" ht="12.75">
      <c r="K355" s="24"/>
    </row>
    <row r="356" ht="12.75">
      <c r="K356" s="24"/>
    </row>
    <row r="357" ht="12.75">
      <c r="K357" s="24"/>
    </row>
    <row r="358" ht="12.75">
      <c r="K358" s="24"/>
    </row>
    <row r="359" ht="12.75">
      <c r="K359" s="24"/>
    </row>
    <row r="360" ht="12.75">
      <c r="K360" s="24"/>
    </row>
    <row r="361" ht="12.75">
      <c r="K361" s="24"/>
    </row>
    <row r="362" ht="12.75">
      <c r="K362" s="24"/>
    </row>
    <row r="363" ht="12.75">
      <c r="K363" s="24"/>
    </row>
    <row r="364" ht="12.75">
      <c r="K364" s="24"/>
    </row>
    <row r="365" ht="12.75">
      <c r="K365" s="24"/>
    </row>
    <row r="366" ht="12.75">
      <c r="K366" s="24"/>
    </row>
    <row r="367" ht="12.75">
      <c r="K367" s="24"/>
    </row>
    <row r="368" ht="12.75">
      <c r="K368" s="24"/>
    </row>
    <row r="369" ht="12.75">
      <c r="K369" s="24"/>
    </row>
    <row r="370" ht="12.75">
      <c r="K370" s="24"/>
    </row>
    <row r="371" ht="12.75">
      <c r="K371" s="24"/>
    </row>
    <row r="372" ht="12.75">
      <c r="K372" s="24"/>
    </row>
    <row r="373" ht="12.75">
      <c r="K373" s="24"/>
    </row>
    <row r="374" ht="12.75">
      <c r="K374" s="24"/>
    </row>
    <row r="375" ht="12.75">
      <c r="K375" s="24"/>
    </row>
    <row r="376" ht="12.75">
      <c r="K376" s="24"/>
    </row>
    <row r="377" ht="12.75">
      <c r="K377" s="24"/>
    </row>
    <row r="378" ht="12.75">
      <c r="K378" s="24"/>
    </row>
    <row r="379" ht="12.75">
      <c r="K379" s="24"/>
    </row>
    <row r="380" ht="12.75">
      <c r="K380" s="24"/>
    </row>
    <row r="381" ht="12.75">
      <c r="K381" s="24"/>
    </row>
    <row r="382" ht="12.75">
      <c r="K382" s="24"/>
    </row>
    <row r="383" ht="12.75">
      <c r="K383" s="24"/>
    </row>
    <row r="384" ht="12.75">
      <c r="K384" s="24"/>
    </row>
    <row r="385" ht="12.75">
      <c r="K385" s="24"/>
    </row>
    <row r="386" ht="12.75">
      <c r="K386" s="24"/>
    </row>
    <row r="387" ht="12.75">
      <c r="K387" s="24"/>
    </row>
    <row r="388" ht="12.75">
      <c r="K388" s="24"/>
    </row>
    <row r="389" ht="12.75">
      <c r="K389" s="24"/>
    </row>
    <row r="390" ht="12.75">
      <c r="K390" s="24"/>
    </row>
    <row r="391" ht="12.75">
      <c r="K391" s="24"/>
    </row>
    <row r="392" ht="12.75">
      <c r="K392" s="24"/>
    </row>
    <row r="393" ht="12.75">
      <c r="K393" s="24"/>
    </row>
    <row r="394" ht="12.75">
      <c r="K394" s="24"/>
    </row>
    <row r="395" ht="12.75">
      <c r="K395" s="24"/>
    </row>
    <row r="396" ht="12.75">
      <c r="K396" s="24"/>
    </row>
    <row r="397" ht="12.75">
      <c r="K397" s="24"/>
    </row>
    <row r="398" ht="12.75">
      <c r="K398" s="24"/>
    </row>
    <row r="399" ht="12.75">
      <c r="K399" s="24"/>
    </row>
    <row r="400" ht="12.75">
      <c r="K400" s="24"/>
    </row>
    <row r="401" ht="12.75">
      <c r="K401" s="24"/>
    </row>
    <row r="402" ht="12.75">
      <c r="K402" s="24"/>
    </row>
    <row r="403" ht="12.75">
      <c r="K403" s="24"/>
    </row>
    <row r="404" ht="12.75">
      <c r="K404" s="24"/>
    </row>
    <row r="405" ht="12.75">
      <c r="K405" s="24"/>
    </row>
    <row r="406" ht="12.75">
      <c r="K406" s="24"/>
    </row>
    <row r="407" ht="12.75">
      <c r="K407" s="24"/>
    </row>
    <row r="408" ht="12.75">
      <c r="K408" s="24"/>
    </row>
    <row r="409" ht="12.75">
      <c r="K409" s="24"/>
    </row>
    <row r="410" ht="12.75">
      <c r="K410" s="24"/>
    </row>
    <row r="411" ht="12.75">
      <c r="K411" s="24"/>
    </row>
    <row r="412" ht="12.75">
      <c r="K412" s="24"/>
    </row>
    <row r="413" ht="12.75">
      <c r="K413" s="24"/>
    </row>
    <row r="414" ht="12.75">
      <c r="K414" s="24"/>
    </row>
    <row r="415" ht="12.75">
      <c r="K415" s="24"/>
    </row>
    <row r="416" ht="12.75">
      <c r="K416" s="24"/>
    </row>
    <row r="417" ht="12.75">
      <c r="K417" s="24"/>
    </row>
    <row r="418" ht="12.75">
      <c r="K418" s="24"/>
    </row>
    <row r="419" ht="12.75">
      <c r="K419" s="24"/>
    </row>
    <row r="420" ht="12.75">
      <c r="K420" s="24"/>
    </row>
    <row r="421" ht="12.75">
      <c r="K421" s="24"/>
    </row>
    <row r="422" ht="12.75">
      <c r="K422" s="24"/>
    </row>
    <row r="423" ht="12.75">
      <c r="K423" s="24"/>
    </row>
    <row r="424" ht="12.75">
      <c r="K424" s="24"/>
    </row>
    <row r="425" ht="12.75">
      <c r="K425" s="24"/>
    </row>
    <row r="426" ht="12.75">
      <c r="K426" s="24"/>
    </row>
    <row r="427" ht="12.75">
      <c r="K427" s="24"/>
    </row>
    <row r="428" ht="12.75">
      <c r="K428" s="24"/>
    </row>
    <row r="429" ht="12.75">
      <c r="K429" s="24"/>
    </row>
    <row r="430" ht="12.75">
      <c r="K430" s="24"/>
    </row>
    <row r="431" ht="12.75">
      <c r="K431" s="24"/>
    </row>
    <row r="432" ht="12.75">
      <c r="K432" s="24"/>
    </row>
    <row r="433" ht="12.75">
      <c r="K433" s="24"/>
    </row>
    <row r="434" ht="12.75">
      <c r="K434" s="24"/>
    </row>
    <row r="435" ht="12.75">
      <c r="K435" s="24"/>
    </row>
    <row r="436" ht="12.75">
      <c r="K436" s="24"/>
    </row>
    <row r="437" ht="12.75">
      <c r="K437" s="24"/>
    </row>
    <row r="438" ht="12.75">
      <c r="K438" s="24"/>
    </row>
    <row r="439" ht="12.75">
      <c r="K439" s="24"/>
    </row>
    <row r="440" ht="12.75">
      <c r="K440" s="24"/>
    </row>
    <row r="441" ht="12.75">
      <c r="K441" s="24"/>
    </row>
    <row r="442" ht="12.75">
      <c r="K442" s="24"/>
    </row>
    <row r="443" ht="12.75">
      <c r="K443" s="24"/>
    </row>
    <row r="444" ht="12.75">
      <c r="K444" s="24"/>
    </row>
    <row r="445" ht="12.75">
      <c r="K445" s="24"/>
    </row>
    <row r="446" ht="12.75">
      <c r="K446" s="24"/>
    </row>
    <row r="447" ht="12.75">
      <c r="K447" s="24"/>
    </row>
    <row r="448" ht="12.75">
      <c r="K448" s="24"/>
    </row>
    <row r="449" ht="12.75">
      <c r="K449" s="24"/>
    </row>
    <row r="450" ht="12.75">
      <c r="K450" s="24"/>
    </row>
    <row r="451" ht="12.75">
      <c r="K451" s="24"/>
    </row>
    <row r="452" ht="12.75">
      <c r="K452" s="24"/>
    </row>
    <row r="453" ht="12.75">
      <c r="K453" s="24"/>
    </row>
    <row r="454" ht="12.75">
      <c r="K454" s="24"/>
    </row>
    <row r="455" ht="12.75">
      <c r="K455" s="24"/>
    </row>
    <row r="456" ht="12.75">
      <c r="K456" s="24"/>
    </row>
    <row r="457" ht="12.75">
      <c r="K457" s="24"/>
    </row>
    <row r="458" ht="12.75">
      <c r="K458" s="24"/>
    </row>
    <row r="459" ht="12.75">
      <c r="K459" s="24"/>
    </row>
    <row r="460" ht="12.75">
      <c r="K460" s="24"/>
    </row>
    <row r="461" ht="12.75">
      <c r="K461" s="24"/>
    </row>
    <row r="462" ht="12.75">
      <c r="K462" s="24"/>
    </row>
    <row r="463" ht="12.75">
      <c r="K463" s="24"/>
    </row>
    <row r="464" ht="12.75">
      <c r="K464" s="24"/>
    </row>
    <row r="465" ht="12.75">
      <c r="K465" s="24"/>
    </row>
    <row r="466" ht="12.75">
      <c r="K466" s="24"/>
    </row>
    <row r="467" ht="12.75">
      <c r="K467" s="24"/>
    </row>
    <row r="468" ht="12.75">
      <c r="K468" s="24"/>
    </row>
    <row r="469" ht="12.75">
      <c r="K469" s="24"/>
    </row>
    <row r="470" ht="12.75">
      <c r="K470" s="24"/>
    </row>
    <row r="471" ht="12.75">
      <c r="K471" s="24"/>
    </row>
    <row r="472" ht="12.75">
      <c r="K472" s="24"/>
    </row>
    <row r="473" ht="12.75">
      <c r="K473" s="24"/>
    </row>
    <row r="474" ht="12.75">
      <c r="K474" s="24"/>
    </row>
    <row r="475" ht="12.75">
      <c r="K475" s="24"/>
    </row>
    <row r="476" ht="12.75">
      <c r="K476" s="24"/>
    </row>
    <row r="477" ht="12.75">
      <c r="K477" s="24"/>
    </row>
    <row r="478" ht="12.75">
      <c r="K478" s="24"/>
    </row>
    <row r="479" ht="12.75">
      <c r="K479" s="24"/>
    </row>
    <row r="480" ht="12.75">
      <c r="K480" s="24"/>
    </row>
    <row r="481" ht="12.75">
      <c r="K481" s="24"/>
    </row>
    <row r="482" ht="12.75">
      <c r="K482" s="24"/>
    </row>
    <row r="483" ht="12.75">
      <c r="K483" s="24"/>
    </row>
    <row r="484" ht="12.75">
      <c r="K484" s="24"/>
    </row>
    <row r="485" ht="12.75">
      <c r="K485" s="24"/>
    </row>
    <row r="486" ht="12.75">
      <c r="K486" s="24"/>
    </row>
    <row r="487" ht="12.75">
      <c r="K487" s="24"/>
    </row>
    <row r="488" ht="12.75">
      <c r="K488" s="24"/>
    </row>
    <row r="489" ht="12.75">
      <c r="K489" s="24"/>
    </row>
    <row r="490" ht="12.75">
      <c r="K490" s="24"/>
    </row>
    <row r="491" ht="12.75">
      <c r="K491" s="24"/>
    </row>
    <row r="492" ht="12.75">
      <c r="K492" s="24"/>
    </row>
    <row r="493" ht="12.75">
      <c r="K493" s="24"/>
    </row>
    <row r="494" ht="12.75">
      <c r="K494" s="24"/>
    </row>
    <row r="495" ht="12.75">
      <c r="K495" s="24"/>
    </row>
    <row r="496" ht="12.75">
      <c r="K496" s="24"/>
    </row>
    <row r="497" ht="12.75">
      <c r="K497" s="24"/>
    </row>
    <row r="498" ht="12.75">
      <c r="K498" s="24"/>
    </row>
    <row r="499" ht="12.75">
      <c r="K499" s="24"/>
    </row>
    <row r="500" ht="12.75">
      <c r="K500" s="24"/>
    </row>
    <row r="501" ht="12.75">
      <c r="K501" s="24"/>
    </row>
    <row r="502" ht="12.75">
      <c r="K502" s="24"/>
    </row>
    <row r="503" ht="12.75">
      <c r="K503" s="24"/>
    </row>
    <row r="504" ht="12.75">
      <c r="K504" s="24"/>
    </row>
    <row r="505" ht="12.75">
      <c r="K505" s="24"/>
    </row>
    <row r="506" ht="12.75">
      <c r="K506" s="24"/>
    </row>
    <row r="507" ht="12.75">
      <c r="K507" s="24"/>
    </row>
    <row r="508" ht="12.75">
      <c r="K508" s="24"/>
    </row>
    <row r="509" ht="12.75">
      <c r="K509" s="24"/>
    </row>
    <row r="510" ht="12.75">
      <c r="K510" s="24"/>
    </row>
    <row r="511" ht="12.75">
      <c r="K511" s="24"/>
    </row>
    <row r="512" ht="12.75">
      <c r="K512" s="24"/>
    </row>
    <row r="513" ht="12.75">
      <c r="K513" s="24"/>
    </row>
    <row r="514" ht="12.75">
      <c r="K514" s="24"/>
    </row>
    <row r="515" ht="12.75">
      <c r="K515" s="24"/>
    </row>
    <row r="516" ht="12.75">
      <c r="K516" s="24"/>
    </row>
    <row r="517" ht="12.75">
      <c r="K517" s="24"/>
    </row>
    <row r="518" ht="12.75">
      <c r="K518" s="24"/>
    </row>
    <row r="519" ht="12.75">
      <c r="K519" s="24"/>
    </row>
    <row r="520" ht="12.75">
      <c r="K520" s="24"/>
    </row>
    <row r="521" ht="12.75">
      <c r="K521" s="24"/>
    </row>
    <row r="522" ht="12.75">
      <c r="K522" s="24"/>
    </row>
    <row r="523" ht="12.75">
      <c r="K523" s="24"/>
    </row>
    <row r="524" ht="12.75">
      <c r="K524" s="24"/>
    </row>
    <row r="525" ht="12.75">
      <c r="K525" s="24"/>
    </row>
    <row r="526" ht="12.75">
      <c r="K526" s="24"/>
    </row>
    <row r="527" ht="12.75">
      <c r="K527" s="24"/>
    </row>
    <row r="528" ht="12.75">
      <c r="K528" s="24"/>
    </row>
    <row r="529" ht="12.75">
      <c r="K529" s="24"/>
    </row>
    <row r="530" ht="12.75">
      <c r="K530" s="24"/>
    </row>
    <row r="531" ht="12.75">
      <c r="K531" s="24"/>
    </row>
    <row r="532" ht="12.75">
      <c r="K532" s="24"/>
    </row>
    <row r="533" ht="12.75">
      <c r="K533" s="24"/>
    </row>
    <row r="534" ht="12.75">
      <c r="K534" s="24"/>
    </row>
    <row r="535" ht="12.75">
      <c r="K535" s="24"/>
    </row>
    <row r="536" ht="12.75">
      <c r="K536" s="24"/>
    </row>
    <row r="537" ht="12.75">
      <c r="K537" s="24"/>
    </row>
    <row r="538" ht="12.75">
      <c r="K538" s="24"/>
    </row>
    <row r="539" ht="12.75">
      <c r="K539" s="24"/>
    </row>
    <row r="540" ht="12.75">
      <c r="K540" s="24"/>
    </row>
  </sheetData>
  <sheetProtection/>
  <printOptions/>
  <pageMargins left="0.75" right="0.75" top="1.25" bottom="1" header="0.5" footer="0.5"/>
  <pageSetup horizontalDpi="600" verticalDpi="600" orientation="portrait" scale="80" r:id="rId1"/>
  <headerFooter alignWithMargins="0">
    <oddHeader>&amp;C&amp;"Arial,Bold"&amp;12Delta Natural Gas Company
Account Investment Summary
Account 385 -- Industrial Meter Sets</oddHeader>
  </headerFooter>
  <rowBreaks count="1" manualBreakCount="1">
    <brk id="97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>
    <tabColor rgb="FF00B050"/>
  </sheetPr>
  <dimension ref="A1:AA124"/>
  <sheetViews>
    <sheetView zoomScalePageLayoutView="0" workbookViewId="0" topLeftCell="H86">
      <selection activeCell="AC98" sqref="AC98"/>
    </sheetView>
  </sheetViews>
  <sheetFormatPr defaultColWidth="9.140625" defaultRowHeight="12.75"/>
  <cols>
    <col min="2" max="2" width="10.8515625" style="0" bestFit="1" customWidth="1"/>
    <col min="3" max="3" width="14.421875" style="0" customWidth="1"/>
    <col min="4" max="6" width="13.421875" style="0" customWidth="1"/>
    <col min="7" max="7" width="22.7109375" style="0" customWidth="1"/>
    <col min="9" max="9" width="12.8515625" style="0" bestFit="1" customWidth="1"/>
    <col min="13" max="13" width="13.8515625" style="0" customWidth="1"/>
    <col min="14" max="14" width="12.140625" style="0" customWidth="1"/>
    <col min="19" max="19" width="11.28125" style="0" customWidth="1"/>
    <col min="20" max="20" width="12.00390625" style="0" customWidth="1"/>
    <col min="22" max="27" width="17.28125" style="0" customWidth="1"/>
  </cols>
  <sheetData>
    <row r="1" ht="12.75">
      <c r="R1" s="22"/>
    </row>
    <row r="2" spans="3:27" ht="12.75">
      <c r="C2" s="3" t="s">
        <v>0</v>
      </c>
      <c r="D2" s="3"/>
      <c r="E2" s="3"/>
      <c r="F2" s="3"/>
      <c r="G2" s="3" t="s">
        <v>0</v>
      </c>
      <c r="I2" s="3" t="s">
        <v>2</v>
      </c>
      <c r="V2" s="3" t="s">
        <v>30</v>
      </c>
      <c r="W2" s="16" t="s">
        <v>32</v>
      </c>
      <c r="X2" s="16" t="s">
        <v>32</v>
      </c>
      <c r="Y2" s="16" t="s">
        <v>33</v>
      </c>
      <c r="Z2" s="16" t="s">
        <v>33</v>
      </c>
      <c r="AA2" s="3" t="s">
        <v>34</v>
      </c>
    </row>
    <row r="3" spans="1:27" ht="13.5" thickBot="1">
      <c r="A3" s="14" t="s">
        <v>5</v>
      </c>
      <c r="B3" s="12"/>
      <c r="C3" s="13" t="s">
        <v>1</v>
      </c>
      <c r="D3" s="13" t="s">
        <v>2</v>
      </c>
      <c r="E3" s="13" t="s">
        <v>3</v>
      </c>
      <c r="F3" s="13" t="s">
        <v>4</v>
      </c>
      <c r="G3" s="13" t="s">
        <v>1</v>
      </c>
      <c r="H3" s="12"/>
      <c r="I3" s="13" t="s">
        <v>21</v>
      </c>
      <c r="J3" s="13" t="s">
        <v>22</v>
      </c>
      <c r="R3" s="14" t="s">
        <v>6</v>
      </c>
      <c r="S3" s="17" t="s">
        <v>3</v>
      </c>
      <c r="T3" s="13" t="s">
        <v>27</v>
      </c>
      <c r="U3" s="17" t="s">
        <v>11</v>
      </c>
      <c r="V3" s="17" t="s">
        <v>31</v>
      </c>
      <c r="W3" s="17" t="s">
        <v>28</v>
      </c>
      <c r="X3" s="17" t="s">
        <v>29</v>
      </c>
      <c r="Y3" s="17" t="s">
        <v>28</v>
      </c>
      <c r="Z3" s="17" t="s">
        <v>29</v>
      </c>
      <c r="AA3" s="17" t="s">
        <v>25</v>
      </c>
    </row>
    <row r="4" spans="3:7" ht="12.75">
      <c r="C4" s="1"/>
      <c r="D4" s="1"/>
      <c r="E4" s="1"/>
      <c r="F4" s="1"/>
      <c r="G4" s="1"/>
    </row>
    <row r="5" spans="3:7" ht="12.75">
      <c r="C5" s="1"/>
      <c r="D5" s="1"/>
      <c r="E5" s="1"/>
      <c r="F5" s="1"/>
      <c r="G5" s="1"/>
    </row>
    <row r="6" spans="1:27" ht="12.75">
      <c r="A6">
        <v>1940</v>
      </c>
      <c r="C6" s="36">
        <v>0</v>
      </c>
      <c r="D6" s="36">
        <v>0</v>
      </c>
      <c r="E6" s="36">
        <v>0</v>
      </c>
      <c r="F6" s="36">
        <v>0</v>
      </c>
      <c r="G6" s="36">
        <f aca="true" t="shared" si="0" ref="G6:G51">C6+D6+E6-F6</f>
        <v>0</v>
      </c>
      <c r="H6" s="27">
        <v>80.5</v>
      </c>
      <c r="I6" s="25">
        <v>0</v>
      </c>
      <c r="J6" s="25">
        <f aca="true" t="shared" si="1" ref="J6:J51">IF(I6=0,0,ROUND((I6/D6/$G$94)+H6,1))</f>
        <v>0</v>
      </c>
      <c r="R6" s="21">
        <f>A6</f>
        <v>1940</v>
      </c>
      <c r="S6" s="4">
        <f aca="true" t="shared" si="2" ref="S6:S37">E6</f>
        <v>0</v>
      </c>
      <c r="T6">
        <f aca="true" t="shared" si="3" ref="T6:T37">IF(D6&gt;0,IF(J6&gt;0,D6,0),0)</f>
        <v>0</v>
      </c>
      <c r="U6">
        <f aca="true" t="shared" si="4" ref="U6:U37">$V$94</f>
        <v>48</v>
      </c>
      <c r="V6" s="1" t="str">
        <f aca="true" t="shared" si="5" ref="V6:V37">$V$93</f>
        <v>L3</v>
      </c>
      <c r="W6" s="2">
        <f aca="true" t="shared" si="6" ref="W6:W37">S6/U6</f>
        <v>0</v>
      </c>
      <c r="X6" s="2">
        <f>T6/U6</f>
        <v>0</v>
      </c>
      <c r="Y6" s="18">
        <f aca="true" t="shared" si="7" ref="Y6:Y37">Prob_life(V6,H6,U6)</f>
        <v>6.954136974587936</v>
      </c>
      <c r="Z6" s="18">
        <f aca="true" t="shared" si="8" ref="Z6:Z37">IF(J6&gt;0,Prob_life(V6,J6+0.5,U6),0)</f>
        <v>0</v>
      </c>
      <c r="AA6" s="2">
        <f>W6*Y6+X6*Z6</f>
        <v>0</v>
      </c>
    </row>
    <row r="7" spans="1:27" ht="12.75">
      <c r="A7">
        <v>1941</v>
      </c>
      <c r="C7" s="36">
        <f aca="true" t="shared" si="9" ref="C7:C51">G6</f>
        <v>0</v>
      </c>
      <c r="D7" s="36">
        <v>0</v>
      </c>
      <c r="E7" s="36">
        <v>0</v>
      </c>
      <c r="F7" s="36">
        <v>0</v>
      </c>
      <c r="G7" s="36">
        <f t="shared" si="0"/>
        <v>0</v>
      </c>
      <c r="H7" s="27">
        <v>79.5</v>
      </c>
      <c r="I7" s="25">
        <v>0</v>
      </c>
      <c r="J7" s="25">
        <f t="shared" si="1"/>
        <v>0</v>
      </c>
      <c r="R7" s="21">
        <f aca="true" t="shared" si="10" ref="R7:R68">A7</f>
        <v>1941</v>
      </c>
      <c r="S7" s="4">
        <f t="shared" si="2"/>
        <v>0</v>
      </c>
      <c r="T7">
        <f t="shared" si="3"/>
        <v>0</v>
      </c>
      <c r="U7">
        <f t="shared" si="4"/>
        <v>48</v>
      </c>
      <c r="V7" s="1" t="str">
        <f t="shared" si="5"/>
        <v>L3</v>
      </c>
      <c r="W7" s="2">
        <f t="shared" si="6"/>
        <v>0</v>
      </c>
      <c r="X7" s="2">
        <f aca="true" t="shared" si="11" ref="X7:X68">T7/U7</f>
        <v>0</v>
      </c>
      <c r="Y7" s="18">
        <f t="shared" si="7"/>
        <v>7.186878549378658</v>
      </c>
      <c r="Z7" s="18">
        <f t="shared" si="8"/>
        <v>0</v>
      </c>
      <c r="AA7" s="2">
        <f aca="true" t="shared" si="12" ref="AA7:AA70">W7*Y7+X7*Z7</f>
        <v>0</v>
      </c>
    </row>
    <row r="8" spans="1:27" ht="12.75">
      <c r="A8">
        <v>1942</v>
      </c>
      <c r="C8" s="36">
        <f t="shared" si="9"/>
        <v>0</v>
      </c>
      <c r="D8" s="36">
        <v>0</v>
      </c>
      <c r="E8" s="36">
        <v>0</v>
      </c>
      <c r="F8" s="36">
        <v>0</v>
      </c>
      <c r="G8" s="36">
        <f t="shared" si="0"/>
        <v>0</v>
      </c>
      <c r="H8" s="27">
        <v>78.5</v>
      </c>
      <c r="I8" s="25">
        <v>0</v>
      </c>
      <c r="J8" s="25">
        <f t="shared" si="1"/>
        <v>0</v>
      </c>
      <c r="R8" s="21">
        <f t="shared" si="10"/>
        <v>1942</v>
      </c>
      <c r="S8" s="4">
        <f t="shared" si="2"/>
        <v>0</v>
      </c>
      <c r="T8">
        <f t="shared" si="3"/>
        <v>0</v>
      </c>
      <c r="U8">
        <f t="shared" si="4"/>
        <v>48</v>
      </c>
      <c r="V8" s="1" t="str">
        <f t="shared" si="5"/>
        <v>L3</v>
      </c>
      <c r="W8" s="2">
        <f t="shared" si="6"/>
        <v>0</v>
      </c>
      <c r="X8" s="2">
        <f t="shared" si="11"/>
        <v>0</v>
      </c>
      <c r="Y8" s="18">
        <f t="shared" si="7"/>
        <v>7.422250876351528</v>
      </c>
      <c r="Z8" s="18">
        <f t="shared" si="8"/>
        <v>0</v>
      </c>
      <c r="AA8" s="2">
        <f t="shared" si="12"/>
        <v>0</v>
      </c>
    </row>
    <row r="9" spans="1:27" ht="12.75">
      <c r="A9">
        <v>1943</v>
      </c>
      <c r="C9" s="36">
        <f t="shared" si="9"/>
        <v>0</v>
      </c>
      <c r="D9" s="36">
        <v>0</v>
      </c>
      <c r="E9" s="36">
        <v>0</v>
      </c>
      <c r="F9" s="36">
        <v>0</v>
      </c>
      <c r="G9" s="36">
        <f t="shared" si="0"/>
        <v>0</v>
      </c>
      <c r="H9" s="27">
        <v>77.5</v>
      </c>
      <c r="I9" s="25">
        <v>0</v>
      </c>
      <c r="J9" s="25">
        <f t="shared" si="1"/>
        <v>0</v>
      </c>
      <c r="R9" s="21">
        <f t="shared" si="10"/>
        <v>1943</v>
      </c>
      <c r="S9" s="4">
        <f t="shared" si="2"/>
        <v>0</v>
      </c>
      <c r="T9">
        <f t="shared" si="3"/>
        <v>0</v>
      </c>
      <c r="U9">
        <f t="shared" si="4"/>
        <v>48</v>
      </c>
      <c r="V9" s="1" t="str">
        <f t="shared" si="5"/>
        <v>L3</v>
      </c>
      <c r="W9" s="2">
        <f t="shared" si="6"/>
        <v>0</v>
      </c>
      <c r="X9" s="2">
        <f t="shared" si="11"/>
        <v>0</v>
      </c>
      <c r="Y9" s="18">
        <f t="shared" si="7"/>
        <v>7.66028873990234</v>
      </c>
      <c r="Z9" s="18">
        <f t="shared" si="8"/>
        <v>0</v>
      </c>
      <c r="AA9" s="2">
        <f t="shared" si="12"/>
        <v>0</v>
      </c>
    </row>
    <row r="10" spans="1:27" ht="12.75">
      <c r="A10">
        <v>1944</v>
      </c>
      <c r="C10" s="36">
        <f t="shared" si="9"/>
        <v>0</v>
      </c>
      <c r="D10" s="36">
        <v>0</v>
      </c>
      <c r="E10" s="36">
        <v>0</v>
      </c>
      <c r="F10" s="36">
        <v>0</v>
      </c>
      <c r="G10" s="36">
        <f t="shared" si="0"/>
        <v>0</v>
      </c>
      <c r="H10" s="27">
        <v>76.5</v>
      </c>
      <c r="I10" s="25">
        <v>0</v>
      </c>
      <c r="J10" s="25">
        <f t="shared" si="1"/>
        <v>0</v>
      </c>
      <c r="R10" s="21">
        <f t="shared" si="10"/>
        <v>1944</v>
      </c>
      <c r="S10" s="4">
        <f t="shared" si="2"/>
        <v>0</v>
      </c>
      <c r="T10">
        <f t="shared" si="3"/>
        <v>0</v>
      </c>
      <c r="U10">
        <f t="shared" si="4"/>
        <v>48</v>
      </c>
      <c r="V10" s="1" t="str">
        <f t="shared" si="5"/>
        <v>L3</v>
      </c>
      <c r="W10" s="2">
        <f t="shared" si="6"/>
        <v>0</v>
      </c>
      <c r="X10" s="2">
        <f t="shared" si="11"/>
        <v>0</v>
      </c>
      <c r="Y10" s="18">
        <f t="shared" si="7"/>
        <v>7.901011645202549</v>
      </c>
      <c r="Z10" s="18">
        <f t="shared" si="8"/>
        <v>0</v>
      </c>
      <c r="AA10" s="2">
        <f t="shared" si="12"/>
        <v>0</v>
      </c>
    </row>
    <row r="11" spans="1:27" ht="12.75">
      <c r="A11">
        <v>1945</v>
      </c>
      <c r="C11" s="36">
        <f t="shared" si="9"/>
        <v>0</v>
      </c>
      <c r="D11" s="36">
        <v>0</v>
      </c>
      <c r="E11" s="36">
        <v>0</v>
      </c>
      <c r="F11" s="36">
        <v>0</v>
      </c>
      <c r="G11" s="36">
        <f t="shared" si="0"/>
        <v>0</v>
      </c>
      <c r="H11" s="27">
        <v>75.5</v>
      </c>
      <c r="I11" s="25">
        <v>0</v>
      </c>
      <c r="J11" s="25">
        <f t="shared" si="1"/>
        <v>0</v>
      </c>
      <c r="R11" s="21">
        <f t="shared" si="10"/>
        <v>1945</v>
      </c>
      <c r="S11" s="4">
        <f t="shared" si="2"/>
        <v>0</v>
      </c>
      <c r="T11">
        <f t="shared" si="3"/>
        <v>0</v>
      </c>
      <c r="U11">
        <f t="shared" si="4"/>
        <v>48</v>
      </c>
      <c r="V11" s="1" t="str">
        <f t="shared" si="5"/>
        <v>L3</v>
      </c>
      <c r="W11" s="2">
        <f t="shared" si="6"/>
        <v>0</v>
      </c>
      <c r="X11" s="2">
        <f t="shared" si="11"/>
        <v>0</v>
      </c>
      <c r="Y11" s="18">
        <f t="shared" si="7"/>
        <v>8.144418621682483</v>
      </c>
      <c r="Z11" s="18">
        <f t="shared" si="8"/>
        <v>0</v>
      </c>
      <c r="AA11" s="2">
        <f t="shared" si="12"/>
        <v>0</v>
      </c>
    </row>
    <row r="12" spans="1:27" ht="12.75">
      <c r="A12">
        <v>1946</v>
      </c>
      <c r="C12" s="36">
        <f t="shared" si="9"/>
        <v>0</v>
      </c>
      <c r="D12" s="36">
        <v>0</v>
      </c>
      <c r="E12" s="36">
        <v>0</v>
      </c>
      <c r="F12" s="36">
        <v>0</v>
      </c>
      <c r="G12" s="36">
        <f t="shared" si="0"/>
        <v>0</v>
      </c>
      <c r="H12" s="27">
        <v>74.5</v>
      </c>
      <c r="I12" s="25">
        <v>0</v>
      </c>
      <c r="J12" s="25">
        <f t="shared" si="1"/>
        <v>0</v>
      </c>
      <c r="R12" s="21">
        <f t="shared" si="10"/>
        <v>1946</v>
      </c>
      <c r="S12" s="4">
        <f t="shared" si="2"/>
        <v>0</v>
      </c>
      <c r="T12">
        <f t="shared" si="3"/>
        <v>0</v>
      </c>
      <c r="U12">
        <f t="shared" si="4"/>
        <v>48</v>
      </c>
      <c r="V12" s="1" t="str">
        <f t="shared" si="5"/>
        <v>L3</v>
      </c>
      <c r="W12" s="2">
        <f t="shared" si="6"/>
        <v>0</v>
      </c>
      <c r="X12" s="2">
        <f t="shared" si="11"/>
        <v>0</v>
      </c>
      <c r="Y12" s="18">
        <f t="shared" si="7"/>
        <v>8.390482010875775</v>
      </c>
      <c r="Z12" s="18">
        <f t="shared" si="8"/>
        <v>0</v>
      </c>
      <c r="AA12" s="2">
        <f t="shared" si="12"/>
        <v>0</v>
      </c>
    </row>
    <row r="13" spans="1:27" ht="12.75">
      <c r="A13">
        <v>1947</v>
      </c>
      <c r="C13" s="36">
        <f t="shared" si="9"/>
        <v>0</v>
      </c>
      <c r="D13" s="36">
        <v>0</v>
      </c>
      <c r="E13" s="36">
        <v>0</v>
      </c>
      <c r="F13" s="36">
        <v>0</v>
      </c>
      <c r="G13" s="36">
        <f t="shared" si="0"/>
        <v>0</v>
      </c>
      <c r="H13" s="27">
        <v>73.5</v>
      </c>
      <c r="I13" s="25">
        <v>0</v>
      </c>
      <c r="J13" s="25">
        <f t="shared" si="1"/>
        <v>0</v>
      </c>
      <c r="R13" s="21">
        <f t="shared" si="10"/>
        <v>1947</v>
      </c>
      <c r="S13" s="4">
        <f t="shared" si="2"/>
        <v>0</v>
      </c>
      <c r="T13">
        <f t="shared" si="3"/>
        <v>0</v>
      </c>
      <c r="U13">
        <f t="shared" si="4"/>
        <v>48</v>
      </c>
      <c r="V13" s="1" t="str">
        <f t="shared" si="5"/>
        <v>L3</v>
      </c>
      <c r="W13" s="2">
        <f t="shared" si="6"/>
        <v>0</v>
      </c>
      <c r="X13" s="2">
        <f t="shared" si="11"/>
        <v>0</v>
      </c>
      <c r="Y13" s="18">
        <f t="shared" si="7"/>
        <v>8.639140192137361</v>
      </c>
      <c r="Z13" s="18">
        <f t="shared" si="8"/>
        <v>0</v>
      </c>
      <c r="AA13" s="2">
        <f t="shared" si="12"/>
        <v>0</v>
      </c>
    </row>
    <row r="14" spans="1:27" ht="12.75">
      <c r="A14">
        <v>1948</v>
      </c>
      <c r="C14" s="36">
        <f t="shared" si="9"/>
        <v>0</v>
      </c>
      <c r="D14" s="36">
        <v>0</v>
      </c>
      <c r="E14" s="36">
        <v>0</v>
      </c>
      <c r="F14" s="36">
        <v>0</v>
      </c>
      <c r="G14" s="36">
        <f t="shared" si="0"/>
        <v>0</v>
      </c>
      <c r="H14" s="27">
        <v>72.5</v>
      </c>
      <c r="I14" s="25">
        <v>0</v>
      </c>
      <c r="J14" s="25">
        <f t="shared" si="1"/>
        <v>0</v>
      </c>
      <c r="R14" s="21">
        <f t="shared" si="10"/>
        <v>1948</v>
      </c>
      <c r="S14" s="4">
        <f t="shared" si="2"/>
        <v>0</v>
      </c>
      <c r="T14">
        <f t="shared" si="3"/>
        <v>0</v>
      </c>
      <c r="U14">
        <f t="shared" si="4"/>
        <v>48</v>
      </c>
      <c r="V14" s="1" t="str">
        <f t="shared" si="5"/>
        <v>L3</v>
      </c>
      <c r="W14" s="2">
        <f t="shared" si="6"/>
        <v>0</v>
      </c>
      <c r="X14" s="2">
        <f t="shared" si="11"/>
        <v>0</v>
      </c>
      <c r="Y14" s="18">
        <f t="shared" si="7"/>
        <v>8.890289258144172</v>
      </c>
      <c r="Z14" s="18">
        <f t="shared" si="8"/>
        <v>0</v>
      </c>
      <c r="AA14" s="2">
        <f t="shared" si="12"/>
        <v>0</v>
      </c>
    </row>
    <row r="15" spans="1:27" ht="12.75">
      <c r="A15">
        <v>1949</v>
      </c>
      <c r="C15" s="36">
        <f t="shared" si="9"/>
        <v>0</v>
      </c>
      <c r="D15" s="36">
        <v>0</v>
      </c>
      <c r="E15" s="36">
        <v>0</v>
      </c>
      <c r="F15" s="36">
        <v>0</v>
      </c>
      <c r="G15" s="36">
        <f t="shared" si="0"/>
        <v>0</v>
      </c>
      <c r="H15" s="27">
        <v>71.5</v>
      </c>
      <c r="I15" s="25">
        <v>0</v>
      </c>
      <c r="J15" s="25">
        <f t="shared" si="1"/>
        <v>0</v>
      </c>
      <c r="R15" s="21">
        <f t="shared" si="10"/>
        <v>1949</v>
      </c>
      <c r="S15" s="4">
        <f t="shared" si="2"/>
        <v>0</v>
      </c>
      <c r="T15">
        <f t="shared" si="3"/>
        <v>0</v>
      </c>
      <c r="U15">
        <f t="shared" si="4"/>
        <v>48</v>
      </c>
      <c r="V15" s="1" t="str">
        <f t="shared" si="5"/>
        <v>L3</v>
      </c>
      <c r="W15" s="2">
        <f t="shared" si="6"/>
        <v>0</v>
      </c>
      <c r="X15" s="2">
        <f t="shared" si="11"/>
        <v>0</v>
      </c>
      <c r="Y15" s="18">
        <f t="shared" si="7"/>
        <v>9.143773735599442</v>
      </c>
      <c r="Z15" s="18">
        <f t="shared" si="8"/>
        <v>0</v>
      </c>
      <c r="AA15" s="2">
        <f t="shared" si="12"/>
        <v>0</v>
      </c>
    </row>
    <row r="16" spans="1:27" ht="12.75">
      <c r="A16">
        <v>1950</v>
      </c>
      <c r="C16" s="36">
        <f t="shared" si="9"/>
        <v>0</v>
      </c>
      <c r="D16" s="36">
        <v>0</v>
      </c>
      <c r="E16" s="36">
        <v>0</v>
      </c>
      <c r="F16" s="36">
        <v>0</v>
      </c>
      <c r="G16" s="36">
        <f t="shared" si="0"/>
        <v>0</v>
      </c>
      <c r="H16" s="27">
        <v>70.5</v>
      </c>
      <c r="I16" s="25">
        <v>0</v>
      </c>
      <c r="J16" s="25">
        <f t="shared" si="1"/>
        <v>0</v>
      </c>
      <c r="R16" s="21">
        <f t="shared" si="10"/>
        <v>1950</v>
      </c>
      <c r="S16" s="4">
        <f t="shared" si="2"/>
        <v>0</v>
      </c>
      <c r="T16">
        <f t="shared" si="3"/>
        <v>0</v>
      </c>
      <c r="U16">
        <f t="shared" si="4"/>
        <v>48</v>
      </c>
      <c r="V16" s="1" t="str">
        <f t="shared" si="5"/>
        <v>L3</v>
      </c>
      <c r="W16" s="2">
        <f t="shared" si="6"/>
        <v>0</v>
      </c>
      <c r="X16" s="2">
        <f t="shared" si="11"/>
        <v>0</v>
      </c>
      <c r="Y16" s="18">
        <f t="shared" si="7"/>
        <v>9.399376559251268</v>
      </c>
      <c r="Z16" s="18">
        <f t="shared" si="8"/>
        <v>0</v>
      </c>
      <c r="AA16" s="2">
        <f t="shared" si="12"/>
        <v>0</v>
      </c>
    </row>
    <row r="17" spans="1:27" ht="12.75">
      <c r="A17">
        <v>1951</v>
      </c>
      <c r="C17" s="36">
        <f t="shared" si="9"/>
        <v>0</v>
      </c>
      <c r="D17" s="36">
        <v>0</v>
      </c>
      <c r="E17" s="36">
        <v>0</v>
      </c>
      <c r="F17" s="36">
        <v>0</v>
      </c>
      <c r="G17" s="36">
        <f t="shared" si="0"/>
        <v>0</v>
      </c>
      <c r="H17" s="27">
        <v>69.5</v>
      </c>
      <c r="I17" s="25">
        <v>0</v>
      </c>
      <c r="J17" s="25">
        <f t="shared" si="1"/>
        <v>0</v>
      </c>
      <c r="R17" s="21">
        <f t="shared" si="10"/>
        <v>1951</v>
      </c>
      <c r="S17" s="4">
        <f t="shared" si="2"/>
        <v>0</v>
      </c>
      <c r="T17">
        <f t="shared" si="3"/>
        <v>0</v>
      </c>
      <c r="U17">
        <f t="shared" si="4"/>
        <v>48</v>
      </c>
      <c r="V17" s="1" t="str">
        <f t="shared" si="5"/>
        <v>L3</v>
      </c>
      <c r="W17" s="2">
        <f t="shared" si="6"/>
        <v>0</v>
      </c>
      <c r="X17" s="2">
        <f t="shared" si="11"/>
        <v>0</v>
      </c>
      <c r="Y17" s="18">
        <f t="shared" si="7"/>
        <v>9.656808651802292</v>
      </c>
      <c r="Z17" s="18">
        <f t="shared" si="8"/>
        <v>0</v>
      </c>
      <c r="AA17" s="2">
        <f t="shared" si="12"/>
        <v>0</v>
      </c>
    </row>
    <row r="18" spans="1:27" ht="12.75">
      <c r="A18">
        <v>1952</v>
      </c>
      <c r="C18" s="36">
        <f t="shared" si="9"/>
        <v>0</v>
      </c>
      <c r="D18" s="36">
        <v>0</v>
      </c>
      <c r="E18" s="36">
        <v>0</v>
      </c>
      <c r="F18" s="36">
        <v>0</v>
      </c>
      <c r="G18" s="36">
        <f t="shared" si="0"/>
        <v>0</v>
      </c>
      <c r="H18" s="27">
        <v>68.5</v>
      </c>
      <c r="I18" s="25">
        <v>0</v>
      </c>
      <c r="J18" s="25">
        <f t="shared" si="1"/>
        <v>0</v>
      </c>
      <c r="R18" s="21">
        <f t="shared" si="10"/>
        <v>1952</v>
      </c>
      <c r="S18" s="4">
        <f t="shared" si="2"/>
        <v>0</v>
      </c>
      <c r="T18">
        <f t="shared" si="3"/>
        <v>0</v>
      </c>
      <c r="U18">
        <f t="shared" si="4"/>
        <v>48</v>
      </c>
      <c r="V18" s="1" t="str">
        <f t="shared" si="5"/>
        <v>L3</v>
      </c>
      <c r="W18" s="2">
        <f t="shared" si="6"/>
        <v>0</v>
      </c>
      <c r="X18" s="2">
        <f t="shared" si="11"/>
        <v>0</v>
      </c>
      <c r="Y18" s="18">
        <f t="shared" si="7"/>
        <v>9.915698638708559</v>
      </c>
      <c r="Z18" s="18">
        <f t="shared" si="8"/>
        <v>0</v>
      </c>
      <c r="AA18" s="2">
        <f t="shared" si="12"/>
        <v>0</v>
      </c>
    </row>
    <row r="19" spans="1:27" ht="12.75">
      <c r="A19">
        <v>1953</v>
      </c>
      <c r="C19" s="36">
        <f t="shared" si="9"/>
        <v>0</v>
      </c>
      <c r="D19" s="36">
        <v>0</v>
      </c>
      <c r="E19" s="36">
        <v>0</v>
      </c>
      <c r="F19" s="36">
        <v>0</v>
      </c>
      <c r="G19" s="36">
        <f t="shared" si="0"/>
        <v>0</v>
      </c>
      <c r="H19" s="27">
        <v>67.5</v>
      </c>
      <c r="I19" s="25">
        <v>0</v>
      </c>
      <c r="J19" s="25">
        <f t="shared" si="1"/>
        <v>0</v>
      </c>
      <c r="R19" s="21">
        <f t="shared" si="10"/>
        <v>1953</v>
      </c>
      <c r="S19" s="4">
        <f t="shared" si="2"/>
        <v>0</v>
      </c>
      <c r="T19">
        <f t="shared" si="3"/>
        <v>0</v>
      </c>
      <c r="U19">
        <f t="shared" si="4"/>
        <v>48</v>
      </c>
      <c r="V19" s="1" t="str">
        <f t="shared" si="5"/>
        <v>L3</v>
      </c>
      <c r="W19" s="2">
        <f t="shared" si="6"/>
        <v>0</v>
      </c>
      <c r="X19" s="2">
        <f t="shared" si="11"/>
        <v>0</v>
      </c>
      <c r="Y19" s="18">
        <f t="shared" si="7"/>
        <v>10.175583431303075</v>
      </c>
      <c r="Z19" s="18">
        <f t="shared" si="8"/>
        <v>0</v>
      </c>
      <c r="AA19" s="2">
        <f t="shared" si="12"/>
        <v>0</v>
      </c>
    </row>
    <row r="20" spans="1:27" ht="12.75">
      <c r="A20">
        <v>1954</v>
      </c>
      <c r="C20" s="36">
        <f t="shared" si="9"/>
        <v>0</v>
      </c>
      <c r="D20" s="36">
        <v>0</v>
      </c>
      <c r="E20" s="36">
        <v>0</v>
      </c>
      <c r="F20" s="36">
        <v>0</v>
      </c>
      <c r="G20" s="36">
        <f t="shared" si="0"/>
        <v>0</v>
      </c>
      <c r="H20" s="27">
        <v>66.5</v>
      </c>
      <c r="I20" s="25">
        <v>0</v>
      </c>
      <c r="J20" s="25">
        <f t="shared" si="1"/>
        <v>0</v>
      </c>
      <c r="R20" s="21">
        <f t="shared" si="10"/>
        <v>1954</v>
      </c>
      <c r="S20" s="4">
        <f t="shared" si="2"/>
        <v>0</v>
      </c>
      <c r="T20">
        <f t="shared" si="3"/>
        <v>0</v>
      </c>
      <c r="U20">
        <f t="shared" si="4"/>
        <v>48</v>
      </c>
      <c r="V20" s="1" t="str">
        <f t="shared" si="5"/>
        <v>L3</v>
      </c>
      <c r="W20" s="2">
        <f t="shared" si="6"/>
        <v>0</v>
      </c>
      <c r="X20" s="2">
        <f t="shared" si="11"/>
        <v>0</v>
      </c>
      <c r="Y20" s="18">
        <f t="shared" si="7"/>
        <v>10.435900634181639</v>
      </c>
      <c r="Z20" s="18">
        <f t="shared" si="8"/>
        <v>0</v>
      </c>
      <c r="AA20" s="2">
        <f t="shared" si="12"/>
        <v>0</v>
      </c>
    </row>
    <row r="21" spans="1:27" ht="12.75">
      <c r="A21">
        <v>1955</v>
      </c>
      <c r="C21" s="36">
        <f t="shared" si="9"/>
        <v>0</v>
      </c>
      <c r="D21" s="36">
        <v>0</v>
      </c>
      <c r="E21" s="36">
        <v>0</v>
      </c>
      <c r="F21" s="36">
        <v>0</v>
      </c>
      <c r="G21" s="36">
        <f t="shared" si="0"/>
        <v>0</v>
      </c>
      <c r="H21" s="27">
        <v>65.5</v>
      </c>
      <c r="I21" s="25">
        <v>0</v>
      </c>
      <c r="J21" s="25">
        <f t="shared" si="1"/>
        <v>0</v>
      </c>
      <c r="R21" s="21">
        <f t="shared" si="10"/>
        <v>1955</v>
      </c>
      <c r="S21" s="4">
        <f t="shared" si="2"/>
        <v>0</v>
      </c>
      <c r="T21">
        <f t="shared" si="3"/>
        <v>0</v>
      </c>
      <c r="U21">
        <f t="shared" si="4"/>
        <v>48</v>
      </c>
      <c r="V21" s="1" t="str">
        <f t="shared" si="5"/>
        <v>L3</v>
      </c>
      <c r="W21" s="2">
        <f t="shared" si="6"/>
        <v>0</v>
      </c>
      <c r="X21" s="2">
        <f t="shared" si="11"/>
        <v>0</v>
      </c>
      <c r="Y21" s="18">
        <f t="shared" si="7"/>
        <v>10.695983955378132</v>
      </c>
      <c r="Z21" s="18">
        <f t="shared" si="8"/>
        <v>0</v>
      </c>
      <c r="AA21" s="2">
        <f t="shared" si="12"/>
        <v>0</v>
      </c>
    </row>
    <row r="22" spans="1:27" ht="12.75">
      <c r="A22">
        <v>1956</v>
      </c>
      <c r="C22" s="36">
        <f t="shared" si="9"/>
        <v>0</v>
      </c>
      <c r="D22" s="36">
        <v>0</v>
      </c>
      <c r="E22" s="36">
        <v>0</v>
      </c>
      <c r="F22" s="36">
        <v>0</v>
      </c>
      <c r="G22" s="36">
        <f t="shared" si="0"/>
        <v>0</v>
      </c>
      <c r="H22" s="27">
        <v>64.5</v>
      </c>
      <c r="I22" s="25">
        <v>0</v>
      </c>
      <c r="J22" s="25">
        <f t="shared" si="1"/>
        <v>0</v>
      </c>
      <c r="R22" s="21">
        <f t="shared" si="10"/>
        <v>1956</v>
      </c>
      <c r="S22" s="4">
        <f t="shared" si="2"/>
        <v>0</v>
      </c>
      <c r="T22">
        <f t="shared" si="3"/>
        <v>0</v>
      </c>
      <c r="U22">
        <f t="shared" si="4"/>
        <v>48</v>
      </c>
      <c r="V22" s="1" t="str">
        <f t="shared" si="5"/>
        <v>L3</v>
      </c>
      <c r="W22" s="2">
        <f t="shared" si="6"/>
        <v>0</v>
      </c>
      <c r="X22" s="2">
        <f t="shared" si="11"/>
        <v>0</v>
      </c>
      <c r="Y22" s="18">
        <f t="shared" si="7"/>
        <v>10.955062992779615</v>
      </c>
      <c r="Z22" s="18">
        <f t="shared" si="8"/>
        <v>0</v>
      </c>
      <c r="AA22" s="2">
        <f t="shared" si="12"/>
        <v>0</v>
      </c>
    </row>
    <row r="23" spans="1:27" ht="12.75">
      <c r="A23">
        <v>1957</v>
      </c>
      <c r="C23" s="36">
        <f t="shared" si="9"/>
        <v>0</v>
      </c>
      <c r="D23" s="36">
        <v>0</v>
      </c>
      <c r="E23" s="36">
        <v>0</v>
      </c>
      <c r="F23" s="36">
        <v>0</v>
      </c>
      <c r="G23" s="36">
        <f t="shared" si="0"/>
        <v>0</v>
      </c>
      <c r="H23" s="27">
        <v>63.5</v>
      </c>
      <c r="I23" s="25">
        <v>0</v>
      </c>
      <c r="J23" s="25">
        <f t="shared" si="1"/>
        <v>0</v>
      </c>
      <c r="R23" s="21">
        <f t="shared" si="10"/>
        <v>1957</v>
      </c>
      <c r="S23" s="4">
        <f t="shared" si="2"/>
        <v>0</v>
      </c>
      <c r="T23">
        <f t="shared" si="3"/>
        <v>0</v>
      </c>
      <c r="U23">
        <f t="shared" si="4"/>
        <v>48</v>
      </c>
      <c r="V23" s="1" t="str">
        <f t="shared" si="5"/>
        <v>L3</v>
      </c>
      <c r="W23" s="2">
        <f t="shared" si="6"/>
        <v>0</v>
      </c>
      <c r="X23" s="2">
        <f t="shared" si="11"/>
        <v>0</v>
      </c>
      <c r="Y23" s="18">
        <f t="shared" si="7"/>
        <v>11.21226889927863</v>
      </c>
      <c r="Z23" s="18">
        <f t="shared" si="8"/>
        <v>0</v>
      </c>
      <c r="AA23" s="2">
        <f t="shared" si="12"/>
        <v>0</v>
      </c>
    </row>
    <row r="24" spans="1:27" ht="12.75">
      <c r="A24">
        <v>1958</v>
      </c>
      <c r="C24" s="36">
        <f t="shared" si="9"/>
        <v>0</v>
      </c>
      <c r="D24" s="36">
        <v>0</v>
      </c>
      <c r="E24" s="36">
        <v>0</v>
      </c>
      <c r="F24" s="36">
        <v>0</v>
      </c>
      <c r="G24" s="36">
        <f t="shared" si="0"/>
        <v>0</v>
      </c>
      <c r="H24" s="27">
        <v>62.5</v>
      </c>
      <c r="I24" s="25">
        <v>0</v>
      </c>
      <c r="J24" s="25">
        <f t="shared" si="1"/>
        <v>0</v>
      </c>
      <c r="R24" s="21">
        <f t="shared" si="10"/>
        <v>1958</v>
      </c>
      <c r="S24" s="4">
        <f t="shared" si="2"/>
        <v>0</v>
      </c>
      <c r="T24">
        <f t="shared" si="3"/>
        <v>0</v>
      </c>
      <c r="U24">
        <f t="shared" si="4"/>
        <v>48</v>
      </c>
      <c r="V24" s="1" t="str">
        <f t="shared" si="5"/>
        <v>L3</v>
      </c>
      <c r="W24" s="2">
        <f t="shared" si="6"/>
        <v>0</v>
      </c>
      <c r="X24" s="2">
        <f t="shared" si="11"/>
        <v>0</v>
      </c>
      <c r="Y24" s="18">
        <f t="shared" si="7"/>
        <v>11.46664744488552</v>
      </c>
      <c r="Z24" s="18">
        <f t="shared" si="8"/>
        <v>0</v>
      </c>
      <c r="AA24" s="2">
        <f t="shared" si="12"/>
        <v>0</v>
      </c>
    </row>
    <row r="25" spans="1:27" ht="12.75">
      <c r="A25">
        <v>1959</v>
      </c>
      <c r="C25" s="36">
        <f t="shared" si="9"/>
        <v>0</v>
      </c>
      <c r="D25" s="36">
        <v>0</v>
      </c>
      <c r="E25" s="36">
        <v>0</v>
      </c>
      <c r="F25" s="36">
        <v>0</v>
      </c>
      <c r="G25" s="36">
        <f t="shared" si="0"/>
        <v>0</v>
      </c>
      <c r="H25" s="27">
        <v>61.5</v>
      </c>
      <c r="I25" s="25">
        <v>0</v>
      </c>
      <c r="J25" s="25">
        <f t="shared" si="1"/>
        <v>0</v>
      </c>
      <c r="R25" s="21">
        <f t="shared" si="10"/>
        <v>1959</v>
      </c>
      <c r="S25" s="4">
        <f t="shared" si="2"/>
        <v>0</v>
      </c>
      <c r="T25">
        <f t="shared" si="3"/>
        <v>0</v>
      </c>
      <c r="U25">
        <f t="shared" si="4"/>
        <v>48</v>
      </c>
      <c r="V25" s="1" t="str">
        <f t="shared" si="5"/>
        <v>L3</v>
      </c>
      <c r="W25" s="2">
        <f t="shared" si="6"/>
        <v>0</v>
      </c>
      <c r="X25" s="2">
        <f t="shared" si="11"/>
        <v>0</v>
      </c>
      <c r="Y25" s="18">
        <f t="shared" si="7"/>
        <v>11.717180844070867</v>
      </c>
      <c r="Z25" s="18">
        <f t="shared" si="8"/>
        <v>0</v>
      </c>
      <c r="AA25" s="2">
        <f t="shared" si="12"/>
        <v>0</v>
      </c>
    </row>
    <row r="26" spans="1:27" ht="12.75">
      <c r="A26">
        <v>1960</v>
      </c>
      <c r="C26" s="36">
        <f t="shared" si="9"/>
        <v>0</v>
      </c>
      <c r="D26" s="36">
        <v>0</v>
      </c>
      <c r="E26" s="36">
        <v>0</v>
      </c>
      <c r="F26" s="36">
        <v>0</v>
      </c>
      <c r="G26" s="36">
        <f t="shared" si="0"/>
        <v>0</v>
      </c>
      <c r="H26" s="27">
        <v>60.5</v>
      </c>
      <c r="I26" s="25">
        <v>0</v>
      </c>
      <c r="J26" s="25">
        <f t="shared" si="1"/>
        <v>0</v>
      </c>
      <c r="R26" s="21">
        <f t="shared" si="10"/>
        <v>1960</v>
      </c>
      <c r="S26" s="4">
        <f t="shared" si="2"/>
        <v>0</v>
      </c>
      <c r="T26">
        <f t="shared" si="3"/>
        <v>0</v>
      </c>
      <c r="U26">
        <f t="shared" si="4"/>
        <v>48</v>
      </c>
      <c r="V26" s="1" t="str">
        <f t="shared" si="5"/>
        <v>L3</v>
      </c>
      <c r="W26" s="2">
        <f t="shared" si="6"/>
        <v>0</v>
      </c>
      <c r="X26" s="2">
        <f t="shared" si="11"/>
        <v>0</v>
      </c>
      <c r="Y26" s="18">
        <f t="shared" si="7"/>
        <v>11.962819351959213</v>
      </c>
      <c r="Z26" s="18">
        <f t="shared" si="8"/>
        <v>0</v>
      </c>
      <c r="AA26" s="2">
        <f t="shared" si="12"/>
        <v>0</v>
      </c>
    </row>
    <row r="27" spans="1:27" ht="12.75">
      <c r="A27">
        <v>1961</v>
      </c>
      <c r="C27" s="36">
        <f t="shared" si="9"/>
        <v>0</v>
      </c>
      <c r="D27" s="36">
        <v>0</v>
      </c>
      <c r="E27" s="36">
        <v>794</v>
      </c>
      <c r="F27" s="36">
        <v>0</v>
      </c>
      <c r="G27" s="36">
        <f t="shared" si="0"/>
        <v>794</v>
      </c>
      <c r="H27" s="27">
        <v>59.5</v>
      </c>
      <c r="I27" s="25">
        <v>0</v>
      </c>
      <c r="J27" s="25">
        <f t="shared" si="1"/>
        <v>0</v>
      </c>
      <c r="M27" s="4">
        <f>D27+E27</f>
        <v>794</v>
      </c>
      <c r="N27" s="4">
        <f>F27</f>
        <v>0</v>
      </c>
      <c r="R27" s="21">
        <f t="shared" si="10"/>
        <v>1961</v>
      </c>
      <c r="S27" s="4">
        <f t="shared" si="2"/>
        <v>794</v>
      </c>
      <c r="T27">
        <f t="shared" si="3"/>
        <v>0</v>
      </c>
      <c r="U27">
        <f t="shared" si="4"/>
        <v>48</v>
      </c>
      <c r="V27" s="1" t="str">
        <f t="shared" si="5"/>
        <v>L3</v>
      </c>
      <c r="W27" s="2">
        <f t="shared" si="6"/>
        <v>16.541666666666668</v>
      </c>
      <c r="X27" s="2">
        <f t="shared" si="11"/>
        <v>0</v>
      </c>
      <c r="Y27" s="18">
        <f t="shared" si="7"/>
        <v>12.202523020291407</v>
      </c>
      <c r="Z27" s="18">
        <f t="shared" si="8"/>
        <v>0</v>
      </c>
      <c r="AA27" s="2">
        <f t="shared" si="12"/>
        <v>201.85006829398705</v>
      </c>
    </row>
    <row r="28" spans="1:27" ht="12.75">
      <c r="A28">
        <v>1962</v>
      </c>
      <c r="C28" s="36">
        <f t="shared" si="9"/>
        <v>794</v>
      </c>
      <c r="D28" s="36">
        <v>0</v>
      </c>
      <c r="E28" s="36">
        <v>11090</v>
      </c>
      <c r="F28" s="36">
        <v>0</v>
      </c>
      <c r="G28" s="36">
        <f t="shared" si="0"/>
        <v>11884</v>
      </c>
      <c r="H28" s="27">
        <v>58.5</v>
      </c>
      <c r="I28" s="25">
        <v>0</v>
      </c>
      <c r="J28" s="25">
        <f t="shared" si="1"/>
        <v>0</v>
      </c>
      <c r="M28" s="4">
        <f aca="true" t="shared" si="13" ref="M28:M86">D28+E28</f>
        <v>11090</v>
      </c>
      <c r="N28" s="4">
        <f aca="true" t="shared" si="14" ref="N28:N86">F28</f>
        <v>0</v>
      </c>
      <c r="R28" s="21">
        <f t="shared" si="10"/>
        <v>1962</v>
      </c>
      <c r="S28" s="4">
        <f t="shared" si="2"/>
        <v>11090</v>
      </c>
      <c r="T28">
        <f t="shared" si="3"/>
        <v>0</v>
      </c>
      <c r="U28">
        <f t="shared" si="4"/>
        <v>48</v>
      </c>
      <c r="V28" s="1" t="str">
        <f t="shared" si="5"/>
        <v>L3</v>
      </c>
      <c r="W28" s="2">
        <f t="shared" si="6"/>
        <v>231.04166666666666</v>
      </c>
      <c r="X28" s="2">
        <f t="shared" si="11"/>
        <v>0</v>
      </c>
      <c r="Y28" s="18">
        <f t="shared" si="7"/>
        <v>12.435313140946672</v>
      </c>
      <c r="Z28" s="18">
        <f t="shared" si="8"/>
        <v>0</v>
      </c>
      <c r="AA28" s="2">
        <f t="shared" si="12"/>
        <v>2873.0754736062204</v>
      </c>
    </row>
    <row r="29" spans="1:27" ht="12.75">
      <c r="A29">
        <v>1963</v>
      </c>
      <c r="C29" s="36">
        <f t="shared" si="9"/>
        <v>11884</v>
      </c>
      <c r="D29" s="36">
        <v>0</v>
      </c>
      <c r="E29" s="36">
        <v>89639</v>
      </c>
      <c r="F29" s="36">
        <v>0</v>
      </c>
      <c r="G29" s="36">
        <f t="shared" si="0"/>
        <v>101523</v>
      </c>
      <c r="H29" s="27">
        <v>57.5</v>
      </c>
      <c r="I29" s="25">
        <v>0</v>
      </c>
      <c r="J29" s="25">
        <f t="shared" si="1"/>
        <v>0</v>
      </c>
      <c r="M29" s="4">
        <f t="shared" si="13"/>
        <v>89639</v>
      </c>
      <c r="N29" s="4">
        <f t="shared" si="14"/>
        <v>0</v>
      </c>
      <c r="R29" s="21">
        <f t="shared" si="10"/>
        <v>1963</v>
      </c>
      <c r="S29" s="4">
        <f t="shared" si="2"/>
        <v>89639</v>
      </c>
      <c r="T29">
        <f t="shared" si="3"/>
        <v>0</v>
      </c>
      <c r="U29">
        <f t="shared" si="4"/>
        <v>48</v>
      </c>
      <c r="V29" s="1" t="str">
        <f t="shared" si="5"/>
        <v>L3</v>
      </c>
      <c r="W29" s="2">
        <f t="shared" si="6"/>
        <v>1867.4791666666667</v>
      </c>
      <c r="X29" s="2">
        <f t="shared" si="11"/>
        <v>0</v>
      </c>
      <c r="Y29" s="18">
        <f t="shared" si="7"/>
        <v>12.660331835136649</v>
      </c>
      <c r="Z29" s="18">
        <f t="shared" si="8"/>
        <v>0</v>
      </c>
      <c r="AA29" s="2">
        <f t="shared" si="12"/>
        <v>23642.90594520446</v>
      </c>
    </row>
    <row r="30" spans="1:27" ht="12.75">
      <c r="A30">
        <v>1964</v>
      </c>
      <c r="C30" s="36">
        <f t="shared" si="9"/>
        <v>101523</v>
      </c>
      <c r="D30" s="36">
        <v>0</v>
      </c>
      <c r="E30" s="36">
        <v>2757</v>
      </c>
      <c r="F30" s="36">
        <v>0</v>
      </c>
      <c r="G30" s="36">
        <f t="shared" si="0"/>
        <v>104280</v>
      </c>
      <c r="H30" s="27">
        <v>56.5</v>
      </c>
      <c r="I30" s="25">
        <v>0</v>
      </c>
      <c r="J30" s="25">
        <f t="shared" si="1"/>
        <v>0</v>
      </c>
      <c r="M30" s="4">
        <f t="shared" si="13"/>
        <v>2757</v>
      </c>
      <c r="N30" s="4">
        <f t="shared" si="14"/>
        <v>0</v>
      </c>
      <c r="R30" s="21">
        <f t="shared" si="10"/>
        <v>1964</v>
      </c>
      <c r="S30" s="4">
        <f t="shared" si="2"/>
        <v>2757</v>
      </c>
      <c r="T30">
        <f t="shared" si="3"/>
        <v>0</v>
      </c>
      <c r="U30">
        <f t="shared" si="4"/>
        <v>48</v>
      </c>
      <c r="V30" s="1" t="str">
        <f t="shared" si="5"/>
        <v>L3</v>
      </c>
      <c r="W30" s="2">
        <f t="shared" si="6"/>
        <v>57.4375</v>
      </c>
      <c r="X30" s="2">
        <f t="shared" si="11"/>
        <v>0</v>
      </c>
      <c r="Y30" s="18">
        <f t="shared" si="7"/>
        <v>12.876907070411155</v>
      </c>
      <c r="Z30" s="18">
        <f t="shared" si="8"/>
        <v>0</v>
      </c>
      <c r="AA30" s="2">
        <f t="shared" si="12"/>
        <v>739.6173498567407</v>
      </c>
    </row>
    <row r="31" spans="1:27" ht="12.75">
      <c r="A31">
        <v>1965</v>
      </c>
      <c r="C31" s="36">
        <f t="shared" si="9"/>
        <v>104280</v>
      </c>
      <c r="D31" s="36">
        <v>0</v>
      </c>
      <c r="E31" s="36">
        <v>76220</v>
      </c>
      <c r="F31" s="36">
        <v>0</v>
      </c>
      <c r="G31" s="36">
        <f t="shared" si="0"/>
        <v>180500</v>
      </c>
      <c r="H31" s="27">
        <v>55.5</v>
      </c>
      <c r="I31" s="25">
        <v>0</v>
      </c>
      <c r="J31" s="25">
        <f t="shared" si="1"/>
        <v>0</v>
      </c>
      <c r="M31" s="4">
        <f t="shared" si="13"/>
        <v>76220</v>
      </c>
      <c r="N31" s="4">
        <f t="shared" si="14"/>
        <v>0</v>
      </c>
      <c r="R31" s="21">
        <f t="shared" si="10"/>
        <v>1965</v>
      </c>
      <c r="S31" s="4">
        <f t="shared" si="2"/>
        <v>76220</v>
      </c>
      <c r="T31">
        <f t="shared" si="3"/>
        <v>0</v>
      </c>
      <c r="U31">
        <f t="shared" si="4"/>
        <v>48</v>
      </c>
      <c r="V31" s="1" t="str">
        <f t="shared" si="5"/>
        <v>L3</v>
      </c>
      <c r="W31" s="2">
        <f t="shared" si="6"/>
        <v>1587.9166666666667</v>
      </c>
      <c r="X31" s="2">
        <f t="shared" si="11"/>
        <v>0</v>
      </c>
      <c r="Y31" s="18">
        <f t="shared" si="7"/>
        <v>13.08461926138273</v>
      </c>
      <c r="Z31" s="18">
        <f t="shared" si="8"/>
        <v>0</v>
      </c>
      <c r="AA31" s="2">
        <f t="shared" si="12"/>
        <v>20777.285002137327</v>
      </c>
    </row>
    <row r="32" spans="1:27" ht="12.75">
      <c r="A32">
        <v>1966</v>
      </c>
      <c r="C32" s="36">
        <f t="shared" si="9"/>
        <v>180500</v>
      </c>
      <c r="D32" s="36">
        <v>0</v>
      </c>
      <c r="E32" s="36">
        <v>1010</v>
      </c>
      <c r="F32" s="36">
        <v>0</v>
      </c>
      <c r="G32" s="36">
        <f t="shared" si="0"/>
        <v>181510</v>
      </c>
      <c r="H32" s="27">
        <v>54.5</v>
      </c>
      <c r="I32" s="25">
        <v>0</v>
      </c>
      <c r="J32" s="25">
        <f t="shared" si="1"/>
        <v>0</v>
      </c>
      <c r="M32" s="4">
        <f t="shared" si="13"/>
        <v>1010</v>
      </c>
      <c r="N32" s="4">
        <f t="shared" si="14"/>
        <v>0</v>
      </c>
      <c r="R32" s="21">
        <f t="shared" si="10"/>
        <v>1966</v>
      </c>
      <c r="S32" s="4">
        <f t="shared" si="2"/>
        <v>1010</v>
      </c>
      <c r="T32">
        <f t="shared" si="3"/>
        <v>0</v>
      </c>
      <c r="U32">
        <f t="shared" si="4"/>
        <v>48</v>
      </c>
      <c r="V32" s="1" t="str">
        <f t="shared" si="5"/>
        <v>L3</v>
      </c>
      <c r="W32" s="2">
        <f t="shared" si="6"/>
        <v>21.041666666666668</v>
      </c>
      <c r="X32" s="2">
        <f t="shared" si="11"/>
        <v>0</v>
      </c>
      <c r="Y32" s="18">
        <f t="shared" si="7"/>
        <v>13.283364728499768</v>
      </c>
      <c r="Z32" s="18">
        <f t="shared" si="8"/>
        <v>0</v>
      </c>
      <c r="AA32" s="2">
        <f t="shared" si="12"/>
        <v>279.5041328288493</v>
      </c>
    </row>
    <row r="33" spans="1:27" ht="12.75">
      <c r="A33">
        <v>1967</v>
      </c>
      <c r="C33" s="36">
        <f t="shared" si="9"/>
        <v>181510</v>
      </c>
      <c r="D33" s="36">
        <v>0</v>
      </c>
      <c r="E33" s="36">
        <v>1745</v>
      </c>
      <c r="F33" s="36">
        <v>0</v>
      </c>
      <c r="G33" s="36">
        <f t="shared" si="0"/>
        <v>183255</v>
      </c>
      <c r="H33" s="27">
        <v>53.5</v>
      </c>
      <c r="I33" s="25">
        <v>0</v>
      </c>
      <c r="J33" s="25">
        <f t="shared" si="1"/>
        <v>0</v>
      </c>
      <c r="M33" s="4">
        <f t="shared" si="13"/>
        <v>1745</v>
      </c>
      <c r="N33" s="4">
        <f t="shared" si="14"/>
        <v>0</v>
      </c>
      <c r="R33" s="21">
        <f t="shared" si="10"/>
        <v>1967</v>
      </c>
      <c r="S33" s="4">
        <f t="shared" si="2"/>
        <v>1745</v>
      </c>
      <c r="T33">
        <f t="shared" si="3"/>
        <v>0</v>
      </c>
      <c r="U33">
        <f t="shared" si="4"/>
        <v>48</v>
      </c>
      <c r="V33" s="1" t="str">
        <f t="shared" si="5"/>
        <v>L3</v>
      </c>
      <c r="W33" s="2">
        <f t="shared" si="6"/>
        <v>36.354166666666664</v>
      </c>
      <c r="X33" s="2">
        <f t="shared" si="11"/>
        <v>0</v>
      </c>
      <c r="Y33" s="18">
        <f t="shared" si="7"/>
        <v>13.473410852102361</v>
      </c>
      <c r="Z33" s="18">
        <f t="shared" si="8"/>
        <v>0</v>
      </c>
      <c r="AA33" s="2">
        <f t="shared" si="12"/>
        <v>489.8146236858046</v>
      </c>
    </row>
    <row r="34" spans="1:27" ht="12.75">
      <c r="A34">
        <v>1968</v>
      </c>
      <c r="C34" s="36">
        <f t="shared" si="9"/>
        <v>183255</v>
      </c>
      <c r="D34" s="36">
        <v>0</v>
      </c>
      <c r="E34" s="36">
        <v>0</v>
      </c>
      <c r="F34" s="36">
        <v>0</v>
      </c>
      <c r="G34" s="36">
        <f t="shared" si="0"/>
        <v>183255</v>
      </c>
      <c r="H34" s="27">
        <v>52.5</v>
      </c>
      <c r="I34" s="25">
        <v>0</v>
      </c>
      <c r="J34" s="25">
        <f t="shared" si="1"/>
        <v>0</v>
      </c>
      <c r="M34" s="4">
        <f t="shared" si="13"/>
        <v>0</v>
      </c>
      <c r="N34" s="4">
        <f t="shared" si="14"/>
        <v>0</v>
      </c>
      <c r="R34" s="21">
        <f t="shared" si="10"/>
        <v>1968</v>
      </c>
      <c r="S34" s="4">
        <f t="shared" si="2"/>
        <v>0</v>
      </c>
      <c r="T34">
        <f t="shared" si="3"/>
        <v>0</v>
      </c>
      <c r="U34">
        <f t="shared" si="4"/>
        <v>48</v>
      </c>
      <c r="V34" s="1" t="str">
        <f t="shared" si="5"/>
        <v>L3</v>
      </c>
      <c r="W34" s="2">
        <f t="shared" si="6"/>
        <v>0</v>
      </c>
      <c r="X34" s="2">
        <f t="shared" si="11"/>
        <v>0</v>
      </c>
      <c r="Y34" s="18">
        <f t="shared" si="7"/>
        <v>13.655437924079916</v>
      </c>
      <c r="Z34" s="18">
        <f t="shared" si="8"/>
        <v>0</v>
      </c>
      <c r="AA34" s="2">
        <f t="shared" si="12"/>
        <v>0</v>
      </c>
    </row>
    <row r="35" spans="1:27" ht="12.75">
      <c r="A35">
        <v>1969</v>
      </c>
      <c r="C35" s="36">
        <f t="shared" si="9"/>
        <v>183255</v>
      </c>
      <c r="D35" s="36">
        <v>0</v>
      </c>
      <c r="E35" s="36">
        <v>3869</v>
      </c>
      <c r="F35" s="36">
        <v>0</v>
      </c>
      <c r="G35" s="36">
        <f t="shared" si="0"/>
        <v>187124</v>
      </c>
      <c r="H35" s="27">
        <v>51.5</v>
      </c>
      <c r="I35" s="25">
        <v>0</v>
      </c>
      <c r="J35" s="25">
        <f t="shared" si="1"/>
        <v>0</v>
      </c>
      <c r="M35" s="4">
        <f t="shared" si="13"/>
        <v>3869</v>
      </c>
      <c r="N35" s="4">
        <f t="shared" si="14"/>
        <v>0</v>
      </c>
      <c r="R35" s="21">
        <f t="shared" si="10"/>
        <v>1969</v>
      </c>
      <c r="S35" s="4">
        <f t="shared" si="2"/>
        <v>3869</v>
      </c>
      <c r="T35">
        <f t="shared" si="3"/>
        <v>0</v>
      </c>
      <c r="U35">
        <f t="shared" si="4"/>
        <v>48</v>
      </c>
      <c r="V35" s="1" t="str">
        <f t="shared" si="5"/>
        <v>L3</v>
      </c>
      <c r="W35" s="2">
        <f t="shared" si="6"/>
        <v>80.60416666666667</v>
      </c>
      <c r="X35" s="2">
        <f t="shared" si="11"/>
        <v>0</v>
      </c>
      <c r="Y35" s="18">
        <f t="shared" si="7"/>
        <v>13.830563534112251</v>
      </c>
      <c r="Z35" s="18">
        <f t="shared" si="8"/>
        <v>0</v>
      </c>
      <c r="AA35" s="2">
        <f t="shared" si="12"/>
        <v>1114.8010481975064</v>
      </c>
    </row>
    <row r="36" spans="1:27" ht="12.75">
      <c r="A36">
        <v>1970</v>
      </c>
      <c r="C36" s="36">
        <f t="shared" si="9"/>
        <v>187124</v>
      </c>
      <c r="D36" s="36">
        <v>0</v>
      </c>
      <c r="E36" s="36">
        <v>480</v>
      </c>
      <c r="F36" s="36">
        <v>0</v>
      </c>
      <c r="G36" s="36">
        <f t="shared" si="0"/>
        <v>187604</v>
      </c>
      <c r="H36" s="27">
        <v>50.5</v>
      </c>
      <c r="I36" s="25">
        <v>0</v>
      </c>
      <c r="J36" s="25">
        <f t="shared" si="1"/>
        <v>0</v>
      </c>
      <c r="M36" s="4">
        <f t="shared" si="13"/>
        <v>480</v>
      </c>
      <c r="N36" s="4">
        <f t="shared" si="14"/>
        <v>0</v>
      </c>
      <c r="R36" s="21">
        <f t="shared" si="10"/>
        <v>1970</v>
      </c>
      <c r="S36" s="4">
        <f t="shared" si="2"/>
        <v>480</v>
      </c>
      <c r="T36">
        <f t="shared" si="3"/>
        <v>0</v>
      </c>
      <c r="U36">
        <f t="shared" si="4"/>
        <v>48</v>
      </c>
      <c r="V36" s="1" t="str">
        <f t="shared" si="5"/>
        <v>L3</v>
      </c>
      <c r="W36" s="2">
        <f t="shared" si="6"/>
        <v>10</v>
      </c>
      <c r="X36" s="2">
        <f t="shared" si="11"/>
        <v>0</v>
      </c>
      <c r="Y36" s="18">
        <f t="shared" si="7"/>
        <v>14.000346774710932</v>
      </c>
      <c r="Z36" s="18">
        <f t="shared" si="8"/>
        <v>0</v>
      </c>
      <c r="AA36" s="2">
        <f t="shared" si="12"/>
        <v>140.0034677471093</v>
      </c>
    </row>
    <row r="37" spans="1:27" ht="12.75">
      <c r="A37">
        <v>1971</v>
      </c>
      <c r="C37" s="36">
        <f t="shared" si="9"/>
        <v>187604</v>
      </c>
      <c r="D37" s="36">
        <v>0</v>
      </c>
      <c r="E37" s="36">
        <v>23086</v>
      </c>
      <c r="F37" s="36">
        <v>0</v>
      </c>
      <c r="G37" s="36">
        <f t="shared" si="0"/>
        <v>210690</v>
      </c>
      <c r="H37" s="27">
        <v>49.5</v>
      </c>
      <c r="I37" s="25">
        <v>0</v>
      </c>
      <c r="J37" s="25">
        <f t="shared" si="1"/>
        <v>0</v>
      </c>
      <c r="M37" s="4">
        <f t="shared" si="13"/>
        <v>23086</v>
      </c>
      <c r="N37" s="4">
        <f t="shared" si="14"/>
        <v>0</v>
      </c>
      <c r="R37" s="21">
        <f t="shared" si="10"/>
        <v>1971</v>
      </c>
      <c r="S37" s="4">
        <f t="shared" si="2"/>
        <v>23086</v>
      </c>
      <c r="T37">
        <f t="shared" si="3"/>
        <v>0</v>
      </c>
      <c r="U37">
        <f t="shared" si="4"/>
        <v>48</v>
      </c>
      <c r="V37" s="1" t="str">
        <f t="shared" si="5"/>
        <v>L3</v>
      </c>
      <c r="W37" s="2">
        <f t="shared" si="6"/>
        <v>480.9583333333333</v>
      </c>
      <c r="X37" s="2">
        <f t="shared" si="11"/>
        <v>0</v>
      </c>
      <c r="Y37" s="18">
        <f t="shared" si="7"/>
        <v>14.166771422220565</v>
      </c>
      <c r="Z37" s="18">
        <f t="shared" si="8"/>
        <v>0</v>
      </c>
      <c r="AA37" s="2">
        <f t="shared" si="12"/>
        <v>6813.626771945499</v>
      </c>
    </row>
    <row r="38" spans="1:27" ht="12.75">
      <c r="A38">
        <v>1972</v>
      </c>
      <c r="C38" s="36">
        <f t="shared" si="9"/>
        <v>210690</v>
      </c>
      <c r="D38" s="36">
        <v>0</v>
      </c>
      <c r="E38" s="36">
        <v>309</v>
      </c>
      <c r="F38" s="36">
        <v>0</v>
      </c>
      <c r="G38" s="36">
        <f t="shared" si="0"/>
        <v>210999</v>
      </c>
      <c r="H38" s="27">
        <v>48.5</v>
      </c>
      <c r="I38" s="25">
        <v>0</v>
      </c>
      <c r="J38" s="25">
        <f t="shared" si="1"/>
        <v>0</v>
      </c>
      <c r="M38" s="4">
        <f t="shared" si="13"/>
        <v>309</v>
      </c>
      <c r="N38" s="4">
        <f t="shared" si="14"/>
        <v>0</v>
      </c>
      <c r="R38" s="21">
        <f t="shared" si="10"/>
        <v>1972</v>
      </c>
      <c r="S38" s="4">
        <f aca="true" t="shared" si="15" ref="S38:S68">E38</f>
        <v>309</v>
      </c>
      <c r="T38">
        <f aca="true" t="shared" si="16" ref="T38:T68">IF(D38&gt;0,IF(J38&gt;0,D38,0),0)</f>
        <v>0</v>
      </c>
      <c r="U38">
        <f aca="true" t="shared" si="17" ref="U38:U86">$V$94</f>
        <v>48</v>
      </c>
      <c r="V38" s="1" t="str">
        <f aca="true" t="shared" si="18" ref="V38:V72">$V$93</f>
        <v>L3</v>
      </c>
      <c r="W38" s="2">
        <f aca="true" t="shared" si="19" ref="W38:W68">S38/U38</f>
        <v>6.4375</v>
      </c>
      <c r="X38" s="2">
        <f t="shared" si="11"/>
        <v>0</v>
      </c>
      <c r="Y38" s="18">
        <f aca="true" t="shared" si="20" ref="Y38:Y75">Prob_life(V38,H38,U38)</f>
        <v>14.33220926300396</v>
      </c>
      <c r="Z38" s="18">
        <f aca="true" t="shared" si="21" ref="Z38:Z75">IF(J38&gt;0,Prob_life(V38,J38+0.5,U38),0)</f>
        <v>0</v>
      </c>
      <c r="AA38" s="2">
        <f t="shared" si="12"/>
        <v>92.263597130588</v>
      </c>
    </row>
    <row r="39" spans="1:27" ht="12.75">
      <c r="A39">
        <v>1973</v>
      </c>
      <c r="C39" s="36">
        <f t="shared" si="9"/>
        <v>210999</v>
      </c>
      <c r="D39" s="36">
        <v>0</v>
      </c>
      <c r="E39" s="36">
        <v>0</v>
      </c>
      <c r="F39" s="36">
        <v>0</v>
      </c>
      <c r="G39" s="36">
        <f t="shared" si="0"/>
        <v>210999</v>
      </c>
      <c r="H39" s="27">
        <v>47.5</v>
      </c>
      <c r="I39" s="25">
        <v>0</v>
      </c>
      <c r="J39" s="25">
        <f t="shared" si="1"/>
        <v>0</v>
      </c>
      <c r="M39" s="4">
        <f t="shared" si="13"/>
        <v>0</v>
      </c>
      <c r="N39" s="4">
        <f t="shared" si="14"/>
        <v>0</v>
      </c>
      <c r="R39" s="21">
        <f t="shared" si="10"/>
        <v>1973</v>
      </c>
      <c r="S39" s="4">
        <f t="shared" si="15"/>
        <v>0</v>
      </c>
      <c r="T39">
        <f t="shared" si="16"/>
        <v>0</v>
      </c>
      <c r="U39">
        <f t="shared" si="17"/>
        <v>48</v>
      </c>
      <c r="V39" s="1" t="str">
        <f t="shared" si="18"/>
        <v>L3</v>
      </c>
      <c r="W39" s="2">
        <f t="shared" si="19"/>
        <v>0</v>
      </c>
      <c r="X39" s="2">
        <f t="shared" si="11"/>
        <v>0</v>
      </c>
      <c r="Y39" s="18">
        <f t="shared" si="20"/>
        <v>14.499366559189617</v>
      </c>
      <c r="Z39" s="18">
        <f t="shared" si="21"/>
        <v>0</v>
      </c>
      <c r="AA39" s="2">
        <f t="shared" si="12"/>
        <v>0</v>
      </c>
    </row>
    <row r="40" spans="1:27" ht="12.75">
      <c r="A40">
        <v>1974</v>
      </c>
      <c r="C40" s="36">
        <f t="shared" si="9"/>
        <v>210999</v>
      </c>
      <c r="D40" s="36">
        <v>0</v>
      </c>
      <c r="E40" s="36">
        <v>958</v>
      </c>
      <c r="F40" s="36">
        <v>0</v>
      </c>
      <c r="G40" s="36">
        <f t="shared" si="0"/>
        <v>211957</v>
      </c>
      <c r="H40" s="27">
        <v>46.5</v>
      </c>
      <c r="I40" s="25">
        <v>0</v>
      </c>
      <c r="J40" s="25">
        <f t="shared" si="1"/>
        <v>0</v>
      </c>
      <c r="M40" s="4">
        <f t="shared" si="13"/>
        <v>958</v>
      </c>
      <c r="N40" s="4">
        <f t="shared" si="14"/>
        <v>0</v>
      </c>
      <c r="R40" s="21">
        <f t="shared" si="10"/>
        <v>1974</v>
      </c>
      <c r="S40" s="4">
        <f t="shared" si="15"/>
        <v>958</v>
      </c>
      <c r="T40">
        <f t="shared" si="16"/>
        <v>0</v>
      </c>
      <c r="U40">
        <f t="shared" si="17"/>
        <v>48</v>
      </c>
      <c r="V40" s="1" t="str">
        <f t="shared" si="18"/>
        <v>L3</v>
      </c>
      <c r="W40" s="2">
        <f t="shared" si="19"/>
        <v>19.958333333333332</v>
      </c>
      <c r="X40" s="2">
        <f t="shared" si="11"/>
        <v>0</v>
      </c>
      <c r="Y40" s="18">
        <f t="shared" si="20"/>
        <v>14.671217995029961</v>
      </c>
      <c r="Z40" s="18">
        <f t="shared" si="21"/>
        <v>0</v>
      </c>
      <c r="AA40" s="2">
        <f t="shared" si="12"/>
        <v>292.8130591508063</v>
      </c>
    </row>
    <row r="41" spans="1:27" ht="12.75">
      <c r="A41">
        <v>1975</v>
      </c>
      <c r="C41" s="36">
        <f t="shared" si="9"/>
        <v>211957</v>
      </c>
      <c r="D41" s="36">
        <v>0</v>
      </c>
      <c r="E41" s="36">
        <v>57007</v>
      </c>
      <c r="F41" s="36">
        <v>0</v>
      </c>
      <c r="G41" s="36">
        <f t="shared" si="0"/>
        <v>268964</v>
      </c>
      <c r="H41" s="27">
        <v>45.5</v>
      </c>
      <c r="I41" s="25">
        <v>0</v>
      </c>
      <c r="J41" s="25">
        <f t="shared" si="1"/>
        <v>0</v>
      </c>
      <c r="M41" s="4">
        <f t="shared" si="13"/>
        <v>57007</v>
      </c>
      <c r="N41" s="4">
        <f t="shared" si="14"/>
        <v>0</v>
      </c>
      <c r="R41" s="21">
        <f t="shared" si="10"/>
        <v>1975</v>
      </c>
      <c r="S41" s="4">
        <f t="shared" si="15"/>
        <v>57007</v>
      </c>
      <c r="T41">
        <f t="shared" si="16"/>
        <v>0</v>
      </c>
      <c r="U41">
        <f t="shared" si="17"/>
        <v>48</v>
      </c>
      <c r="V41" s="1" t="str">
        <f t="shared" si="18"/>
        <v>L3</v>
      </c>
      <c r="W41" s="2">
        <f t="shared" si="19"/>
        <v>1187.6458333333333</v>
      </c>
      <c r="X41" s="2">
        <f t="shared" si="11"/>
        <v>0</v>
      </c>
      <c r="Y41" s="18">
        <f t="shared" si="20"/>
        <v>14.850933121060962</v>
      </c>
      <c r="Z41" s="18">
        <f t="shared" si="21"/>
        <v>0</v>
      </c>
      <c r="AA41" s="2">
        <f t="shared" si="12"/>
        <v>17637.648842340044</v>
      </c>
    </row>
    <row r="42" spans="1:27" ht="12.75">
      <c r="A42">
        <v>1976</v>
      </c>
      <c r="C42" s="36">
        <f t="shared" si="9"/>
        <v>268964</v>
      </c>
      <c r="D42" s="36">
        <v>0</v>
      </c>
      <c r="E42" s="36">
        <v>43971</v>
      </c>
      <c r="F42" s="36">
        <v>0</v>
      </c>
      <c r="G42" s="36">
        <f t="shared" si="0"/>
        <v>312935</v>
      </c>
      <c r="H42" s="27">
        <v>44.5</v>
      </c>
      <c r="I42" s="25">
        <v>0</v>
      </c>
      <c r="J42" s="25">
        <f t="shared" si="1"/>
        <v>0</v>
      </c>
      <c r="M42" s="4">
        <f t="shared" si="13"/>
        <v>43971</v>
      </c>
      <c r="N42" s="4">
        <f t="shared" si="14"/>
        <v>0</v>
      </c>
      <c r="R42" s="21">
        <f t="shared" si="10"/>
        <v>1976</v>
      </c>
      <c r="S42" s="4">
        <f t="shared" si="15"/>
        <v>43971</v>
      </c>
      <c r="T42">
        <f t="shared" si="16"/>
        <v>0</v>
      </c>
      <c r="U42">
        <f t="shared" si="17"/>
        <v>48</v>
      </c>
      <c r="V42" s="1" t="str">
        <f t="shared" si="18"/>
        <v>L3</v>
      </c>
      <c r="W42" s="2">
        <f t="shared" si="19"/>
        <v>916.0625</v>
      </c>
      <c r="X42" s="2">
        <f t="shared" si="11"/>
        <v>0</v>
      </c>
      <c r="Y42" s="18">
        <f t="shared" si="20"/>
        <v>15.041800263289193</v>
      </c>
      <c r="Z42" s="18">
        <f t="shared" si="21"/>
        <v>0</v>
      </c>
      <c r="AA42" s="2">
        <f t="shared" si="12"/>
        <v>13779.229153689357</v>
      </c>
    </row>
    <row r="43" spans="1:27" ht="12.75">
      <c r="A43">
        <v>1977</v>
      </c>
      <c r="C43" s="36">
        <f t="shared" si="9"/>
        <v>312935</v>
      </c>
      <c r="D43" s="36">
        <v>0</v>
      </c>
      <c r="E43" s="36">
        <v>0</v>
      </c>
      <c r="F43" s="36">
        <v>0</v>
      </c>
      <c r="G43" s="36">
        <f t="shared" si="0"/>
        <v>312935</v>
      </c>
      <c r="H43" s="27">
        <v>43.5</v>
      </c>
      <c r="I43" s="25">
        <v>0</v>
      </c>
      <c r="J43" s="25">
        <f t="shared" si="1"/>
        <v>0</v>
      </c>
      <c r="M43" s="4">
        <f t="shared" si="13"/>
        <v>0</v>
      </c>
      <c r="N43" s="4">
        <f t="shared" si="14"/>
        <v>0</v>
      </c>
      <c r="R43" s="21">
        <f t="shared" si="10"/>
        <v>1977</v>
      </c>
      <c r="S43" s="4">
        <f t="shared" si="15"/>
        <v>0</v>
      </c>
      <c r="T43">
        <f t="shared" si="16"/>
        <v>0</v>
      </c>
      <c r="U43">
        <f t="shared" si="17"/>
        <v>48</v>
      </c>
      <c r="V43" s="1" t="str">
        <f t="shared" si="18"/>
        <v>L3</v>
      </c>
      <c r="W43" s="2">
        <f t="shared" si="19"/>
        <v>0</v>
      </c>
      <c r="X43" s="2">
        <f t="shared" si="11"/>
        <v>0</v>
      </c>
      <c r="Y43" s="18">
        <f t="shared" si="20"/>
        <v>15.247152169658255</v>
      </c>
      <c r="Z43" s="18">
        <f t="shared" si="21"/>
        <v>0</v>
      </c>
      <c r="AA43" s="2">
        <f t="shared" si="12"/>
        <v>0</v>
      </c>
    </row>
    <row r="44" spans="1:27" ht="12.75">
      <c r="A44">
        <v>1978</v>
      </c>
      <c r="C44" s="36">
        <f t="shared" si="9"/>
        <v>312935</v>
      </c>
      <c r="D44" s="36">
        <v>0</v>
      </c>
      <c r="E44" s="36">
        <v>600</v>
      </c>
      <c r="F44" s="36">
        <v>0</v>
      </c>
      <c r="G44" s="36">
        <f t="shared" si="0"/>
        <v>313535</v>
      </c>
      <c r="H44" s="27">
        <v>42.5</v>
      </c>
      <c r="I44" s="25">
        <v>0</v>
      </c>
      <c r="J44" s="25">
        <f t="shared" si="1"/>
        <v>0</v>
      </c>
      <c r="M44" s="4">
        <f t="shared" si="13"/>
        <v>600</v>
      </c>
      <c r="N44" s="4">
        <f t="shared" si="14"/>
        <v>0</v>
      </c>
      <c r="R44" s="21">
        <f t="shared" si="10"/>
        <v>1978</v>
      </c>
      <c r="S44" s="4">
        <f t="shared" si="15"/>
        <v>600</v>
      </c>
      <c r="T44">
        <f t="shared" si="16"/>
        <v>0</v>
      </c>
      <c r="U44">
        <f t="shared" si="17"/>
        <v>48</v>
      </c>
      <c r="V44" s="1" t="str">
        <f t="shared" si="18"/>
        <v>L3</v>
      </c>
      <c r="W44" s="2">
        <f t="shared" si="19"/>
        <v>12.5</v>
      </c>
      <c r="X44" s="2">
        <f t="shared" si="11"/>
        <v>0</v>
      </c>
      <c r="Y44" s="18">
        <f t="shared" si="20"/>
        <v>15.470296511368893</v>
      </c>
      <c r="Z44" s="18">
        <f t="shared" si="21"/>
        <v>0</v>
      </c>
      <c r="AA44" s="2">
        <f t="shared" si="12"/>
        <v>193.37870639211116</v>
      </c>
    </row>
    <row r="45" spans="1:27" ht="12.75">
      <c r="A45">
        <v>1979</v>
      </c>
      <c r="C45" s="36">
        <f t="shared" si="9"/>
        <v>313535</v>
      </c>
      <c r="D45" s="36">
        <v>0</v>
      </c>
      <c r="E45" s="36">
        <v>14111</v>
      </c>
      <c r="F45" s="36">
        <v>0</v>
      </c>
      <c r="G45" s="36">
        <f t="shared" si="0"/>
        <v>327646</v>
      </c>
      <c r="H45" s="27">
        <v>41.5</v>
      </c>
      <c r="I45" s="25">
        <v>0</v>
      </c>
      <c r="J45" s="25">
        <f t="shared" si="1"/>
        <v>0</v>
      </c>
      <c r="M45" s="4">
        <f t="shared" si="13"/>
        <v>14111</v>
      </c>
      <c r="N45" s="4">
        <f t="shared" si="14"/>
        <v>0</v>
      </c>
      <c r="R45" s="21">
        <f t="shared" si="10"/>
        <v>1979</v>
      </c>
      <c r="S45" s="4">
        <f t="shared" si="15"/>
        <v>14111</v>
      </c>
      <c r="T45">
        <f t="shared" si="16"/>
        <v>0</v>
      </c>
      <c r="U45">
        <f t="shared" si="17"/>
        <v>48</v>
      </c>
      <c r="V45" s="1" t="str">
        <f t="shared" si="18"/>
        <v>L3</v>
      </c>
      <c r="W45" s="2">
        <f t="shared" si="19"/>
        <v>293.9791666666667</v>
      </c>
      <c r="X45" s="2">
        <f t="shared" si="11"/>
        <v>0</v>
      </c>
      <c r="Y45" s="18">
        <f t="shared" si="20"/>
        <v>15.714452980874082</v>
      </c>
      <c r="Z45" s="18">
        <f t="shared" si="21"/>
        <v>0</v>
      </c>
      <c r="AA45" s="2">
        <f t="shared" si="12"/>
        <v>4619.721791939879</v>
      </c>
    </row>
    <row r="46" spans="1:27" ht="12.75">
      <c r="A46">
        <v>1980</v>
      </c>
      <c r="C46" s="36">
        <f t="shared" si="9"/>
        <v>327646</v>
      </c>
      <c r="D46" s="36">
        <v>0</v>
      </c>
      <c r="E46" s="36">
        <v>12740</v>
      </c>
      <c r="F46" s="36">
        <v>0</v>
      </c>
      <c r="G46" s="36">
        <f t="shared" si="0"/>
        <v>340386</v>
      </c>
      <c r="H46" s="27">
        <v>40.5</v>
      </c>
      <c r="I46" s="25">
        <v>0</v>
      </c>
      <c r="J46" s="25">
        <f t="shared" si="1"/>
        <v>0</v>
      </c>
      <c r="M46" s="4">
        <f t="shared" si="13"/>
        <v>12740</v>
      </c>
      <c r="N46" s="4">
        <f t="shared" si="14"/>
        <v>0</v>
      </c>
      <c r="R46" s="21">
        <f t="shared" si="10"/>
        <v>1980</v>
      </c>
      <c r="S46" s="4">
        <f t="shared" si="15"/>
        <v>12740</v>
      </c>
      <c r="T46">
        <f t="shared" si="16"/>
        <v>0</v>
      </c>
      <c r="U46">
        <f t="shared" si="17"/>
        <v>48</v>
      </c>
      <c r="V46" s="1" t="str">
        <f t="shared" si="18"/>
        <v>L3</v>
      </c>
      <c r="W46" s="2">
        <f t="shared" si="19"/>
        <v>265.4166666666667</v>
      </c>
      <c r="X46" s="2">
        <f t="shared" si="11"/>
        <v>0</v>
      </c>
      <c r="Y46" s="18">
        <f t="shared" si="20"/>
        <v>15.98269737135792</v>
      </c>
      <c r="Z46" s="18">
        <f t="shared" si="21"/>
        <v>0</v>
      </c>
      <c r="AA46" s="2">
        <f t="shared" si="12"/>
        <v>4242.074260647915</v>
      </c>
    </row>
    <row r="47" spans="1:27" ht="12.75">
      <c r="A47">
        <v>1981</v>
      </c>
      <c r="C47" s="36">
        <f t="shared" si="9"/>
        <v>340386</v>
      </c>
      <c r="D47" s="36">
        <v>0</v>
      </c>
      <c r="E47" s="36">
        <v>1020</v>
      </c>
      <c r="F47" s="36">
        <v>0</v>
      </c>
      <c r="G47" s="36">
        <f t="shared" si="0"/>
        <v>341406</v>
      </c>
      <c r="H47" s="27">
        <v>39.5</v>
      </c>
      <c r="I47" s="25">
        <v>0</v>
      </c>
      <c r="J47" s="25">
        <f t="shared" si="1"/>
        <v>0</v>
      </c>
      <c r="M47" s="4">
        <f t="shared" si="13"/>
        <v>1020</v>
      </c>
      <c r="N47" s="4">
        <f t="shared" si="14"/>
        <v>0</v>
      </c>
      <c r="R47" s="21">
        <f t="shared" si="10"/>
        <v>1981</v>
      </c>
      <c r="S47" s="4">
        <f t="shared" si="15"/>
        <v>1020</v>
      </c>
      <c r="T47">
        <f t="shared" si="16"/>
        <v>0</v>
      </c>
      <c r="U47">
        <f t="shared" si="17"/>
        <v>48</v>
      </c>
      <c r="V47" s="1" t="str">
        <f t="shared" si="18"/>
        <v>L3</v>
      </c>
      <c r="W47" s="2">
        <f t="shared" si="19"/>
        <v>21.25</v>
      </c>
      <c r="X47" s="2">
        <f t="shared" si="11"/>
        <v>0</v>
      </c>
      <c r="Y47" s="18">
        <f t="shared" si="20"/>
        <v>16.27791188562075</v>
      </c>
      <c r="Z47" s="18">
        <f t="shared" si="21"/>
        <v>0</v>
      </c>
      <c r="AA47" s="2">
        <f t="shared" si="12"/>
        <v>345.9056275694409</v>
      </c>
    </row>
    <row r="48" spans="1:27" ht="12.75">
      <c r="A48">
        <v>1982</v>
      </c>
      <c r="C48" s="36">
        <f t="shared" si="9"/>
        <v>341406</v>
      </c>
      <c r="D48" s="36">
        <v>0</v>
      </c>
      <c r="E48" s="36">
        <v>640</v>
      </c>
      <c r="F48" s="36">
        <v>0</v>
      </c>
      <c r="G48" s="36">
        <f t="shared" si="0"/>
        <v>342046</v>
      </c>
      <c r="H48" s="27">
        <v>38.5</v>
      </c>
      <c r="I48" s="25">
        <v>0</v>
      </c>
      <c r="J48" s="25">
        <f t="shared" si="1"/>
        <v>0</v>
      </c>
      <c r="M48" s="4">
        <f t="shared" si="13"/>
        <v>640</v>
      </c>
      <c r="N48" s="4">
        <f t="shared" si="14"/>
        <v>0</v>
      </c>
      <c r="R48" s="21">
        <f t="shared" si="10"/>
        <v>1982</v>
      </c>
      <c r="S48" s="4">
        <f t="shared" si="15"/>
        <v>640</v>
      </c>
      <c r="T48">
        <f t="shared" si="16"/>
        <v>0</v>
      </c>
      <c r="U48">
        <f t="shared" si="17"/>
        <v>48</v>
      </c>
      <c r="V48" s="1" t="str">
        <f t="shared" si="18"/>
        <v>L3</v>
      </c>
      <c r="W48" s="2">
        <f t="shared" si="19"/>
        <v>13.333333333333334</v>
      </c>
      <c r="X48" s="2">
        <f t="shared" si="11"/>
        <v>0</v>
      </c>
      <c r="Y48" s="18">
        <f t="shared" si="20"/>
        <v>16.602740147895346</v>
      </c>
      <c r="Z48" s="18">
        <f t="shared" si="21"/>
        <v>0</v>
      </c>
      <c r="AA48" s="2">
        <f t="shared" si="12"/>
        <v>221.36986863860463</v>
      </c>
    </row>
    <row r="49" spans="1:27" ht="12.75">
      <c r="A49">
        <v>1983</v>
      </c>
      <c r="C49" s="36">
        <f t="shared" si="9"/>
        <v>342046</v>
      </c>
      <c r="D49" s="36">
        <v>0</v>
      </c>
      <c r="E49" s="36">
        <v>0</v>
      </c>
      <c r="F49" s="36">
        <v>0</v>
      </c>
      <c r="G49" s="36">
        <f t="shared" si="0"/>
        <v>342046</v>
      </c>
      <c r="H49" s="27">
        <v>37.5</v>
      </c>
      <c r="I49" s="25">
        <v>0</v>
      </c>
      <c r="J49" s="25">
        <f t="shared" si="1"/>
        <v>0</v>
      </c>
      <c r="M49" s="4">
        <f t="shared" si="13"/>
        <v>0</v>
      </c>
      <c r="N49" s="4">
        <f t="shared" si="14"/>
        <v>0</v>
      </c>
      <c r="R49" s="21">
        <f t="shared" si="10"/>
        <v>1983</v>
      </c>
      <c r="S49" s="4">
        <f t="shared" si="15"/>
        <v>0</v>
      </c>
      <c r="T49">
        <f t="shared" si="16"/>
        <v>0</v>
      </c>
      <c r="U49">
        <f t="shared" si="17"/>
        <v>48</v>
      </c>
      <c r="V49" s="1" t="str">
        <f t="shared" si="18"/>
        <v>L3</v>
      </c>
      <c r="W49" s="2">
        <f t="shared" si="19"/>
        <v>0</v>
      </c>
      <c r="X49" s="2">
        <f t="shared" si="11"/>
        <v>0</v>
      </c>
      <c r="Y49" s="18">
        <f t="shared" si="20"/>
        <v>16.959545060596096</v>
      </c>
      <c r="Z49" s="18">
        <f t="shared" si="21"/>
        <v>0</v>
      </c>
      <c r="AA49" s="2">
        <f t="shared" si="12"/>
        <v>0</v>
      </c>
    </row>
    <row r="50" spans="1:27" ht="12.75">
      <c r="A50">
        <v>1984</v>
      </c>
      <c r="C50" s="36">
        <f t="shared" si="9"/>
        <v>342046</v>
      </c>
      <c r="D50" s="36">
        <v>0</v>
      </c>
      <c r="E50" s="36">
        <v>483934</v>
      </c>
      <c r="F50" s="36">
        <v>23800</v>
      </c>
      <c r="G50" s="36">
        <f t="shared" si="0"/>
        <v>802180</v>
      </c>
      <c r="H50" s="27">
        <v>36.5</v>
      </c>
      <c r="I50" s="25">
        <v>0</v>
      </c>
      <c r="J50" s="25">
        <f t="shared" si="1"/>
        <v>0</v>
      </c>
      <c r="M50" s="4">
        <f t="shared" si="13"/>
        <v>483934</v>
      </c>
      <c r="N50" s="4">
        <f t="shared" si="14"/>
        <v>23800</v>
      </c>
      <c r="R50" s="21">
        <f t="shared" si="10"/>
        <v>1984</v>
      </c>
      <c r="S50" s="4">
        <f t="shared" si="15"/>
        <v>483934</v>
      </c>
      <c r="T50">
        <f t="shared" si="16"/>
        <v>0</v>
      </c>
      <c r="U50">
        <f t="shared" si="17"/>
        <v>48</v>
      </c>
      <c r="V50" s="1" t="str">
        <f t="shared" si="18"/>
        <v>L3</v>
      </c>
      <c r="W50" s="2">
        <f t="shared" si="19"/>
        <v>10081.958333333334</v>
      </c>
      <c r="X50" s="2">
        <f t="shared" si="11"/>
        <v>0</v>
      </c>
      <c r="Y50" s="18">
        <f t="shared" si="20"/>
        <v>17.350367786156102</v>
      </c>
      <c r="Z50" s="18">
        <f t="shared" si="21"/>
        <v>0</v>
      </c>
      <c r="AA50" s="2">
        <f t="shared" si="12"/>
        <v>174925.68508803475</v>
      </c>
    </row>
    <row r="51" spans="1:27" ht="12.75">
      <c r="A51">
        <v>1985</v>
      </c>
      <c r="C51" s="36">
        <f t="shared" si="9"/>
        <v>802180</v>
      </c>
      <c r="D51" s="36">
        <v>0</v>
      </c>
      <c r="E51" s="36">
        <v>77490</v>
      </c>
      <c r="F51" s="36">
        <v>53250</v>
      </c>
      <c r="G51" s="36">
        <f t="shared" si="0"/>
        <v>826420</v>
      </c>
      <c r="H51" s="27">
        <v>35.5</v>
      </c>
      <c r="I51" s="25">
        <v>0</v>
      </c>
      <c r="J51" s="25">
        <f t="shared" si="1"/>
        <v>0</v>
      </c>
      <c r="M51" s="4">
        <f t="shared" si="13"/>
        <v>77490</v>
      </c>
      <c r="N51" s="4">
        <f t="shared" si="14"/>
        <v>53250</v>
      </c>
      <c r="R51" s="21">
        <f t="shared" si="10"/>
        <v>1985</v>
      </c>
      <c r="S51" s="4">
        <f t="shared" si="15"/>
        <v>77490</v>
      </c>
      <c r="T51">
        <f t="shared" si="16"/>
        <v>0</v>
      </c>
      <c r="U51">
        <f t="shared" si="17"/>
        <v>48</v>
      </c>
      <c r="V51" s="1" t="str">
        <f t="shared" si="18"/>
        <v>L3</v>
      </c>
      <c r="W51" s="2">
        <f t="shared" si="19"/>
        <v>1614.375</v>
      </c>
      <c r="X51" s="2">
        <f t="shared" si="11"/>
        <v>0</v>
      </c>
      <c r="Y51" s="18">
        <f t="shared" si="20"/>
        <v>17.776886726416954</v>
      </c>
      <c r="Z51" s="18">
        <f t="shared" si="21"/>
        <v>0</v>
      </c>
      <c r="AA51" s="2">
        <f t="shared" si="12"/>
        <v>28698.56150895937</v>
      </c>
    </row>
    <row r="52" spans="1:27" ht="12.75">
      <c r="A52">
        <v>1986</v>
      </c>
      <c r="C52" s="36">
        <f aca="true" t="shared" si="22" ref="C52:C68">G51</f>
        <v>826420</v>
      </c>
      <c r="D52" s="36">
        <f>-22818</f>
        <v>-22818</v>
      </c>
      <c r="E52" s="36">
        <f>25021-1762+373967</f>
        <v>397226</v>
      </c>
      <c r="F52" s="36">
        <f>38250-38250</f>
        <v>0</v>
      </c>
      <c r="G52" s="36">
        <f aca="true" t="shared" si="23" ref="G52:G68">C52+D52+E52-F52</f>
        <v>1200828</v>
      </c>
      <c r="H52" s="27">
        <v>34.5</v>
      </c>
      <c r="I52" s="25">
        <v>0</v>
      </c>
      <c r="J52" s="25">
        <f>IF(I52=0,0,ROUND((I52/D52/$G$94)+H52,1))</f>
        <v>0</v>
      </c>
      <c r="M52" s="4">
        <f t="shared" si="13"/>
        <v>374408</v>
      </c>
      <c r="N52" s="4">
        <f t="shared" si="14"/>
        <v>0</v>
      </c>
      <c r="R52" s="21">
        <f t="shared" si="10"/>
        <v>1986</v>
      </c>
      <c r="S52" s="4">
        <f t="shared" si="15"/>
        <v>397226</v>
      </c>
      <c r="T52">
        <f t="shared" si="16"/>
        <v>0</v>
      </c>
      <c r="U52">
        <f t="shared" si="17"/>
        <v>48</v>
      </c>
      <c r="V52" s="1" t="str">
        <f t="shared" si="18"/>
        <v>L3</v>
      </c>
      <c r="W52" s="2">
        <f t="shared" si="19"/>
        <v>8275.541666666666</v>
      </c>
      <c r="X52" s="2">
        <f t="shared" si="11"/>
        <v>0</v>
      </c>
      <c r="Y52" s="18">
        <f t="shared" si="20"/>
        <v>18.24037636768494</v>
      </c>
      <c r="Z52" s="18">
        <f t="shared" si="21"/>
        <v>0</v>
      </c>
      <c r="AA52" s="2">
        <f t="shared" si="12"/>
        <v>150948.9946464587</v>
      </c>
    </row>
    <row r="53" spans="1:27" ht="12.75">
      <c r="A53">
        <v>1987</v>
      </c>
      <c r="C53" s="36">
        <f t="shared" si="22"/>
        <v>1200828</v>
      </c>
      <c r="D53" s="36">
        <v>-117016</v>
      </c>
      <c r="E53" s="36">
        <f>395932-373967+20471</f>
        <v>42436</v>
      </c>
      <c r="F53" s="36">
        <f>24684</f>
        <v>24684</v>
      </c>
      <c r="G53" s="36">
        <f t="shared" si="23"/>
        <v>1101564</v>
      </c>
      <c r="H53" s="27">
        <v>33.5</v>
      </c>
      <c r="I53" s="25">
        <v>0</v>
      </c>
      <c r="J53" s="25">
        <f aca="true" t="shared" si="24" ref="J53:J66">IF(I53=0,0,ROUND((I53/D53/$G$94)+H53,1))</f>
        <v>0</v>
      </c>
      <c r="M53" s="4">
        <f t="shared" si="13"/>
        <v>-74580</v>
      </c>
      <c r="N53" s="4">
        <f t="shared" si="14"/>
        <v>24684</v>
      </c>
      <c r="R53" s="21">
        <f t="shared" si="10"/>
        <v>1987</v>
      </c>
      <c r="S53" s="4">
        <f t="shared" si="15"/>
        <v>42436</v>
      </c>
      <c r="T53">
        <f t="shared" si="16"/>
        <v>0</v>
      </c>
      <c r="U53">
        <f t="shared" si="17"/>
        <v>48</v>
      </c>
      <c r="V53" s="1" t="str">
        <f t="shared" si="18"/>
        <v>L3</v>
      </c>
      <c r="W53" s="2">
        <f t="shared" si="19"/>
        <v>884.0833333333334</v>
      </c>
      <c r="X53" s="2">
        <f t="shared" si="11"/>
        <v>0</v>
      </c>
      <c r="Y53" s="18">
        <f t="shared" si="20"/>
        <v>18.741667170997317</v>
      </c>
      <c r="Z53" s="18">
        <f t="shared" si="21"/>
        <v>0</v>
      </c>
      <c r="AA53" s="2">
        <f t="shared" si="12"/>
        <v>16569.19558475921</v>
      </c>
    </row>
    <row r="54" spans="1:27" ht="12.75">
      <c r="A54">
        <v>1988</v>
      </c>
      <c r="C54" s="36">
        <f t="shared" si="22"/>
        <v>1101564</v>
      </c>
      <c r="D54" s="36">
        <f>-126677+117016</f>
        <v>-9661</v>
      </c>
      <c r="E54" s="36">
        <f>20471-20471</f>
        <v>0</v>
      </c>
      <c r="F54" s="36">
        <f>24684-24684</f>
        <v>0</v>
      </c>
      <c r="G54" s="36">
        <f t="shared" si="23"/>
        <v>1091903</v>
      </c>
      <c r="H54" s="27">
        <v>32.5</v>
      </c>
      <c r="I54" s="25"/>
      <c r="J54" s="25">
        <f t="shared" si="24"/>
        <v>0</v>
      </c>
      <c r="M54" s="4">
        <f t="shared" si="13"/>
        <v>-9661</v>
      </c>
      <c r="N54" s="4">
        <f t="shared" si="14"/>
        <v>0</v>
      </c>
      <c r="R54" s="21">
        <f t="shared" si="10"/>
        <v>1988</v>
      </c>
      <c r="S54" s="4">
        <f t="shared" si="15"/>
        <v>0</v>
      </c>
      <c r="T54">
        <f t="shared" si="16"/>
        <v>0</v>
      </c>
      <c r="U54">
        <f t="shared" si="17"/>
        <v>48</v>
      </c>
      <c r="V54" s="1" t="str">
        <f t="shared" si="18"/>
        <v>L3</v>
      </c>
      <c r="W54" s="2">
        <f t="shared" si="19"/>
        <v>0</v>
      </c>
      <c r="X54" s="2">
        <f t="shared" si="11"/>
        <v>0</v>
      </c>
      <c r="Y54" s="18">
        <f t="shared" si="20"/>
        <v>19.28110918017916</v>
      </c>
      <c r="Z54" s="18">
        <f t="shared" si="21"/>
        <v>0</v>
      </c>
      <c r="AA54" s="2">
        <f t="shared" si="12"/>
        <v>0</v>
      </c>
    </row>
    <row r="55" spans="1:27" ht="12.75">
      <c r="A55">
        <v>1989</v>
      </c>
      <c r="C55" s="36">
        <f t="shared" si="22"/>
        <v>1091903</v>
      </c>
      <c r="D55" s="36">
        <v>0</v>
      </c>
      <c r="E55" s="36">
        <v>11796</v>
      </c>
      <c r="F55" s="36">
        <v>6000</v>
      </c>
      <c r="G55" s="36">
        <f t="shared" si="23"/>
        <v>1097699</v>
      </c>
      <c r="H55" s="27">
        <v>31.5</v>
      </c>
      <c r="I55" s="25">
        <v>0</v>
      </c>
      <c r="J55" s="25">
        <f t="shared" si="24"/>
        <v>0</v>
      </c>
      <c r="M55" s="4">
        <f t="shared" si="13"/>
        <v>11796</v>
      </c>
      <c r="N55" s="4">
        <f t="shared" si="14"/>
        <v>6000</v>
      </c>
      <c r="R55" s="21">
        <f t="shared" si="10"/>
        <v>1989</v>
      </c>
      <c r="S55" s="4">
        <f t="shared" si="15"/>
        <v>11796</v>
      </c>
      <c r="T55">
        <f t="shared" si="16"/>
        <v>0</v>
      </c>
      <c r="U55">
        <f t="shared" si="17"/>
        <v>48</v>
      </c>
      <c r="V55" s="1" t="str">
        <f t="shared" si="18"/>
        <v>L3</v>
      </c>
      <c r="W55" s="2">
        <f t="shared" si="19"/>
        <v>245.75</v>
      </c>
      <c r="X55" s="2">
        <f t="shared" si="11"/>
        <v>0</v>
      </c>
      <c r="Y55" s="18">
        <f t="shared" si="20"/>
        <v>19.85854350039624</v>
      </c>
      <c r="Z55" s="18">
        <f t="shared" si="21"/>
        <v>0</v>
      </c>
      <c r="AA55" s="2">
        <f t="shared" si="12"/>
        <v>4880.237065222376</v>
      </c>
    </row>
    <row r="56" spans="1:27" ht="12.75">
      <c r="A56">
        <v>1990</v>
      </c>
      <c r="C56" s="36">
        <f t="shared" si="22"/>
        <v>1097699</v>
      </c>
      <c r="D56" s="36">
        <v>0</v>
      </c>
      <c r="E56" s="36">
        <f>11796-11796</f>
        <v>0</v>
      </c>
      <c r="F56" s="36">
        <f>6000-6000</f>
        <v>0</v>
      </c>
      <c r="G56" s="36">
        <f t="shared" si="23"/>
        <v>1097699</v>
      </c>
      <c r="H56" s="27">
        <v>30.5</v>
      </c>
      <c r="I56" s="25">
        <v>0</v>
      </c>
      <c r="J56" s="25">
        <f t="shared" si="24"/>
        <v>0</v>
      </c>
      <c r="M56" s="4">
        <f t="shared" si="13"/>
        <v>0</v>
      </c>
      <c r="N56" s="4">
        <f t="shared" si="14"/>
        <v>0</v>
      </c>
      <c r="R56" s="21">
        <f t="shared" si="10"/>
        <v>1990</v>
      </c>
      <c r="S56" s="4">
        <f t="shared" si="15"/>
        <v>0</v>
      </c>
      <c r="T56">
        <f t="shared" si="16"/>
        <v>0</v>
      </c>
      <c r="U56">
        <f t="shared" si="17"/>
        <v>48</v>
      </c>
      <c r="V56" s="1" t="str">
        <f t="shared" si="18"/>
        <v>L3</v>
      </c>
      <c r="W56" s="2">
        <f t="shared" si="19"/>
        <v>0</v>
      </c>
      <c r="X56" s="2">
        <f t="shared" si="11"/>
        <v>0</v>
      </c>
      <c r="Y56" s="18">
        <f t="shared" si="20"/>
        <v>20.473287003860232</v>
      </c>
      <c r="Z56" s="18">
        <f t="shared" si="21"/>
        <v>0</v>
      </c>
      <c r="AA56" s="2">
        <f t="shared" si="12"/>
        <v>0</v>
      </c>
    </row>
    <row r="57" spans="1:27" ht="12.75">
      <c r="A57">
        <v>1991</v>
      </c>
      <c r="C57" s="36">
        <f t="shared" si="22"/>
        <v>1097699</v>
      </c>
      <c r="D57" s="36">
        <v>0</v>
      </c>
      <c r="E57" s="36">
        <f>1607+188727</f>
        <v>190334</v>
      </c>
      <c r="F57" s="36">
        <v>0</v>
      </c>
      <c r="G57" s="36">
        <f t="shared" si="23"/>
        <v>1288033</v>
      </c>
      <c r="H57" s="27">
        <v>29.5</v>
      </c>
      <c r="I57" s="25">
        <v>0</v>
      </c>
      <c r="J57" s="25">
        <f t="shared" si="24"/>
        <v>0</v>
      </c>
      <c r="M57" s="4">
        <f t="shared" si="13"/>
        <v>190334</v>
      </c>
      <c r="N57" s="4">
        <f t="shared" si="14"/>
        <v>0</v>
      </c>
      <c r="R57" s="21">
        <f t="shared" si="10"/>
        <v>1991</v>
      </c>
      <c r="S57" s="4">
        <f t="shared" si="15"/>
        <v>190334</v>
      </c>
      <c r="T57">
        <f t="shared" si="16"/>
        <v>0</v>
      </c>
      <c r="U57">
        <f t="shared" si="17"/>
        <v>48</v>
      </c>
      <c r="V57" s="1" t="str">
        <f t="shared" si="18"/>
        <v>L3</v>
      </c>
      <c r="W57" s="2">
        <f t="shared" si="19"/>
        <v>3965.2916666666665</v>
      </c>
      <c r="X57" s="2">
        <f t="shared" si="11"/>
        <v>0</v>
      </c>
      <c r="Y57" s="18">
        <f t="shared" si="20"/>
        <v>21.124136224632952</v>
      </c>
      <c r="Z57" s="18">
        <f t="shared" si="21"/>
        <v>0</v>
      </c>
      <c r="AA57" s="2">
        <f t="shared" si="12"/>
        <v>83763.3613370685</v>
      </c>
    </row>
    <row r="58" spans="1:27" ht="12.75">
      <c r="A58">
        <v>1992</v>
      </c>
      <c r="C58" s="36">
        <f t="shared" si="22"/>
        <v>1288033</v>
      </c>
      <c r="D58" s="36">
        <v>0</v>
      </c>
      <c r="E58" s="36">
        <f>188728-188727+12180</f>
        <v>12181</v>
      </c>
      <c r="F58" s="36">
        <v>0</v>
      </c>
      <c r="G58" s="36">
        <f t="shared" si="23"/>
        <v>1300214</v>
      </c>
      <c r="H58" s="27">
        <v>28.5</v>
      </c>
      <c r="I58" s="25"/>
      <c r="J58" s="25">
        <f t="shared" si="24"/>
        <v>0</v>
      </c>
      <c r="M58" s="4">
        <f t="shared" si="13"/>
        <v>12181</v>
      </c>
      <c r="N58" s="4">
        <f t="shared" si="14"/>
        <v>0</v>
      </c>
      <c r="R58" s="21">
        <f t="shared" si="10"/>
        <v>1992</v>
      </c>
      <c r="S58" s="4">
        <f t="shared" si="15"/>
        <v>12181</v>
      </c>
      <c r="T58">
        <f t="shared" si="16"/>
        <v>0</v>
      </c>
      <c r="U58">
        <f t="shared" si="17"/>
        <v>48</v>
      </c>
      <c r="V58" s="1" t="str">
        <f t="shared" si="18"/>
        <v>L3</v>
      </c>
      <c r="W58" s="2">
        <f t="shared" si="19"/>
        <v>253.77083333333334</v>
      </c>
      <c r="X58" s="2">
        <f t="shared" si="11"/>
        <v>0</v>
      </c>
      <c r="Y58" s="18">
        <f t="shared" si="20"/>
        <v>21.809396069720606</v>
      </c>
      <c r="Z58" s="18">
        <f t="shared" si="21"/>
        <v>0</v>
      </c>
      <c r="AA58" s="2">
        <f t="shared" si="12"/>
        <v>5534.588615109723</v>
      </c>
    </row>
    <row r="59" spans="1:27" ht="12.75">
      <c r="A59">
        <v>1993</v>
      </c>
      <c r="C59" s="36">
        <f t="shared" si="22"/>
        <v>1300214</v>
      </c>
      <c r="D59" s="36">
        <v>0</v>
      </c>
      <c r="E59" s="36">
        <f>12178-12180</f>
        <v>-2</v>
      </c>
      <c r="F59" s="36">
        <v>0</v>
      </c>
      <c r="G59" s="36">
        <f t="shared" si="23"/>
        <v>1300212</v>
      </c>
      <c r="H59" s="27">
        <v>27.5</v>
      </c>
      <c r="I59" s="25"/>
      <c r="J59" s="25">
        <f t="shared" si="24"/>
        <v>0</v>
      </c>
      <c r="M59" s="4">
        <f t="shared" si="13"/>
        <v>-2</v>
      </c>
      <c r="N59" s="4">
        <f t="shared" si="14"/>
        <v>0</v>
      </c>
      <c r="R59" s="21">
        <f t="shared" si="10"/>
        <v>1993</v>
      </c>
      <c r="S59" s="4">
        <f t="shared" si="15"/>
        <v>-2</v>
      </c>
      <c r="T59">
        <f t="shared" si="16"/>
        <v>0</v>
      </c>
      <c r="U59">
        <f t="shared" si="17"/>
        <v>48</v>
      </c>
      <c r="V59" s="1" t="str">
        <f t="shared" si="18"/>
        <v>L3</v>
      </c>
      <c r="W59" s="2">
        <f t="shared" si="19"/>
        <v>-0.041666666666666664</v>
      </c>
      <c r="X59" s="2">
        <f t="shared" si="11"/>
        <v>0</v>
      </c>
      <c r="Y59" s="18">
        <f t="shared" si="20"/>
        <v>22.526937417080205</v>
      </c>
      <c r="Z59" s="18">
        <f t="shared" si="21"/>
        <v>0</v>
      </c>
      <c r="AA59" s="2">
        <f t="shared" si="12"/>
        <v>-0.9386223923783419</v>
      </c>
    </row>
    <row r="60" spans="1:27" ht="12.75">
      <c r="A60">
        <v>1994</v>
      </c>
      <c r="C60" s="36">
        <f t="shared" si="22"/>
        <v>1300212</v>
      </c>
      <c r="D60" s="36">
        <f>-40367</f>
        <v>-40367</v>
      </c>
      <c r="E60" s="36">
        <f>8004</f>
        <v>8004</v>
      </c>
      <c r="F60" s="36">
        <v>0</v>
      </c>
      <c r="G60" s="36">
        <f t="shared" si="23"/>
        <v>1267849</v>
      </c>
      <c r="H60" s="27">
        <v>26.5</v>
      </c>
      <c r="I60" s="25">
        <v>0</v>
      </c>
      <c r="J60" s="25">
        <f t="shared" si="24"/>
        <v>0</v>
      </c>
      <c r="M60" s="4">
        <f t="shared" si="13"/>
        <v>-32363</v>
      </c>
      <c r="N60" s="4">
        <f t="shared" si="14"/>
        <v>0</v>
      </c>
      <c r="R60" s="21">
        <f t="shared" si="10"/>
        <v>1994</v>
      </c>
      <c r="S60" s="4">
        <f t="shared" si="15"/>
        <v>8004</v>
      </c>
      <c r="T60">
        <f t="shared" si="16"/>
        <v>0</v>
      </c>
      <c r="U60">
        <f t="shared" si="17"/>
        <v>48</v>
      </c>
      <c r="V60" s="1" t="str">
        <f t="shared" si="18"/>
        <v>L3</v>
      </c>
      <c r="W60" s="2">
        <f t="shared" si="19"/>
        <v>166.75</v>
      </c>
      <c r="X60" s="2">
        <f t="shared" si="11"/>
        <v>0</v>
      </c>
      <c r="Y60" s="18">
        <f t="shared" si="20"/>
        <v>23.274284781334075</v>
      </c>
      <c r="Z60" s="18">
        <f t="shared" si="21"/>
        <v>0</v>
      </c>
      <c r="AA60" s="2">
        <f t="shared" si="12"/>
        <v>3880.986987287457</v>
      </c>
    </row>
    <row r="61" spans="1:27" ht="12.75">
      <c r="A61">
        <v>1995</v>
      </c>
      <c r="C61" s="36">
        <f t="shared" si="22"/>
        <v>1267849</v>
      </c>
      <c r="D61" s="36">
        <v>0</v>
      </c>
      <c r="E61" s="36">
        <v>0</v>
      </c>
      <c r="F61" s="36">
        <v>0</v>
      </c>
      <c r="G61" s="36">
        <f t="shared" si="23"/>
        <v>1267849</v>
      </c>
      <c r="H61" s="27">
        <v>25.5</v>
      </c>
      <c r="I61" s="25"/>
      <c r="J61" s="25">
        <f t="shared" si="24"/>
        <v>0</v>
      </c>
      <c r="M61" s="4">
        <f t="shared" si="13"/>
        <v>0</v>
      </c>
      <c r="N61" s="4">
        <f t="shared" si="14"/>
        <v>0</v>
      </c>
      <c r="R61" s="21">
        <f t="shared" si="10"/>
        <v>1995</v>
      </c>
      <c r="S61" s="4">
        <f t="shared" si="15"/>
        <v>0</v>
      </c>
      <c r="T61">
        <f t="shared" si="16"/>
        <v>0</v>
      </c>
      <c r="U61">
        <f t="shared" si="17"/>
        <v>48</v>
      </c>
      <c r="V61" s="1" t="str">
        <f t="shared" si="18"/>
        <v>L3</v>
      </c>
      <c r="W61" s="2">
        <f t="shared" si="19"/>
        <v>0</v>
      </c>
      <c r="X61" s="2">
        <f t="shared" si="11"/>
        <v>0</v>
      </c>
      <c r="Y61" s="18">
        <f t="shared" si="20"/>
        <v>24.048731180574702</v>
      </c>
      <c r="Z61" s="18">
        <f t="shared" si="21"/>
        <v>0</v>
      </c>
      <c r="AA61" s="2">
        <f t="shared" si="12"/>
        <v>0</v>
      </c>
    </row>
    <row r="62" spans="1:27" ht="12.75">
      <c r="A62">
        <v>1996</v>
      </c>
      <c r="C62" s="36">
        <f t="shared" si="22"/>
        <v>1267849</v>
      </c>
      <c r="D62" s="36">
        <v>0</v>
      </c>
      <c r="E62" s="36">
        <v>0</v>
      </c>
      <c r="F62" s="36">
        <v>0</v>
      </c>
      <c r="G62" s="36">
        <f t="shared" si="23"/>
        <v>1267849</v>
      </c>
      <c r="H62" s="27">
        <v>24.5</v>
      </c>
      <c r="I62" s="25">
        <v>0</v>
      </c>
      <c r="J62" s="25">
        <f t="shared" si="24"/>
        <v>0</v>
      </c>
      <c r="M62" s="4">
        <f t="shared" si="13"/>
        <v>0</v>
      </c>
      <c r="N62" s="4">
        <f t="shared" si="14"/>
        <v>0</v>
      </c>
      <c r="R62" s="21">
        <f t="shared" si="10"/>
        <v>1996</v>
      </c>
      <c r="S62" s="4">
        <f t="shared" si="15"/>
        <v>0</v>
      </c>
      <c r="T62">
        <f t="shared" si="16"/>
        <v>0</v>
      </c>
      <c r="U62">
        <f t="shared" si="17"/>
        <v>48</v>
      </c>
      <c r="V62" s="1" t="str">
        <f t="shared" si="18"/>
        <v>L3</v>
      </c>
      <c r="W62" s="2">
        <f t="shared" si="19"/>
        <v>0</v>
      </c>
      <c r="X62" s="2">
        <f t="shared" si="11"/>
        <v>0</v>
      </c>
      <c r="Y62" s="18">
        <f t="shared" si="20"/>
        <v>24.847472671962148</v>
      </c>
      <c r="Z62" s="18">
        <f t="shared" si="21"/>
        <v>0</v>
      </c>
      <c r="AA62" s="2">
        <f t="shared" si="12"/>
        <v>0</v>
      </c>
    </row>
    <row r="63" spans="1:27" ht="12.75">
      <c r="A63">
        <v>1997</v>
      </c>
      <c r="C63" s="36">
        <f t="shared" si="22"/>
        <v>1267849</v>
      </c>
      <c r="D63" s="36">
        <v>0</v>
      </c>
      <c r="E63" s="36">
        <v>0</v>
      </c>
      <c r="F63" s="36">
        <v>0</v>
      </c>
      <c r="G63" s="36">
        <f t="shared" si="23"/>
        <v>1267849</v>
      </c>
      <c r="H63" s="27">
        <v>23.5</v>
      </c>
      <c r="I63" s="25"/>
      <c r="J63" s="25">
        <f t="shared" si="24"/>
        <v>0</v>
      </c>
      <c r="M63" s="4">
        <f t="shared" si="13"/>
        <v>0</v>
      </c>
      <c r="N63" s="4">
        <f t="shared" si="14"/>
        <v>0</v>
      </c>
      <c r="R63" s="21">
        <f t="shared" si="10"/>
        <v>1997</v>
      </c>
      <c r="S63" s="4">
        <f t="shared" si="15"/>
        <v>0</v>
      </c>
      <c r="T63">
        <f t="shared" si="16"/>
        <v>0</v>
      </c>
      <c r="U63">
        <f t="shared" si="17"/>
        <v>48</v>
      </c>
      <c r="V63" s="1" t="str">
        <f t="shared" si="18"/>
        <v>L3</v>
      </c>
      <c r="W63" s="2">
        <f t="shared" si="19"/>
        <v>0</v>
      </c>
      <c r="X63" s="2">
        <f t="shared" si="11"/>
        <v>0</v>
      </c>
      <c r="Y63" s="18">
        <f t="shared" si="20"/>
        <v>25.66775062459272</v>
      </c>
      <c r="Z63" s="18">
        <f t="shared" si="21"/>
        <v>0</v>
      </c>
      <c r="AA63" s="2">
        <f t="shared" si="12"/>
        <v>0</v>
      </c>
    </row>
    <row r="64" spans="1:27" ht="12.75">
      <c r="A64">
        <v>1998</v>
      </c>
      <c r="C64" s="36">
        <f t="shared" si="22"/>
        <v>1267849</v>
      </c>
      <c r="D64" s="36">
        <v>0</v>
      </c>
      <c r="E64" s="36">
        <v>8440</v>
      </c>
      <c r="F64" s="36">
        <v>0</v>
      </c>
      <c r="G64" s="36">
        <f t="shared" si="23"/>
        <v>1276289</v>
      </c>
      <c r="H64" s="27">
        <v>22.5</v>
      </c>
      <c r="I64" s="25"/>
      <c r="J64" s="25">
        <f t="shared" si="24"/>
        <v>0</v>
      </c>
      <c r="M64" s="4">
        <f t="shared" si="13"/>
        <v>8440</v>
      </c>
      <c r="N64" s="4">
        <f t="shared" si="14"/>
        <v>0</v>
      </c>
      <c r="R64" s="21">
        <f t="shared" si="10"/>
        <v>1998</v>
      </c>
      <c r="S64" s="4">
        <f t="shared" si="15"/>
        <v>8440</v>
      </c>
      <c r="T64">
        <f t="shared" si="16"/>
        <v>0</v>
      </c>
      <c r="U64">
        <f t="shared" si="17"/>
        <v>48</v>
      </c>
      <c r="V64" s="1" t="str">
        <f t="shared" si="18"/>
        <v>L3</v>
      </c>
      <c r="W64" s="2">
        <f t="shared" si="19"/>
        <v>175.83333333333334</v>
      </c>
      <c r="X64" s="2">
        <f t="shared" si="11"/>
        <v>0</v>
      </c>
      <c r="Y64" s="18">
        <f t="shared" si="20"/>
        <v>26.506986744518453</v>
      </c>
      <c r="Z64" s="18">
        <f t="shared" si="21"/>
        <v>0</v>
      </c>
      <c r="AA64" s="2">
        <f t="shared" si="12"/>
        <v>4660.811835911161</v>
      </c>
    </row>
    <row r="65" spans="1:27" ht="12.75">
      <c r="A65">
        <v>1999</v>
      </c>
      <c r="C65" s="36">
        <f t="shared" si="22"/>
        <v>1276289</v>
      </c>
      <c r="D65" s="36">
        <v>519600</v>
      </c>
      <c r="E65" s="36">
        <v>0</v>
      </c>
      <c r="F65" s="36">
        <v>0</v>
      </c>
      <c r="G65" s="36">
        <f t="shared" si="23"/>
        <v>1795889</v>
      </c>
      <c r="H65" s="27">
        <v>21.5</v>
      </c>
      <c r="I65" s="25">
        <v>518068</v>
      </c>
      <c r="J65" s="25">
        <f t="shared" si="24"/>
        <v>43.7</v>
      </c>
      <c r="M65" s="4">
        <f t="shared" si="13"/>
        <v>519600</v>
      </c>
      <c r="N65" s="4">
        <f t="shared" si="14"/>
        <v>0</v>
      </c>
      <c r="R65" s="21">
        <f t="shared" si="10"/>
        <v>1999</v>
      </c>
      <c r="S65" s="4">
        <f t="shared" si="15"/>
        <v>0</v>
      </c>
      <c r="T65">
        <f t="shared" si="16"/>
        <v>519600</v>
      </c>
      <c r="U65">
        <f t="shared" si="17"/>
        <v>48</v>
      </c>
      <c r="V65" s="1" t="str">
        <f t="shared" si="18"/>
        <v>L3</v>
      </c>
      <c r="W65" s="2">
        <f t="shared" si="19"/>
        <v>0</v>
      </c>
      <c r="X65" s="2">
        <f t="shared" si="11"/>
        <v>10825</v>
      </c>
      <c r="Y65" s="18">
        <f t="shared" si="20"/>
        <v>27.362895156501235</v>
      </c>
      <c r="Z65" s="18">
        <f t="shared" si="21"/>
        <v>0</v>
      </c>
      <c r="AA65" s="2">
        <f t="shared" si="12"/>
        <v>0</v>
      </c>
    </row>
    <row r="66" spans="1:27" ht="12.75">
      <c r="A66">
        <v>2000</v>
      </c>
      <c r="C66" s="36">
        <f t="shared" si="22"/>
        <v>1795889</v>
      </c>
      <c r="D66" s="36">
        <v>0</v>
      </c>
      <c r="E66" s="36">
        <v>26345</v>
      </c>
      <c r="F66" s="36">
        <v>0</v>
      </c>
      <c r="G66" s="36">
        <f t="shared" si="23"/>
        <v>1822234</v>
      </c>
      <c r="H66" s="27">
        <v>20.5</v>
      </c>
      <c r="I66" s="25"/>
      <c r="J66" s="25">
        <f t="shared" si="24"/>
        <v>0</v>
      </c>
      <c r="M66" s="4">
        <f t="shared" si="13"/>
        <v>26345</v>
      </c>
      <c r="N66" s="4">
        <f t="shared" si="14"/>
        <v>0</v>
      </c>
      <c r="R66" s="21">
        <f t="shared" si="10"/>
        <v>2000</v>
      </c>
      <c r="S66" s="4">
        <f t="shared" si="15"/>
        <v>26345</v>
      </c>
      <c r="T66">
        <f t="shared" si="16"/>
        <v>0</v>
      </c>
      <c r="U66">
        <f t="shared" si="17"/>
        <v>48</v>
      </c>
      <c r="V66" s="1" t="str">
        <f t="shared" si="18"/>
        <v>L3</v>
      </c>
      <c r="W66" s="2">
        <f t="shared" si="19"/>
        <v>548.8541666666666</v>
      </c>
      <c r="X66" s="2">
        <f t="shared" si="11"/>
        <v>0</v>
      </c>
      <c r="Y66" s="18">
        <f t="shared" si="20"/>
        <v>28.233558064555265</v>
      </c>
      <c r="Z66" s="18">
        <f t="shared" si="21"/>
        <v>0</v>
      </c>
      <c r="AA66" s="2">
        <f t="shared" si="12"/>
        <v>15496.105983556425</v>
      </c>
    </row>
    <row r="67" spans="1:27" ht="12.75">
      <c r="A67">
        <v>2001</v>
      </c>
      <c r="C67" s="36">
        <f t="shared" si="22"/>
        <v>1822234</v>
      </c>
      <c r="D67" s="36">
        <v>-415000</v>
      </c>
      <c r="E67" s="36">
        <v>0</v>
      </c>
      <c r="F67" s="36">
        <v>0</v>
      </c>
      <c r="G67" s="36">
        <f t="shared" si="23"/>
        <v>1407234</v>
      </c>
      <c r="H67" s="27">
        <v>19.5</v>
      </c>
      <c r="I67" s="26">
        <v>0</v>
      </c>
      <c r="J67" s="25">
        <f>IF(I67=0,0,ROUND((I67/D67/$G$94)+H71,1))</f>
        <v>0</v>
      </c>
      <c r="M67" s="4">
        <f t="shared" si="13"/>
        <v>-415000</v>
      </c>
      <c r="N67" s="4">
        <f t="shared" si="14"/>
        <v>0</v>
      </c>
      <c r="R67" s="21">
        <f t="shared" si="10"/>
        <v>2001</v>
      </c>
      <c r="S67" s="4">
        <f t="shared" si="15"/>
        <v>0</v>
      </c>
      <c r="T67">
        <f t="shared" si="16"/>
        <v>0</v>
      </c>
      <c r="U67">
        <f t="shared" si="17"/>
        <v>48</v>
      </c>
      <c r="V67" s="1" t="str">
        <f t="shared" si="18"/>
        <v>L3</v>
      </c>
      <c r="W67" s="2">
        <f t="shared" si="19"/>
        <v>0</v>
      </c>
      <c r="X67" s="2">
        <f t="shared" si="11"/>
        <v>0</v>
      </c>
      <c r="Y67" s="18">
        <f t="shared" si="20"/>
        <v>29.11745655921596</v>
      </c>
      <c r="Z67" s="18">
        <f t="shared" si="21"/>
        <v>0</v>
      </c>
      <c r="AA67" s="2">
        <f t="shared" si="12"/>
        <v>0</v>
      </c>
    </row>
    <row r="68" spans="1:27" ht="12.75">
      <c r="A68">
        <v>2002</v>
      </c>
      <c r="C68" s="36">
        <f t="shared" si="22"/>
        <v>1407234</v>
      </c>
      <c r="D68" s="36">
        <v>0</v>
      </c>
      <c r="E68" s="36">
        <v>6074.03</v>
      </c>
      <c r="F68" s="36">
        <v>0</v>
      </c>
      <c r="G68" s="36">
        <f t="shared" si="23"/>
        <v>1413308.03</v>
      </c>
      <c r="H68" s="27">
        <v>18.5</v>
      </c>
      <c r="I68" s="25">
        <v>0</v>
      </c>
      <c r="J68" s="25">
        <f>IF(I68=0,0,ROUND((I68/D68/$G$94)+H72,1))</f>
        <v>0</v>
      </c>
      <c r="M68" s="4">
        <f t="shared" si="13"/>
        <v>6074.03</v>
      </c>
      <c r="N68" s="4">
        <f t="shared" si="14"/>
        <v>0</v>
      </c>
      <c r="R68" s="21">
        <f t="shared" si="10"/>
        <v>2002</v>
      </c>
      <c r="S68" s="4">
        <f t="shared" si="15"/>
        <v>6074.03</v>
      </c>
      <c r="T68">
        <f t="shared" si="16"/>
        <v>0</v>
      </c>
      <c r="U68">
        <f t="shared" si="17"/>
        <v>48</v>
      </c>
      <c r="V68" s="1" t="str">
        <f t="shared" si="18"/>
        <v>L3</v>
      </c>
      <c r="W68" s="2">
        <f t="shared" si="19"/>
        <v>126.54229166666666</v>
      </c>
      <c r="X68" s="2">
        <f t="shared" si="11"/>
        <v>0</v>
      </c>
      <c r="Y68" s="18">
        <f t="shared" si="20"/>
        <v>30.01345514046096</v>
      </c>
      <c r="Z68" s="18">
        <f t="shared" si="21"/>
        <v>0</v>
      </c>
      <c r="AA68" s="2">
        <f t="shared" si="12"/>
        <v>3797.9713943086263</v>
      </c>
    </row>
    <row r="69" spans="1:27" ht="12.75">
      <c r="A69">
        <v>2003</v>
      </c>
      <c r="C69" s="36">
        <f aca="true" t="shared" si="25" ref="C69:C75">G68</f>
        <v>1413308.03</v>
      </c>
      <c r="D69" s="36">
        <v>0</v>
      </c>
      <c r="E69" s="36">
        <v>443449</v>
      </c>
      <c r="F69" s="36">
        <v>0</v>
      </c>
      <c r="G69" s="36">
        <f aca="true" t="shared" si="26" ref="G69:G75">C69+D69+E69-F69</f>
        <v>1856757.03</v>
      </c>
      <c r="H69" s="27">
        <v>17.5</v>
      </c>
      <c r="I69" s="25"/>
      <c r="J69" s="25"/>
      <c r="M69" s="4">
        <f t="shared" si="13"/>
        <v>443449</v>
      </c>
      <c r="N69" s="4">
        <f t="shared" si="14"/>
        <v>0</v>
      </c>
      <c r="R69" s="21">
        <f>A69</f>
        <v>2003</v>
      </c>
      <c r="S69" s="4">
        <f aca="true" t="shared" si="27" ref="S69:S75">E69</f>
        <v>443449</v>
      </c>
      <c r="T69">
        <f aca="true" t="shared" si="28" ref="T69:T75">IF(D69&gt;0,IF(J69&gt;0,D69,0),0)</f>
        <v>0</v>
      </c>
      <c r="U69">
        <f t="shared" si="17"/>
        <v>48</v>
      </c>
      <c r="V69" s="1" t="str">
        <f t="shared" si="18"/>
        <v>L3</v>
      </c>
      <c r="W69" s="2">
        <f aca="true" t="shared" si="29" ref="W69:W75">S69/U69</f>
        <v>9238.520833333334</v>
      </c>
      <c r="X69" s="2">
        <f aca="true" t="shared" si="30" ref="X69:X75">T69/U69</f>
        <v>0</v>
      </c>
      <c r="Y69" s="18">
        <f t="shared" si="20"/>
        <v>30.920745989385214</v>
      </c>
      <c r="Z69" s="18">
        <f t="shared" si="21"/>
        <v>0</v>
      </c>
      <c r="AA69" s="2">
        <f t="shared" si="12"/>
        <v>285661.9560051434</v>
      </c>
    </row>
    <row r="70" spans="1:27" ht="12.75">
      <c r="A70">
        <v>2004</v>
      </c>
      <c r="C70" s="36">
        <f t="shared" si="25"/>
        <v>1856757.03</v>
      </c>
      <c r="D70" s="36">
        <v>0</v>
      </c>
      <c r="E70" s="36">
        <v>17735</v>
      </c>
      <c r="F70" s="36">
        <v>221236</v>
      </c>
      <c r="G70" s="36">
        <f t="shared" si="26"/>
        <v>1653256.03</v>
      </c>
      <c r="H70" s="27">
        <v>16.5</v>
      </c>
      <c r="I70" s="25"/>
      <c r="J70" s="25"/>
      <c r="M70" s="4">
        <f t="shared" si="13"/>
        <v>17735</v>
      </c>
      <c r="N70" s="4">
        <f t="shared" si="14"/>
        <v>221236</v>
      </c>
      <c r="R70" s="21">
        <f>A70</f>
        <v>2004</v>
      </c>
      <c r="S70" s="4">
        <f t="shared" si="27"/>
        <v>17735</v>
      </c>
      <c r="T70">
        <f t="shared" si="28"/>
        <v>0</v>
      </c>
      <c r="U70">
        <f t="shared" si="17"/>
        <v>48</v>
      </c>
      <c r="V70" s="1" t="str">
        <f t="shared" si="18"/>
        <v>L3</v>
      </c>
      <c r="W70" s="2">
        <f t="shared" si="29"/>
        <v>369.4791666666667</v>
      </c>
      <c r="X70" s="2">
        <f t="shared" si="30"/>
        <v>0</v>
      </c>
      <c r="Y70" s="18">
        <f t="shared" si="20"/>
        <v>31.838765214555053</v>
      </c>
      <c r="Z70" s="18">
        <f t="shared" si="21"/>
        <v>0</v>
      </c>
      <c r="AA70" s="2">
        <f t="shared" si="12"/>
        <v>11763.760439169457</v>
      </c>
    </row>
    <row r="71" spans="1:27" ht="12.75">
      <c r="A71">
        <v>2005</v>
      </c>
      <c r="C71" s="36">
        <f t="shared" si="25"/>
        <v>1653256.03</v>
      </c>
      <c r="D71" s="36">
        <v>1622</v>
      </c>
      <c r="E71" s="36">
        <v>0</v>
      </c>
      <c r="F71" s="36">
        <v>0</v>
      </c>
      <c r="G71" s="36">
        <f t="shared" si="26"/>
        <v>1654878.03</v>
      </c>
      <c r="H71" s="27">
        <v>15.5</v>
      </c>
      <c r="I71" s="25"/>
      <c r="J71" s="25"/>
      <c r="M71" s="4">
        <f t="shared" si="13"/>
        <v>1622</v>
      </c>
      <c r="N71" s="4">
        <f t="shared" si="14"/>
        <v>0</v>
      </c>
      <c r="R71" s="21">
        <f>A71</f>
        <v>2005</v>
      </c>
      <c r="S71" s="4">
        <f t="shared" si="27"/>
        <v>0</v>
      </c>
      <c r="T71">
        <f t="shared" si="28"/>
        <v>0</v>
      </c>
      <c r="U71">
        <f t="shared" si="17"/>
        <v>48</v>
      </c>
      <c r="V71" s="1" t="str">
        <f t="shared" si="18"/>
        <v>L3</v>
      </c>
      <c r="W71" s="2">
        <f t="shared" si="29"/>
        <v>0</v>
      </c>
      <c r="X71" s="2">
        <f t="shared" si="30"/>
        <v>0</v>
      </c>
      <c r="Y71" s="18">
        <f t="shared" si="20"/>
        <v>32.76709673225454</v>
      </c>
      <c r="Z71" s="18">
        <f t="shared" si="21"/>
        <v>0</v>
      </c>
      <c r="AA71" s="2">
        <f>W71*Y71+X71*Z71</f>
        <v>0</v>
      </c>
    </row>
    <row r="72" spans="1:27" ht="12.75">
      <c r="A72">
        <v>2006</v>
      </c>
      <c r="C72" s="36">
        <f t="shared" si="25"/>
        <v>1654878.03</v>
      </c>
      <c r="D72" s="36">
        <v>0</v>
      </c>
      <c r="E72" s="36">
        <v>827360.81</v>
      </c>
      <c r="F72" s="36">
        <f>2265+20156.41</f>
        <v>22421.41</v>
      </c>
      <c r="G72" s="36">
        <f t="shared" si="26"/>
        <v>2459817.4299999997</v>
      </c>
      <c r="H72" s="27">
        <v>14.5</v>
      </c>
      <c r="I72" s="25"/>
      <c r="J72" s="25"/>
      <c r="M72" s="4">
        <f t="shared" si="13"/>
        <v>827360.81</v>
      </c>
      <c r="N72" s="4">
        <f t="shared" si="14"/>
        <v>22421.41</v>
      </c>
      <c r="R72" s="21">
        <f>A72</f>
        <v>2006</v>
      </c>
      <c r="S72" s="4">
        <f t="shared" si="27"/>
        <v>827360.81</v>
      </c>
      <c r="T72">
        <f t="shared" si="28"/>
        <v>0</v>
      </c>
      <c r="U72">
        <f t="shared" si="17"/>
        <v>48</v>
      </c>
      <c r="V72" s="1" t="str">
        <f t="shared" si="18"/>
        <v>L3</v>
      </c>
      <c r="W72" s="2">
        <f t="shared" si="29"/>
        <v>17236.68354166667</v>
      </c>
      <c r="X72" s="2">
        <f t="shared" si="30"/>
        <v>0</v>
      </c>
      <c r="Y72" s="18">
        <f t="shared" si="20"/>
        <v>33.70537932641976</v>
      </c>
      <c r="Z72" s="18">
        <f t="shared" si="21"/>
        <v>0</v>
      </c>
      <c r="AA72" s="2">
        <f>W72*Y72+X72*Z72</f>
        <v>580968.9571013314</v>
      </c>
    </row>
    <row r="73" spans="1:27" ht="12.75">
      <c r="A73">
        <v>2007</v>
      </c>
      <c r="B73" s="36"/>
      <c r="C73" s="36">
        <f t="shared" si="25"/>
        <v>2459817.4299999997</v>
      </c>
      <c r="D73" s="36">
        <v>0</v>
      </c>
      <c r="E73" s="36">
        <v>2407136.28</v>
      </c>
      <c r="F73" s="36">
        <v>0</v>
      </c>
      <c r="G73" s="36">
        <f t="shared" si="26"/>
        <v>4866953.709999999</v>
      </c>
      <c r="H73" s="27">
        <v>13.5</v>
      </c>
      <c r="I73" s="25"/>
      <c r="J73" s="25"/>
      <c r="M73" s="4">
        <f t="shared" si="13"/>
        <v>2407136.28</v>
      </c>
      <c r="N73" s="4">
        <f t="shared" si="14"/>
        <v>0</v>
      </c>
      <c r="R73" s="21">
        <v>2007</v>
      </c>
      <c r="S73" s="4">
        <f t="shared" si="27"/>
        <v>2407136.28</v>
      </c>
      <c r="T73">
        <f t="shared" si="28"/>
        <v>0</v>
      </c>
      <c r="U73">
        <f t="shared" si="17"/>
        <v>48</v>
      </c>
      <c r="V73" s="1" t="str">
        <f>$V$93</f>
        <v>L3</v>
      </c>
      <c r="W73" s="2">
        <f t="shared" si="29"/>
        <v>50148.67249999999</v>
      </c>
      <c r="X73" s="2">
        <f t="shared" si="30"/>
        <v>0</v>
      </c>
      <c r="Y73" s="18">
        <f t="shared" si="20"/>
        <v>34.65322897002345</v>
      </c>
      <c r="Z73" s="18">
        <f t="shared" si="21"/>
        <v>0</v>
      </c>
      <c r="AA73" s="2">
        <f>W73*Y73+X73*Z73</f>
        <v>1737813.430685218</v>
      </c>
    </row>
    <row r="74" spans="1:27" ht="12.75">
      <c r="A74">
        <v>2008</v>
      </c>
      <c r="B74" s="36"/>
      <c r="C74" s="36">
        <f t="shared" si="25"/>
        <v>4866953.709999999</v>
      </c>
      <c r="D74" s="36">
        <v>-87474.06</v>
      </c>
      <c r="E74" s="36">
        <v>242932.5</v>
      </c>
      <c r="F74" s="36">
        <v>0</v>
      </c>
      <c r="G74" s="36">
        <f t="shared" si="26"/>
        <v>5022412.149999999</v>
      </c>
      <c r="H74" s="27">
        <v>12.5</v>
      </c>
      <c r="I74" s="25"/>
      <c r="J74" s="25"/>
      <c r="M74" s="4">
        <f t="shared" si="13"/>
        <v>155458.44</v>
      </c>
      <c r="N74" s="4">
        <f t="shared" si="14"/>
        <v>0</v>
      </c>
      <c r="R74" s="21">
        <v>2008</v>
      </c>
      <c r="S74" s="4">
        <f t="shared" si="27"/>
        <v>242932.5</v>
      </c>
      <c r="T74">
        <f t="shared" si="28"/>
        <v>0</v>
      </c>
      <c r="U74">
        <f t="shared" si="17"/>
        <v>48</v>
      </c>
      <c r="V74" s="1" t="str">
        <f>$V$93</f>
        <v>L3</v>
      </c>
      <c r="W74" s="2">
        <f t="shared" si="29"/>
        <v>5061.09375</v>
      </c>
      <c r="X74" s="2">
        <f t="shared" si="30"/>
        <v>0</v>
      </c>
      <c r="Y74" s="18">
        <f t="shared" si="20"/>
        <v>35.61018286423436</v>
      </c>
      <c r="Z74" s="18">
        <f t="shared" si="21"/>
        <v>0</v>
      </c>
      <c r="AA74" s="2">
        <f>W74*Y74+X74*Z74</f>
        <v>180226.47393053363</v>
      </c>
    </row>
    <row r="75" spans="1:27" ht="12.75">
      <c r="A75" s="29">
        <v>2009</v>
      </c>
      <c r="C75" s="36">
        <f t="shared" si="25"/>
        <v>5022412.149999999</v>
      </c>
      <c r="D75" s="36">
        <v>0</v>
      </c>
      <c r="E75" s="36">
        <v>2475741.96</v>
      </c>
      <c r="F75" s="36">
        <v>0</v>
      </c>
      <c r="G75" s="36">
        <f t="shared" si="26"/>
        <v>7498154.109999999</v>
      </c>
      <c r="H75" s="27">
        <v>11.5</v>
      </c>
      <c r="I75" s="25"/>
      <c r="J75" s="25"/>
      <c r="M75" s="4">
        <f t="shared" si="13"/>
        <v>2475741.96</v>
      </c>
      <c r="N75" s="4">
        <f t="shared" si="14"/>
        <v>0</v>
      </c>
      <c r="R75" s="21">
        <v>2009</v>
      </c>
      <c r="S75" s="4">
        <f t="shared" si="27"/>
        <v>2475741.96</v>
      </c>
      <c r="T75">
        <f t="shared" si="28"/>
        <v>0</v>
      </c>
      <c r="U75">
        <f t="shared" si="17"/>
        <v>48</v>
      </c>
      <c r="V75" s="1" t="str">
        <f>$V$93</f>
        <v>L3</v>
      </c>
      <c r="W75" s="2">
        <f t="shared" si="29"/>
        <v>51577.9575</v>
      </c>
      <c r="X75" s="2">
        <f t="shared" si="30"/>
        <v>0</v>
      </c>
      <c r="Y75" s="18">
        <f t="shared" si="20"/>
        <v>36.57566573406444</v>
      </c>
      <c r="Z75" s="18">
        <f t="shared" si="21"/>
        <v>0</v>
      </c>
      <c r="AA75" s="2">
        <f>W75*Y75+X75*Z75</f>
        <v>1886498.1327657816</v>
      </c>
    </row>
    <row r="76" spans="1:27" ht="12.75">
      <c r="A76" s="29">
        <v>2010</v>
      </c>
      <c r="C76" s="36">
        <f aca="true" t="shared" si="31" ref="C76:C86">G75</f>
        <v>7498154.109999999</v>
      </c>
      <c r="D76" s="36">
        <v>0</v>
      </c>
      <c r="E76" s="36">
        <v>82890.62</v>
      </c>
      <c r="F76" s="36">
        <v>459</v>
      </c>
      <c r="G76" s="36">
        <f aca="true" t="shared" si="32" ref="G76:G86">C76+D76+E76-F76</f>
        <v>7580585.7299999995</v>
      </c>
      <c r="H76" s="27">
        <v>10.5</v>
      </c>
      <c r="I76" s="25"/>
      <c r="J76" s="25"/>
      <c r="M76" s="4">
        <f t="shared" si="13"/>
        <v>82890.62</v>
      </c>
      <c r="N76" s="4">
        <f t="shared" si="14"/>
        <v>459</v>
      </c>
      <c r="R76" s="21">
        <v>2010</v>
      </c>
      <c r="S76" s="4">
        <f aca="true" t="shared" si="33" ref="S76:S86">E76</f>
        <v>82890.62</v>
      </c>
      <c r="T76">
        <f aca="true" t="shared" si="34" ref="T76:T86">IF(D76&gt;0,IF(J76&gt;0,D76,0),0)</f>
        <v>0</v>
      </c>
      <c r="U76">
        <f t="shared" si="17"/>
        <v>48</v>
      </c>
      <c r="V76" s="1" t="str">
        <f aca="true" t="shared" si="35" ref="V76:V86">$V$93</f>
        <v>L3</v>
      </c>
      <c r="W76" s="2">
        <f aca="true" t="shared" si="36" ref="W76:W86">S76/U76</f>
        <v>1726.8879166666666</v>
      </c>
      <c r="X76" s="2">
        <f aca="true" t="shared" si="37" ref="X76:X86">T76/U76</f>
        <v>0</v>
      </c>
      <c r="Y76" s="18">
        <f aca="true" t="shared" si="38" ref="Y76:Y86">Prob_life(V76,H76,U76)</f>
        <v>37.54897464383928</v>
      </c>
      <c r="Z76" s="18">
        <f aca="true" t="shared" si="39" ref="Z76:Z86">IF(J76&gt;0,Prob_life(V76,J76+0.5,U76),0)</f>
        <v>0</v>
      </c>
      <c r="AA76" s="2">
        <f aca="true" t="shared" si="40" ref="AA76:AA86">W76*Y76+X76*Z76</f>
        <v>64842.870595669105</v>
      </c>
    </row>
    <row r="77" spans="1:27" ht="12.75">
      <c r="A77" s="29">
        <v>2011</v>
      </c>
      <c r="C77" s="36">
        <f t="shared" si="31"/>
        <v>7580585.7299999995</v>
      </c>
      <c r="D77" s="36">
        <v>0</v>
      </c>
      <c r="E77" s="36">
        <v>0</v>
      </c>
      <c r="F77" s="36">
        <v>0</v>
      </c>
      <c r="G77" s="36">
        <f t="shared" si="32"/>
        <v>7580585.7299999995</v>
      </c>
      <c r="H77" s="27">
        <v>9.5</v>
      </c>
      <c r="I77" s="25"/>
      <c r="J77" s="25"/>
      <c r="M77" s="4">
        <f t="shared" si="13"/>
        <v>0</v>
      </c>
      <c r="N77" s="4">
        <f t="shared" si="14"/>
        <v>0</v>
      </c>
      <c r="R77" s="21">
        <v>2011</v>
      </c>
      <c r="S77" s="4">
        <f t="shared" si="33"/>
        <v>0</v>
      </c>
      <c r="T77">
        <f t="shared" si="34"/>
        <v>0</v>
      </c>
      <c r="U77">
        <f t="shared" si="17"/>
        <v>48</v>
      </c>
      <c r="V77" s="1" t="str">
        <f t="shared" si="35"/>
        <v>L3</v>
      </c>
      <c r="W77" s="2">
        <f t="shared" si="36"/>
        <v>0</v>
      </c>
      <c r="X77" s="2">
        <f t="shared" si="37"/>
        <v>0</v>
      </c>
      <c r="Y77" s="18">
        <f t="shared" si="38"/>
        <v>38.5292771932912</v>
      </c>
      <c r="Z77" s="18">
        <f t="shared" si="39"/>
        <v>0</v>
      </c>
      <c r="AA77" s="2">
        <f t="shared" si="40"/>
        <v>0</v>
      </c>
    </row>
    <row r="78" spans="1:27" ht="12.75">
      <c r="A78" s="29">
        <v>2012</v>
      </c>
      <c r="C78" s="36">
        <f t="shared" si="31"/>
        <v>7580585.7299999995</v>
      </c>
      <c r="D78" s="36">
        <v>0</v>
      </c>
      <c r="E78" s="36">
        <v>0</v>
      </c>
      <c r="F78" s="36">
        <v>0</v>
      </c>
      <c r="G78" s="36">
        <f t="shared" si="32"/>
        <v>7580585.7299999995</v>
      </c>
      <c r="H78" s="27">
        <v>8.5</v>
      </c>
      <c r="I78" s="25"/>
      <c r="J78" s="25"/>
      <c r="M78" s="4">
        <f t="shared" si="13"/>
        <v>0</v>
      </c>
      <c r="N78" s="4">
        <f t="shared" si="14"/>
        <v>0</v>
      </c>
      <c r="R78" s="21">
        <v>2012</v>
      </c>
      <c r="S78" s="4">
        <f t="shared" si="33"/>
        <v>0</v>
      </c>
      <c r="T78">
        <f t="shared" si="34"/>
        <v>0</v>
      </c>
      <c r="U78">
        <f t="shared" si="17"/>
        <v>48</v>
      </c>
      <c r="V78" s="1" t="str">
        <f t="shared" si="35"/>
        <v>L3</v>
      </c>
      <c r="W78" s="2">
        <f t="shared" si="36"/>
        <v>0</v>
      </c>
      <c r="X78" s="2">
        <f t="shared" si="37"/>
        <v>0</v>
      </c>
      <c r="Y78" s="18">
        <f t="shared" si="38"/>
        <v>39.5156193613032</v>
      </c>
      <c r="Z78" s="18">
        <f t="shared" si="39"/>
        <v>0</v>
      </c>
      <c r="AA78" s="2">
        <f t="shared" si="40"/>
        <v>0</v>
      </c>
    </row>
    <row r="79" spans="1:27" ht="12.75">
      <c r="A79" s="29">
        <v>2013</v>
      </c>
      <c r="C79" s="36">
        <f t="shared" si="31"/>
        <v>7580585.7299999995</v>
      </c>
      <c r="D79" s="36">
        <v>0</v>
      </c>
      <c r="E79" s="36">
        <v>1163387.64</v>
      </c>
      <c r="F79" s="36">
        <v>0</v>
      </c>
      <c r="G79" s="36">
        <f t="shared" si="32"/>
        <v>8743973.37</v>
      </c>
      <c r="H79" s="27">
        <v>7.5</v>
      </c>
      <c r="I79" s="25"/>
      <c r="J79" s="25"/>
      <c r="M79" s="4">
        <f t="shared" si="13"/>
        <v>1163387.64</v>
      </c>
      <c r="N79" s="4">
        <f t="shared" si="14"/>
        <v>0</v>
      </c>
      <c r="R79" s="21">
        <v>2013</v>
      </c>
      <c r="S79" s="4">
        <f t="shared" si="33"/>
        <v>1163387.64</v>
      </c>
      <c r="T79">
        <f t="shared" si="34"/>
        <v>0</v>
      </c>
      <c r="U79">
        <f t="shared" si="17"/>
        <v>48</v>
      </c>
      <c r="V79" s="1" t="str">
        <f t="shared" si="35"/>
        <v>L3</v>
      </c>
      <c r="W79" s="2">
        <f t="shared" si="36"/>
        <v>24237.242499999997</v>
      </c>
      <c r="X79" s="2">
        <f t="shared" si="37"/>
        <v>0</v>
      </c>
      <c r="Y79" s="18">
        <f t="shared" si="38"/>
        <v>40.50694218432713</v>
      </c>
      <c r="Z79" s="18">
        <f t="shared" si="39"/>
        <v>0</v>
      </c>
      <c r="AA79" s="2">
        <f t="shared" si="40"/>
        <v>981776.5806550162</v>
      </c>
    </row>
    <row r="80" spans="1:27" ht="12.75">
      <c r="A80" s="29">
        <v>2014</v>
      </c>
      <c r="C80" s="36">
        <f t="shared" si="31"/>
        <v>8743973.37</v>
      </c>
      <c r="D80" s="36">
        <v>0</v>
      </c>
      <c r="E80" s="36">
        <v>69287.55</v>
      </c>
      <c r="F80" s="36">
        <v>0</v>
      </c>
      <c r="G80" s="36">
        <f t="shared" si="32"/>
        <v>8813260.92</v>
      </c>
      <c r="H80" s="27">
        <v>6.5</v>
      </c>
      <c r="I80" s="25"/>
      <c r="J80" s="25"/>
      <c r="M80" s="4">
        <f t="shared" si="13"/>
        <v>69287.55</v>
      </c>
      <c r="N80" s="4">
        <f t="shared" si="14"/>
        <v>0</v>
      </c>
      <c r="R80" s="21">
        <v>2014</v>
      </c>
      <c r="S80" s="4">
        <f t="shared" si="33"/>
        <v>69287.55</v>
      </c>
      <c r="T80">
        <f t="shared" si="34"/>
        <v>0</v>
      </c>
      <c r="U80">
        <f t="shared" si="17"/>
        <v>48</v>
      </c>
      <c r="V80" s="1" t="str">
        <f t="shared" si="35"/>
        <v>L3</v>
      </c>
      <c r="W80" s="2">
        <f t="shared" si="36"/>
        <v>1443.4906250000001</v>
      </c>
      <c r="X80" s="2">
        <f t="shared" si="37"/>
        <v>0</v>
      </c>
      <c r="Y80" s="18">
        <f t="shared" si="38"/>
        <v>41.50210940196836</v>
      </c>
      <c r="Z80" s="18">
        <f t="shared" si="39"/>
        <v>0</v>
      </c>
      <c r="AA80" s="2">
        <f t="shared" si="40"/>
        <v>59907.90583946569</v>
      </c>
    </row>
    <row r="81" spans="1:27" ht="12.75">
      <c r="A81" s="29">
        <v>2015</v>
      </c>
      <c r="C81" s="36">
        <f t="shared" si="31"/>
        <v>8813260.92</v>
      </c>
      <c r="D81" s="36">
        <v>-12405.26</v>
      </c>
      <c r="E81" s="36">
        <v>71087.77</v>
      </c>
      <c r="F81" s="36">
        <v>4500</v>
      </c>
      <c r="G81" s="36">
        <f t="shared" si="32"/>
        <v>8867443.43</v>
      </c>
      <c r="H81" s="27">
        <v>5.5</v>
      </c>
      <c r="I81" s="25"/>
      <c r="J81" s="25"/>
      <c r="M81" s="4">
        <f t="shared" si="13"/>
        <v>58682.51</v>
      </c>
      <c r="N81" s="4">
        <f t="shared" si="14"/>
        <v>4500</v>
      </c>
      <c r="R81" s="21">
        <v>2015</v>
      </c>
      <c r="S81" s="4">
        <f t="shared" si="33"/>
        <v>71087.77</v>
      </c>
      <c r="T81">
        <f t="shared" si="34"/>
        <v>0</v>
      </c>
      <c r="U81">
        <f t="shared" si="17"/>
        <v>48</v>
      </c>
      <c r="V81" s="1" t="str">
        <f t="shared" si="35"/>
        <v>L3</v>
      </c>
      <c r="W81" s="2">
        <f t="shared" si="36"/>
        <v>1480.9952083333335</v>
      </c>
      <c r="X81" s="2">
        <f t="shared" si="37"/>
        <v>0</v>
      </c>
      <c r="Y81" s="18">
        <f t="shared" si="38"/>
        <v>42.4999510525419</v>
      </c>
      <c r="Z81" s="18">
        <f t="shared" si="39"/>
        <v>0</v>
      </c>
      <c r="AA81" s="2">
        <f t="shared" si="40"/>
        <v>62942.22386321577</v>
      </c>
    </row>
    <row r="82" spans="1:27" ht="12.75">
      <c r="A82" s="29">
        <v>2016</v>
      </c>
      <c r="C82" s="36">
        <f t="shared" si="31"/>
        <v>8867443.43</v>
      </c>
      <c r="D82" s="36">
        <v>-160867.12</v>
      </c>
      <c r="E82" s="36">
        <v>29986.64</v>
      </c>
      <c r="F82" s="36">
        <v>64060.86</v>
      </c>
      <c r="G82" s="36">
        <f t="shared" si="32"/>
        <v>8672502.090000002</v>
      </c>
      <c r="H82" s="27">
        <v>4.5</v>
      </c>
      <c r="I82" s="25"/>
      <c r="J82" s="25"/>
      <c r="M82" s="4">
        <f t="shared" si="13"/>
        <v>-130880.48</v>
      </c>
      <c r="N82" s="4">
        <f t="shared" si="14"/>
        <v>64060.86</v>
      </c>
      <c r="R82" s="21">
        <v>2016</v>
      </c>
      <c r="S82" s="4">
        <f t="shared" si="33"/>
        <v>29986.64</v>
      </c>
      <c r="T82">
        <f t="shared" si="34"/>
        <v>0</v>
      </c>
      <c r="U82">
        <f t="shared" si="17"/>
        <v>48</v>
      </c>
      <c r="V82" s="1" t="str">
        <f t="shared" si="35"/>
        <v>L3</v>
      </c>
      <c r="W82" s="2">
        <f t="shared" si="36"/>
        <v>624.7216666666667</v>
      </c>
      <c r="X82" s="2">
        <f t="shared" si="37"/>
        <v>0</v>
      </c>
      <c r="Y82" s="18">
        <f t="shared" si="38"/>
        <v>43.499333172672735</v>
      </c>
      <c r="Z82" s="18">
        <f t="shared" si="39"/>
        <v>0</v>
      </c>
      <c r="AA82" s="2">
        <f t="shared" si="40"/>
        <v>27174.975918520733</v>
      </c>
    </row>
    <row r="83" spans="1:27" ht="12.75">
      <c r="A83" s="29">
        <v>2017</v>
      </c>
      <c r="C83" s="36">
        <f t="shared" si="31"/>
        <v>8672502.090000002</v>
      </c>
      <c r="D83" s="36">
        <v>0</v>
      </c>
      <c r="E83" s="36">
        <v>34359.76</v>
      </c>
      <c r="F83" s="36">
        <v>0</v>
      </c>
      <c r="G83" s="36">
        <f t="shared" si="32"/>
        <v>8706861.850000001</v>
      </c>
      <c r="H83" s="27">
        <v>3.5</v>
      </c>
      <c r="I83" s="25"/>
      <c r="J83" s="25"/>
      <c r="M83" s="4">
        <f t="shared" si="13"/>
        <v>34359.76</v>
      </c>
      <c r="N83" s="4">
        <f t="shared" si="14"/>
        <v>0</v>
      </c>
      <c r="R83" s="21">
        <v>2017</v>
      </c>
      <c r="S83" s="4">
        <f t="shared" si="33"/>
        <v>34359.76</v>
      </c>
      <c r="T83">
        <f t="shared" si="34"/>
        <v>0</v>
      </c>
      <c r="U83">
        <f t="shared" si="17"/>
        <v>48</v>
      </c>
      <c r="V83" s="1" t="str">
        <f t="shared" si="35"/>
        <v>L3</v>
      </c>
      <c r="W83" s="2">
        <f t="shared" si="36"/>
        <v>715.8283333333334</v>
      </c>
      <c r="X83" s="2">
        <f t="shared" si="37"/>
        <v>0</v>
      </c>
      <c r="Y83" s="18">
        <f t="shared" si="38"/>
        <v>44.499017399292896</v>
      </c>
      <c r="Z83" s="18">
        <f t="shared" si="39"/>
        <v>0</v>
      </c>
      <c r="AA83" s="2">
        <f t="shared" si="40"/>
        <v>31853.657459906837</v>
      </c>
    </row>
    <row r="84" spans="1:27" ht="12.75">
      <c r="A84" s="29">
        <v>2018</v>
      </c>
      <c r="C84" s="36">
        <f t="shared" si="31"/>
        <v>8706861.850000001</v>
      </c>
      <c r="D84" s="36">
        <v>0</v>
      </c>
      <c r="E84" s="36">
        <v>40169.53</v>
      </c>
      <c r="F84" s="36">
        <v>32636.27</v>
      </c>
      <c r="G84" s="36">
        <f t="shared" si="32"/>
        <v>8714395.110000001</v>
      </c>
      <c r="H84" s="27">
        <v>2.5</v>
      </c>
      <c r="I84" s="25"/>
      <c r="J84" s="25"/>
      <c r="M84" s="4">
        <f t="shared" si="13"/>
        <v>40169.53</v>
      </c>
      <c r="N84" s="4">
        <f t="shared" si="14"/>
        <v>32636.27</v>
      </c>
      <c r="R84" s="21">
        <v>2018</v>
      </c>
      <c r="S84" s="4">
        <f t="shared" si="33"/>
        <v>40169.53</v>
      </c>
      <c r="T84">
        <f t="shared" si="34"/>
        <v>0</v>
      </c>
      <c r="U84">
        <f t="shared" si="17"/>
        <v>48</v>
      </c>
      <c r="V84" s="1" t="str">
        <f t="shared" si="35"/>
        <v>L3</v>
      </c>
      <c r="W84" s="2">
        <f t="shared" si="36"/>
        <v>836.8652083333333</v>
      </c>
      <c r="X84" s="2">
        <f t="shared" si="37"/>
        <v>0</v>
      </c>
      <c r="Y84" s="18">
        <f t="shared" si="38"/>
        <v>45.499017399292896</v>
      </c>
      <c r="Z84" s="18">
        <f t="shared" si="39"/>
        <v>0</v>
      </c>
      <c r="AA84" s="2">
        <f t="shared" si="40"/>
        <v>38076.544674821205</v>
      </c>
    </row>
    <row r="85" spans="1:27" ht="12.75">
      <c r="A85" s="29">
        <v>2019</v>
      </c>
      <c r="C85" s="36">
        <f t="shared" si="31"/>
        <v>8714395.110000001</v>
      </c>
      <c r="D85" s="36">
        <v>0</v>
      </c>
      <c r="E85" s="36">
        <v>176315.59</v>
      </c>
      <c r="F85" s="36">
        <v>95759</v>
      </c>
      <c r="G85" s="36">
        <f t="shared" si="32"/>
        <v>8794951.700000001</v>
      </c>
      <c r="H85" s="27">
        <v>1.5</v>
      </c>
      <c r="I85" s="25"/>
      <c r="J85" s="25"/>
      <c r="M85" s="4">
        <f t="shared" si="13"/>
        <v>176315.59</v>
      </c>
      <c r="N85" s="4">
        <f t="shared" si="14"/>
        <v>95759</v>
      </c>
      <c r="R85" s="21">
        <v>2019</v>
      </c>
      <c r="S85" s="4">
        <f t="shared" si="33"/>
        <v>176315.59</v>
      </c>
      <c r="T85">
        <f t="shared" si="34"/>
        <v>0</v>
      </c>
      <c r="U85">
        <f t="shared" si="17"/>
        <v>48</v>
      </c>
      <c r="V85" s="1" t="str">
        <f t="shared" si="35"/>
        <v>L3</v>
      </c>
      <c r="W85" s="2">
        <f t="shared" si="36"/>
        <v>3673.2414583333334</v>
      </c>
      <c r="X85" s="2">
        <f t="shared" si="37"/>
        <v>0</v>
      </c>
      <c r="Y85" s="18">
        <f t="shared" si="38"/>
        <v>46.499017399292896</v>
      </c>
      <c r="Z85" s="18">
        <f t="shared" si="39"/>
        <v>0</v>
      </c>
      <c r="AA85" s="2">
        <f t="shared" si="40"/>
        <v>170802.1184828457</v>
      </c>
    </row>
    <row r="86" spans="1:27" ht="12.75">
      <c r="A86" s="29">
        <v>2020</v>
      </c>
      <c r="C86" s="36">
        <f t="shared" si="31"/>
        <v>8794951.700000001</v>
      </c>
      <c r="D86" s="36">
        <v>0</v>
      </c>
      <c r="E86" s="36">
        <v>12021.06</v>
      </c>
      <c r="F86" s="36">
        <v>11476</v>
      </c>
      <c r="G86" s="36">
        <f t="shared" si="32"/>
        <v>8795496.760000002</v>
      </c>
      <c r="H86" s="27">
        <v>0.5</v>
      </c>
      <c r="I86" s="25"/>
      <c r="J86" s="25"/>
      <c r="M86" s="4">
        <f t="shared" si="13"/>
        <v>12021.06</v>
      </c>
      <c r="N86" s="4">
        <f t="shared" si="14"/>
        <v>11476</v>
      </c>
      <c r="R86" s="21">
        <v>2020</v>
      </c>
      <c r="S86" s="4">
        <f t="shared" si="33"/>
        <v>12021.06</v>
      </c>
      <c r="T86">
        <f t="shared" si="34"/>
        <v>0</v>
      </c>
      <c r="U86">
        <f t="shared" si="17"/>
        <v>48</v>
      </c>
      <c r="V86" s="1" t="str">
        <f t="shared" si="35"/>
        <v>L3</v>
      </c>
      <c r="W86" s="2">
        <f t="shared" si="36"/>
        <v>250.43875</v>
      </c>
      <c r="X86" s="2">
        <f t="shared" si="37"/>
        <v>0</v>
      </c>
      <c r="Y86" s="18">
        <f t="shared" si="38"/>
        <v>47.499017399292896</v>
      </c>
      <c r="Z86" s="18">
        <f t="shared" si="39"/>
        <v>0</v>
      </c>
      <c r="AA86" s="2">
        <f t="shared" si="40"/>
        <v>11895.594543707164</v>
      </c>
    </row>
    <row r="87" spans="3:27" ht="12.75">
      <c r="C87" s="8"/>
      <c r="D87" s="8"/>
      <c r="E87" s="8"/>
      <c r="F87" s="8"/>
      <c r="G87" s="8"/>
      <c r="W87" s="2"/>
      <c r="X87" s="2"/>
      <c r="AA87" s="2"/>
    </row>
    <row r="88" spans="7:27" ht="12.75">
      <c r="G88" s="4">
        <f>SUM(G82:G87)/5</f>
        <v>8736841.502</v>
      </c>
      <c r="I88" s="8"/>
      <c r="S88" s="4">
        <f>SUM(S6:S87)</f>
        <v>9700165.74</v>
      </c>
      <c r="T88" s="4">
        <f>SUM(T6:T87)</f>
        <v>519600</v>
      </c>
      <c r="W88" s="2">
        <f>SUM(W6:W87)</f>
        <v>202086.78624999998</v>
      </c>
      <c r="X88" s="2">
        <f>SUM(X6:X87)</f>
        <v>10825</v>
      </c>
      <c r="Y88" s="19">
        <f>AA88/W88</f>
        <v>33.27212905873817</v>
      </c>
      <c r="Z88" s="18"/>
      <c r="AA88" s="2">
        <f>SUM(AA6:AA87)</f>
        <v>6723857.633175634</v>
      </c>
    </row>
    <row r="90" spans="2:27" ht="12.75">
      <c r="B90" t="s">
        <v>7</v>
      </c>
      <c r="D90" s="4"/>
      <c r="G90" s="10"/>
      <c r="W90" t="s">
        <v>35</v>
      </c>
      <c r="AA90" s="15">
        <f>AA88/(W88+X88)</f>
        <v>31.58048575704735</v>
      </c>
    </row>
    <row r="92" spans="2:7" ht="12.75">
      <c r="B92" t="s">
        <v>8</v>
      </c>
      <c r="D92" s="8"/>
      <c r="G92" s="10"/>
    </row>
    <row r="93" spans="20:22" ht="12.75">
      <c r="T93" s="20" t="s">
        <v>26</v>
      </c>
      <c r="V93" s="32" t="s">
        <v>18</v>
      </c>
    </row>
    <row r="94" spans="2:22" ht="12.75">
      <c r="B94" t="s">
        <v>9</v>
      </c>
      <c r="G94">
        <v>0.045</v>
      </c>
      <c r="T94" s="20" t="s">
        <v>11</v>
      </c>
      <c r="V94">
        <v>48</v>
      </c>
    </row>
    <row r="96" ht="12.75">
      <c r="B96" t="s">
        <v>10</v>
      </c>
    </row>
    <row r="98" spans="3:11" ht="12.75">
      <c r="C98" s="24"/>
      <c r="D98" s="23"/>
      <c r="E98" s="23"/>
      <c r="F98" s="23"/>
      <c r="G98" s="23"/>
      <c r="H98" s="23"/>
      <c r="I98" s="23"/>
      <c r="J98" s="23"/>
      <c r="K98" s="3"/>
    </row>
    <row r="99" spans="3:11" ht="12.75">
      <c r="C99" s="24"/>
      <c r="D99" s="43"/>
      <c r="E99" s="23"/>
      <c r="F99" s="23"/>
      <c r="G99" s="23"/>
      <c r="H99" s="23"/>
      <c r="I99" s="23"/>
      <c r="J99" s="23"/>
      <c r="K99" s="16"/>
    </row>
    <row r="100" spans="3:10" ht="12.75">
      <c r="C100" s="24"/>
      <c r="D100" s="24"/>
      <c r="E100" s="24"/>
      <c r="F100" s="42"/>
      <c r="G100" s="42"/>
      <c r="H100" s="44"/>
      <c r="I100" s="44"/>
      <c r="J100" s="44"/>
    </row>
    <row r="101" spans="3:10" ht="12.75">
      <c r="C101" s="24"/>
      <c r="D101" s="24"/>
      <c r="E101" s="24"/>
      <c r="F101" s="42"/>
      <c r="G101" s="42"/>
      <c r="H101" s="44"/>
      <c r="I101" s="44"/>
      <c r="J101" s="44"/>
    </row>
    <row r="102" spans="3:10" ht="12.75">
      <c r="C102" s="24"/>
      <c r="D102" s="24"/>
      <c r="E102" s="24"/>
      <c r="F102" s="42"/>
      <c r="G102" s="42"/>
      <c r="H102" s="44"/>
      <c r="I102" s="44"/>
      <c r="J102" s="44"/>
    </row>
    <row r="103" spans="3:10" ht="12.75">
      <c r="C103" s="24"/>
      <c r="D103" s="24"/>
      <c r="E103" s="24"/>
      <c r="F103" s="42"/>
      <c r="G103" s="42"/>
      <c r="H103" s="44"/>
      <c r="I103" s="44"/>
      <c r="J103" s="44"/>
    </row>
    <row r="104" spans="3:10" ht="12.75">
      <c r="C104" s="24"/>
      <c r="D104" s="24"/>
      <c r="E104" s="24"/>
      <c r="F104" s="42"/>
      <c r="G104" s="42"/>
      <c r="H104" s="44"/>
      <c r="I104" s="44"/>
      <c r="J104" s="44"/>
    </row>
    <row r="105" spans="3:10" ht="12.75">
      <c r="C105" s="24"/>
      <c r="D105" s="24"/>
      <c r="E105" s="24"/>
      <c r="F105" s="42"/>
      <c r="G105" s="42"/>
      <c r="H105" s="44"/>
      <c r="I105" s="44"/>
      <c r="J105" s="44"/>
    </row>
    <row r="106" spans="3:10" ht="12.75">
      <c r="C106" s="24"/>
      <c r="D106" s="24"/>
      <c r="E106" s="24"/>
      <c r="F106" s="42"/>
      <c r="G106" s="42"/>
      <c r="H106" s="44"/>
      <c r="I106" s="44"/>
      <c r="J106" s="44"/>
    </row>
    <row r="107" spans="3:10" ht="12.75">
      <c r="C107" s="24"/>
      <c r="D107" s="24"/>
      <c r="E107" s="24"/>
      <c r="F107" s="42"/>
      <c r="G107" s="42"/>
      <c r="H107" s="44"/>
      <c r="I107" s="44"/>
      <c r="J107" s="44"/>
    </row>
    <row r="108" spans="3:10" ht="12.75">
      <c r="C108" s="24"/>
      <c r="D108" s="24"/>
      <c r="E108" s="24"/>
      <c r="F108" s="42"/>
      <c r="G108" s="42"/>
      <c r="H108" s="44"/>
      <c r="I108" s="44"/>
      <c r="J108" s="44"/>
    </row>
    <row r="109" spans="3:10" ht="12.75">
      <c r="C109" s="24"/>
      <c r="D109" s="24"/>
      <c r="E109" s="24"/>
      <c r="F109" s="42"/>
      <c r="G109" s="42"/>
      <c r="H109" s="44"/>
      <c r="I109" s="44"/>
      <c r="J109" s="44"/>
    </row>
    <row r="110" spans="3:10" ht="12.75">
      <c r="C110" s="24"/>
      <c r="D110" s="24"/>
      <c r="E110" s="24"/>
      <c r="F110" s="42"/>
      <c r="G110" s="42"/>
      <c r="H110" s="44"/>
      <c r="I110" s="44"/>
      <c r="J110" s="44"/>
    </row>
    <row r="111" spans="3:10" ht="12.75">
      <c r="C111" s="24"/>
      <c r="D111" s="24"/>
      <c r="E111" s="24"/>
      <c r="F111" s="42"/>
      <c r="G111" s="42"/>
      <c r="H111" s="44"/>
      <c r="I111" s="44"/>
      <c r="J111" s="44"/>
    </row>
    <row r="112" spans="3:10" ht="12.75">
      <c r="C112" s="24"/>
      <c r="D112" s="24"/>
      <c r="E112" s="24"/>
      <c r="F112" s="42"/>
      <c r="G112" s="42"/>
      <c r="H112" s="44"/>
      <c r="I112" s="44"/>
      <c r="J112" s="44"/>
    </row>
    <row r="113" spans="3:10" ht="12.75">
      <c r="C113" s="24"/>
      <c r="D113" s="24"/>
      <c r="E113" s="24"/>
      <c r="F113" s="42"/>
      <c r="G113" s="42"/>
      <c r="H113" s="44"/>
      <c r="I113" s="44"/>
      <c r="J113" s="44"/>
    </row>
    <row r="114" spans="3:10" ht="12.75">
      <c r="C114" s="24"/>
      <c r="D114" s="24"/>
      <c r="E114" s="24"/>
      <c r="F114" s="42"/>
      <c r="G114" s="42"/>
      <c r="H114" s="44"/>
      <c r="I114" s="44"/>
      <c r="J114" s="44"/>
    </row>
    <row r="115" spans="3:10" ht="12.75">
      <c r="C115" s="24"/>
      <c r="D115" s="24"/>
      <c r="E115" s="24"/>
      <c r="F115" s="42"/>
      <c r="G115" s="42"/>
      <c r="H115" s="44"/>
      <c r="I115" s="44"/>
      <c r="J115" s="44"/>
    </row>
    <row r="116" spans="3:10" ht="12.75">
      <c r="C116" s="24"/>
      <c r="D116" s="24"/>
      <c r="E116" s="24"/>
      <c r="F116" s="42"/>
      <c r="G116" s="42"/>
      <c r="H116" s="44"/>
      <c r="I116" s="44"/>
      <c r="J116" s="44"/>
    </row>
    <row r="117" spans="3:10" ht="12.75">
      <c r="C117" s="24"/>
      <c r="D117" s="24"/>
      <c r="E117" s="24"/>
      <c r="F117" s="42"/>
      <c r="G117" s="42"/>
      <c r="H117" s="44"/>
      <c r="I117" s="44"/>
      <c r="J117" s="44"/>
    </row>
    <row r="118" spans="3:10" ht="12.75">
      <c r="C118" s="24"/>
      <c r="D118" s="24"/>
      <c r="E118" s="24"/>
      <c r="F118" s="42"/>
      <c r="G118" s="42"/>
      <c r="H118" s="44"/>
      <c r="I118" s="44"/>
      <c r="J118" s="44"/>
    </row>
    <row r="119" spans="3:10" ht="12.75">
      <c r="C119" s="24"/>
      <c r="D119" s="24"/>
      <c r="E119" s="24"/>
      <c r="F119" s="42"/>
      <c r="G119" s="42"/>
      <c r="H119" s="44"/>
      <c r="I119" s="44"/>
      <c r="J119" s="44"/>
    </row>
    <row r="120" spans="3:10" ht="12.75">
      <c r="C120" s="24"/>
      <c r="D120" s="24"/>
      <c r="E120" s="24"/>
      <c r="F120" s="42"/>
      <c r="G120" s="42"/>
      <c r="H120" s="44"/>
      <c r="I120" s="44"/>
      <c r="J120" s="44"/>
    </row>
    <row r="121" spans="3:10" ht="12.75">
      <c r="C121" s="24"/>
      <c r="D121" s="24"/>
      <c r="E121" s="24"/>
      <c r="F121" s="42"/>
      <c r="G121" s="42"/>
      <c r="H121" s="44"/>
      <c r="I121" s="44"/>
      <c r="J121" s="44"/>
    </row>
    <row r="122" spans="3:10" ht="12.75">
      <c r="C122" s="24"/>
      <c r="D122" s="24"/>
      <c r="E122" s="24"/>
      <c r="F122" s="24"/>
      <c r="G122" s="24"/>
      <c r="H122" s="24"/>
      <c r="I122" s="24"/>
      <c r="J122" s="24"/>
    </row>
    <row r="123" spans="3:10" ht="12.75">
      <c r="C123" s="24"/>
      <c r="D123" s="45"/>
      <c r="E123" s="46"/>
      <c r="F123" s="24"/>
      <c r="G123" s="24"/>
      <c r="H123" s="24"/>
      <c r="I123" s="24"/>
      <c r="J123" s="24"/>
    </row>
    <row r="124" spans="3:10" ht="12.75">
      <c r="C124" s="24"/>
      <c r="D124" s="24"/>
      <c r="E124" s="24"/>
      <c r="F124" s="24"/>
      <c r="G124" s="24"/>
      <c r="H124" s="24"/>
      <c r="I124" s="24"/>
      <c r="J124" s="24"/>
    </row>
  </sheetData>
  <sheetProtection/>
  <printOptions/>
  <pageMargins left="0.75" right="0.75" top="1.54" bottom="1" header="0.5" footer="0.5"/>
  <pageSetup horizontalDpi="600" verticalDpi="600" orientation="portrait" scale="80" r:id="rId1"/>
  <headerFooter alignWithMargins="0">
    <oddHeader>&amp;C&amp;"Arial,Bold"&amp;12Delta Natural Gas Company
Account Investment Summary 
368 -- Compressor Station Equipment</oddHeader>
  </headerFooter>
  <rowBreaks count="1" manualBreakCount="1">
    <brk id="9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>
    <tabColor rgb="FF00B050"/>
  </sheetPr>
  <dimension ref="A1:AA123"/>
  <sheetViews>
    <sheetView zoomScalePageLayoutView="0" workbookViewId="0" topLeftCell="A83">
      <selection activeCell="C98" sqref="C98:J123"/>
    </sheetView>
  </sheetViews>
  <sheetFormatPr defaultColWidth="9.140625" defaultRowHeight="12.75"/>
  <cols>
    <col min="2" max="2" width="10.8515625" style="0" bestFit="1" customWidth="1"/>
    <col min="3" max="6" width="13.421875" style="0" customWidth="1"/>
    <col min="7" max="7" width="18.8515625" style="0" customWidth="1"/>
    <col min="9" max="9" width="12.8515625" style="0" bestFit="1" customWidth="1"/>
    <col min="11" max="11" width="9.140625" style="0" customWidth="1"/>
    <col min="13" max="13" width="15.8515625" style="0" customWidth="1"/>
    <col min="19" max="19" width="11.57421875" style="0" customWidth="1"/>
    <col min="20" max="20" width="13.140625" style="0" customWidth="1"/>
    <col min="22" max="27" width="18.140625" style="0" customWidth="1"/>
  </cols>
  <sheetData>
    <row r="1" ht="12.75">
      <c r="R1" s="22"/>
    </row>
    <row r="2" spans="3:27" ht="12.75">
      <c r="C2" s="3" t="s">
        <v>0</v>
      </c>
      <c r="D2" s="3"/>
      <c r="E2" s="3"/>
      <c r="F2" s="3"/>
      <c r="G2" s="3" t="s">
        <v>0</v>
      </c>
      <c r="I2" s="3" t="s">
        <v>2</v>
      </c>
      <c r="V2" s="3" t="s">
        <v>30</v>
      </c>
      <c r="W2" s="16" t="s">
        <v>32</v>
      </c>
      <c r="X2" s="16" t="s">
        <v>32</v>
      </c>
      <c r="Y2" s="16" t="s">
        <v>33</v>
      </c>
      <c r="Z2" s="16" t="s">
        <v>33</v>
      </c>
      <c r="AA2" s="3" t="s">
        <v>34</v>
      </c>
    </row>
    <row r="3" spans="1:27" ht="13.5" thickBot="1">
      <c r="A3" s="14" t="s">
        <v>5</v>
      </c>
      <c r="B3" s="12"/>
      <c r="C3" s="13" t="s">
        <v>1</v>
      </c>
      <c r="D3" s="13" t="s">
        <v>2</v>
      </c>
      <c r="E3" s="13" t="s">
        <v>3</v>
      </c>
      <c r="F3" s="13" t="s">
        <v>4</v>
      </c>
      <c r="G3" s="13" t="s">
        <v>1</v>
      </c>
      <c r="H3" s="12"/>
      <c r="I3" s="13" t="s">
        <v>21</v>
      </c>
      <c r="J3" s="13" t="s">
        <v>22</v>
      </c>
      <c r="R3" s="14" t="s">
        <v>6</v>
      </c>
      <c r="S3" s="17" t="s">
        <v>3</v>
      </c>
      <c r="T3" s="13" t="s">
        <v>27</v>
      </c>
      <c r="U3" s="17" t="s">
        <v>11</v>
      </c>
      <c r="V3" s="17" t="s">
        <v>31</v>
      </c>
      <c r="W3" s="17" t="s">
        <v>28</v>
      </c>
      <c r="X3" s="17" t="s">
        <v>29</v>
      </c>
      <c r="Y3" s="17" t="s">
        <v>28</v>
      </c>
      <c r="Z3" s="17" t="s">
        <v>29</v>
      </c>
      <c r="AA3" s="17" t="s">
        <v>25</v>
      </c>
    </row>
    <row r="4" spans="3:7" ht="12.75">
      <c r="C4" s="1"/>
      <c r="D4" s="1"/>
      <c r="E4" s="1"/>
      <c r="F4" s="1"/>
      <c r="G4" s="1"/>
    </row>
    <row r="5" spans="3:7" ht="12.75">
      <c r="C5" s="1"/>
      <c r="D5" s="1"/>
      <c r="E5" s="1"/>
      <c r="F5" s="1"/>
      <c r="G5" s="1"/>
    </row>
    <row r="6" spans="1:27" ht="12.75">
      <c r="A6">
        <v>1940</v>
      </c>
      <c r="C6" s="35">
        <v>0</v>
      </c>
      <c r="D6" s="35">
        <v>0</v>
      </c>
      <c r="E6" s="35">
        <v>0</v>
      </c>
      <c r="F6" s="35">
        <v>0</v>
      </c>
      <c r="G6" s="35">
        <f aca="true" t="shared" si="0" ref="G6:G51">C6+D6+E6-F6</f>
        <v>0</v>
      </c>
      <c r="H6" s="28">
        <v>80.5</v>
      </c>
      <c r="I6" s="29">
        <v>0</v>
      </c>
      <c r="J6" s="29">
        <f aca="true" t="shared" si="1" ref="J6:J51">IF(I6=0,0,ROUND((I6/D6/$G$94)+H6,1))</f>
        <v>0</v>
      </c>
      <c r="R6" s="21">
        <f>A6</f>
        <v>1940</v>
      </c>
      <c r="S6" s="4">
        <f aca="true" t="shared" si="2" ref="S6:S37">E6</f>
        <v>0</v>
      </c>
      <c r="T6">
        <f aca="true" t="shared" si="3" ref="T6:T37">IF(D6&gt;0,IF(J6&gt;0,D6,0),0)</f>
        <v>0</v>
      </c>
      <c r="U6">
        <f aca="true" t="shared" si="4" ref="U6:U37">$V$94</f>
        <v>44</v>
      </c>
      <c r="V6" s="1" t="str">
        <f aca="true" t="shared" si="5" ref="V6:V37">$V$93</f>
        <v>L2</v>
      </c>
      <c r="W6" s="2">
        <f aca="true" t="shared" si="6" ref="W6:W37">S6/U6</f>
        <v>0</v>
      </c>
      <c r="X6" s="2">
        <f>T6/U6</f>
        <v>0</v>
      </c>
      <c r="Y6" s="18">
        <f aca="true" t="shared" si="7" ref="Y6:Y37">Prob_life(V6,H6,U6)</f>
        <v>8.375350740503098</v>
      </c>
      <c r="Z6" s="18">
        <f aca="true" t="shared" si="8" ref="Z6:Z37">IF(J6&gt;0,Prob_life(V6,J6+0.5,U6),0)</f>
        <v>0</v>
      </c>
      <c r="AA6" s="2">
        <f>W6*Y6+X6*Z6</f>
        <v>0</v>
      </c>
    </row>
    <row r="7" spans="1:27" ht="12.75">
      <c r="A7">
        <v>1941</v>
      </c>
      <c r="C7" s="35">
        <f aca="true" t="shared" si="9" ref="C7:C51">G6</f>
        <v>0</v>
      </c>
      <c r="D7" s="35">
        <v>0</v>
      </c>
      <c r="E7" s="35">
        <v>0</v>
      </c>
      <c r="F7" s="35">
        <v>0</v>
      </c>
      <c r="G7" s="35">
        <f t="shared" si="0"/>
        <v>0</v>
      </c>
      <c r="H7" s="28">
        <v>79.5</v>
      </c>
      <c r="I7" s="29">
        <v>0</v>
      </c>
      <c r="J7" s="29">
        <f t="shared" si="1"/>
        <v>0</v>
      </c>
      <c r="R7" s="21">
        <f aca="true" t="shared" si="10" ref="R7:R70">A7</f>
        <v>1941</v>
      </c>
      <c r="S7" s="4">
        <f t="shared" si="2"/>
        <v>0</v>
      </c>
      <c r="T7">
        <f t="shared" si="3"/>
        <v>0</v>
      </c>
      <c r="U7">
        <f t="shared" si="4"/>
        <v>44</v>
      </c>
      <c r="V7" s="1" t="str">
        <f t="shared" si="5"/>
        <v>L2</v>
      </c>
      <c r="W7" s="2">
        <f t="shared" si="6"/>
        <v>0</v>
      </c>
      <c r="X7" s="2">
        <f aca="true" t="shared" si="11" ref="X7:X68">T7/U7</f>
        <v>0</v>
      </c>
      <c r="Y7" s="18">
        <f t="shared" si="7"/>
        <v>8.58962473504109</v>
      </c>
      <c r="Z7" s="18">
        <f t="shared" si="8"/>
        <v>0</v>
      </c>
      <c r="AA7" s="2">
        <f aca="true" t="shared" si="12" ref="AA7:AA68">W7*Y7+X7*Z7</f>
        <v>0</v>
      </c>
    </row>
    <row r="8" spans="1:27" ht="12.75">
      <c r="A8">
        <v>1942</v>
      </c>
      <c r="C8" s="35">
        <f t="shared" si="9"/>
        <v>0</v>
      </c>
      <c r="D8" s="35">
        <v>0</v>
      </c>
      <c r="E8" s="35">
        <v>0</v>
      </c>
      <c r="F8" s="35">
        <v>0</v>
      </c>
      <c r="G8" s="35">
        <f t="shared" si="0"/>
        <v>0</v>
      </c>
      <c r="H8" s="28">
        <v>78.5</v>
      </c>
      <c r="I8" s="29">
        <v>0</v>
      </c>
      <c r="J8" s="29">
        <f t="shared" si="1"/>
        <v>0</v>
      </c>
      <c r="R8" s="21">
        <f t="shared" si="10"/>
        <v>1942</v>
      </c>
      <c r="S8" s="4">
        <f t="shared" si="2"/>
        <v>0</v>
      </c>
      <c r="T8">
        <f t="shared" si="3"/>
        <v>0</v>
      </c>
      <c r="U8">
        <f t="shared" si="4"/>
        <v>44</v>
      </c>
      <c r="V8" s="1" t="str">
        <f t="shared" si="5"/>
        <v>L2</v>
      </c>
      <c r="W8" s="2">
        <f t="shared" si="6"/>
        <v>0</v>
      </c>
      <c r="X8" s="2">
        <f t="shared" si="11"/>
        <v>0</v>
      </c>
      <c r="Y8" s="18">
        <f t="shared" si="7"/>
        <v>8.805920126438513</v>
      </c>
      <c r="Z8" s="18">
        <f t="shared" si="8"/>
        <v>0</v>
      </c>
      <c r="AA8" s="2">
        <f t="shared" si="12"/>
        <v>0</v>
      </c>
    </row>
    <row r="9" spans="1:27" ht="12.75">
      <c r="A9">
        <v>1943</v>
      </c>
      <c r="C9" s="35">
        <f t="shared" si="9"/>
        <v>0</v>
      </c>
      <c r="D9" s="35">
        <v>0</v>
      </c>
      <c r="E9" s="35">
        <v>0</v>
      </c>
      <c r="F9" s="35">
        <v>0</v>
      </c>
      <c r="G9" s="35">
        <f t="shared" si="0"/>
        <v>0</v>
      </c>
      <c r="H9" s="28">
        <v>77.5</v>
      </c>
      <c r="I9" s="29">
        <v>0</v>
      </c>
      <c r="J9" s="29">
        <f t="shared" si="1"/>
        <v>0</v>
      </c>
      <c r="R9" s="21">
        <f t="shared" si="10"/>
        <v>1943</v>
      </c>
      <c r="S9" s="4">
        <f t="shared" si="2"/>
        <v>0</v>
      </c>
      <c r="T9">
        <f t="shared" si="3"/>
        <v>0</v>
      </c>
      <c r="U9">
        <f t="shared" si="4"/>
        <v>44</v>
      </c>
      <c r="V9" s="1" t="str">
        <f t="shared" si="5"/>
        <v>L2</v>
      </c>
      <c r="W9" s="2">
        <f t="shared" si="6"/>
        <v>0</v>
      </c>
      <c r="X9" s="2">
        <f t="shared" si="11"/>
        <v>0</v>
      </c>
      <c r="Y9" s="18">
        <f t="shared" si="7"/>
        <v>9.024291065272921</v>
      </c>
      <c r="Z9" s="18">
        <f t="shared" si="8"/>
        <v>0</v>
      </c>
      <c r="AA9" s="2">
        <f t="shared" si="12"/>
        <v>0</v>
      </c>
    </row>
    <row r="10" spans="1:27" ht="12.75">
      <c r="A10">
        <v>1944</v>
      </c>
      <c r="C10" s="35">
        <f t="shared" si="9"/>
        <v>0</v>
      </c>
      <c r="D10" s="35">
        <v>0</v>
      </c>
      <c r="E10" s="35">
        <v>0</v>
      </c>
      <c r="F10" s="35">
        <v>0</v>
      </c>
      <c r="G10" s="35">
        <f t="shared" si="0"/>
        <v>0</v>
      </c>
      <c r="H10" s="28">
        <v>76.5</v>
      </c>
      <c r="I10" s="29">
        <v>0</v>
      </c>
      <c r="J10" s="29">
        <f t="shared" si="1"/>
        <v>0</v>
      </c>
      <c r="R10" s="21">
        <f t="shared" si="10"/>
        <v>1944</v>
      </c>
      <c r="S10" s="4">
        <f t="shared" si="2"/>
        <v>0</v>
      </c>
      <c r="T10">
        <f t="shared" si="3"/>
        <v>0</v>
      </c>
      <c r="U10">
        <f t="shared" si="4"/>
        <v>44</v>
      </c>
      <c r="V10" s="1" t="str">
        <f t="shared" si="5"/>
        <v>L2</v>
      </c>
      <c r="W10" s="2">
        <f t="shared" si="6"/>
        <v>0</v>
      </c>
      <c r="X10" s="2">
        <f t="shared" si="11"/>
        <v>0</v>
      </c>
      <c r="Y10" s="18">
        <f t="shared" si="7"/>
        <v>9.244789232194462</v>
      </c>
      <c r="Z10" s="18">
        <f t="shared" si="8"/>
        <v>0</v>
      </c>
      <c r="AA10" s="2">
        <f t="shared" si="12"/>
        <v>0</v>
      </c>
    </row>
    <row r="11" spans="1:27" ht="12.75">
      <c r="A11">
        <v>1945</v>
      </c>
      <c r="C11" s="35">
        <f t="shared" si="9"/>
        <v>0</v>
      </c>
      <c r="D11" s="35">
        <v>0</v>
      </c>
      <c r="E11" s="35">
        <v>0</v>
      </c>
      <c r="F11" s="35">
        <v>0</v>
      </c>
      <c r="G11" s="35">
        <f t="shared" si="0"/>
        <v>0</v>
      </c>
      <c r="H11" s="28">
        <v>75.5</v>
      </c>
      <c r="I11" s="29">
        <v>0</v>
      </c>
      <c r="J11" s="29">
        <f t="shared" si="1"/>
        <v>0</v>
      </c>
      <c r="R11" s="21">
        <f t="shared" si="10"/>
        <v>1945</v>
      </c>
      <c r="S11" s="4">
        <f t="shared" si="2"/>
        <v>0</v>
      </c>
      <c r="T11">
        <f t="shared" si="3"/>
        <v>0</v>
      </c>
      <c r="U11">
        <f t="shared" si="4"/>
        <v>44</v>
      </c>
      <c r="V11" s="1" t="str">
        <f t="shared" si="5"/>
        <v>L2</v>
      </c>
      <c r="W11" s="2">
        <f t="shared" si="6"/>
        <v>0</v>
      </c>
      <c r="X11" s="2">
        <f t="shared" si="11"/>
        <v>0</v>
      </c>
      <c r="Y11" s="18">
        <f t="shared" si="7"/>
        <v>9.467462120133117</v>
      </c>
      <c r="Z11" s="18">
        <f t="shared" si="8"/>
        <v>0</v>
      </c>
      <c r="AA11" s="2">
        <f t="shared" si="12"/>
        <v>0</v>
      </c>
    </row>
    <row r="12" spans="1:27" ht="12.75">
      <c r="A12">
        <v>1946</v>
      </c>
      <c r="C12" s="35">
        <f t="shared" si="9"/>
        <v>0</v>
      </c>
      <c r="D12" s="35">
        <v>0</v>
      </c>
      <c r="E12" s="35">
        <v>0</v>
      </c>
      <c r="F12" s="35">
        <v>0</v>
      </c>
      <c r="G12" s="35">
        <f t="shared" si="0"/>
        <v>0</v>
      </c>
      <c r="H12" s="28">
        <v>74.5</v>
      </c>
      <c r="I12" s="29">
        <v>0</v>
      </c>
      <c r="J12" s="29">
        <f t="shared" si="1"/>
        <v>0</v>
      </c>
      <c r="R12" s="21">
        <f t="shared" si="10"/>
        <v>1946</v>
      </c>
      <c r="S12" s="4">
        <f t="shared" si="2"/>
        <v>0</v>
      </c>
      <c r="T12">
        <f t="shared" si="3"/>
        <v>0</v>
      </c>
      <c r="U12">
        <f t="shared" si="4"/>
        <v>44</v>
      </c>
      <c r="V12" s="1" t="str">
        <f t="shared" si="5"/>
        <v>L2</v>
      </c>
      <c r="W12" s="2">
        <f t="shared" si="6"/>
        <v>0</v>
      </c>
      <c r="X12" s="2">
        <f t="shared" si="11"/>
        <v>0</v>
      </c>
      <c r="Y12" s="18">
        <f t="shared" si="7"/>
        <v>9.692351031187393</v>
      </c>
      <c r="Z12" s="18">
        <f t="shared" si="8"/>
        <v>0</v>
      </c>
      <c r="AA12" s="2">
        <f t="shared" si="12"/>
        <v>0</v>
      </c>
    </row>
    <row r="13" spans="1:27" ht="12.75">
      <c r="A13">
        <v>1947</v>
      </c>
      <c r="C13" s="35">
        <f t="shared" si="9"/>
        <v>0</v>
      </c>
      <c r="D13" s="35">
        <v>0</v>
      </c>
      <c r="E13" s="35">
        <v>0</v>
      </c>
      <c r="F13" s="35">
        <v>0</v>
      </c>
      <c r="G13" s="35">
        <f t="shared" si="0"/>
        <v>0</v>
      </c>
      <c r="H13" s="28">
        <v>73.5</v>
      </c>
      <c r="I13" s="29">
        <v>0</v>
      </c>
      <c r="J13" s="29">
        <f t="shared" si="1"/>
        <v>0</v>
      </c>
      <c r="R13" s="21">
        <f t="shared" si="10"/>
        <v>1947</v>
      </c>
      <c r="S13" s="4">
        <f t="shared" si="2"/>
        <v>0</v>
      </c>
      <c r="T13">
        <f t="shared" si="3"/>
        <v>0</v>
      </c>
      <c r="U13">
        <f t="shared" si="4"/>
        <v>44</v>
      </c>
      <c r="V13" s="1" t="str">
        <f t="shared" si="5"/>
        <v>L2</v>
      </c>
      <c r="W13" s="2">
        <f t="shared" si="6"/>
        <v>0</v>
      </c>
      <c r="X13" s="2">
        <f t="shared" si="11"/>
        <v>0</v>
      </c>
      <c r="Y13" s="18">
        <f t="shared" si="7"/>
        <v>9.919488825608182</v>
      </c>
      <c r="Z13" s="18">
        <f t="shared" si="8"/>
        <v>0</v>
      </c>
      <c r="AA13" s="2">
        <f t="shared" si="12"/>
        <v>0</v>
      </c>
    </row>
    <row r="14" spans="1:27" ht="12.75">
      <c r="A14">
        <v>1948</v>
      </c>
      <c r="C14" s="35">
        <f t="shared" si="9"/>
        <v>0</v>
      </c>
      <c r="D14" s="35">
        <v>0</v>
      </c>
      <c r="E14" s="35">
        <v>0</v>
      </c>
      <c r="F14" s="35">
        <v>0</v>
      </c>
      <c r="G14" s="35">
        <f t="shared" si="0"/>
        <v>0</v>
      </c>
      <c r="H14" s="28">
        <v>72.5</v>
      </c>
      <c r="I14" s="29">
        <v>0</v>
      </c>
      <c r="J14" s="29">
        <f t="shared" si="1"/>
        <v>0</v>
      </c>
      <c r="R14" s="21">
        <f t="shared" si="10"/>
        <v>1948</v>
      </c>
      <c r="S14" s="4">
        <f t="shared" si="2"/>
        <v>0</v>
      </c>
      <c r="T14">
        <f t="shared" si="3"/>
        <v>0</v>
      </c>
      <c r="U14">
        <f t="shared" si="4"/>
        <v>44</v>
      </c>
      <c r="V14" s="1" t="str">
        <f t="shared" si="5"/>
        <v>L2</v>
      </c>
      <c r="W14" s="2">
        <f t="shared" si="6"/>
        <v>0</v>
      </c>
      <c r="X14" s="2">
        <f t="shared" si="11"/>
        <v>0</v>
      </c>
      <c r="Y14" s="18">
        <f t="shared" si="7"/>
        <v>10.148897475556067</v>
      </c>
      <c r="Z14" s="18">
        <f t="shared" si="8"/>
        <v>0</v>
      </c>
      <c r="AA14" s="2">
        <f t="shared" si="12"/>
        <v>0</v>
      </c>
    </row>
    <row r="15" spans="1:27" ht="12.75">
      <c r="A15">
        <v>1949</v>
      </c>
      <c r="C15" s="35">
        <f t="shared" si="9"/>
        <v>0</v>
      </c>
      <c r="D15" s="35">
        <v>0</v>
      </c>
      <c r="E15" s="35">
        <v>0</v>
      </c>
      <c r="F15" s="35">
        <v>0</v>
      </c>
      <c r="G15" s="35">
        <f t="shared" si="0"/>
        <v>0</v>
      </c>
      <c r="H15" s="28">
        <v>71.5</v>
      </c>
      <c r="I15" s="29">
        <v>0</v>
      </c>
      <c r="J15" s="29">
        <f t="shared" si="1"/>
        <v>0</v>
      </c>
      <c r="R15" s="21">
        <f t="shared" si="10"/>
        <v>1949</v>
      </c>
      <c r="S15" s="4">
        <f t="shared" si="2"/>
        <v>0</v>
      </c>
      <c r="T15">
        <f t="shared" si="3"/>
        <v>0</v>
      </c>
      <c r="U15">
        <f t="shared" si="4"/>
        <v>44</v>
      </c>
      <c r="V15" s="1" t="str">
        <f t="shared" si="5"/>
        <v>L2</v>
      </c>
      <c r="W15" s="2">
        <f t="shared" si="6"/>
        <v>0</v>
      </c>
      <c r="X15" s="2">
        <f t="shared" si="11"/>
        <v>0</v>
      </c>
      <c r="Y15" s="18">
        <f t="shared" si="7"/>
        <v>10.380585485556121</v>
      </c>
      <c r="Z15" s="18">
        <f t="shared" si="8"/>
        <v>0</v>
      </c>
      <c r="AA15" s="2">
        <f t="shared" si="12"/>
        <v>0</v>
      </c>
    </row>
    <row r="16" spans="1:27" ht="12.75">
      <c r="A16">
        <v>1950</v>
      </c>
      <c r="C16" s="35">
        <f t="shared" si="9"/>
        <v>0</v>
      </c>
      <c r="D16" s="35">
        <v>0</v>
      </c>
      <c r="E16" s="35">
        <v>0</v>
      </c>
      <c r="F16" s="35">
        <v>0</v>
      </c>
      <c r="G16" s="35">
        <f t="shared" si="0"/>
        <v>0</v>
      </c>
      <c r="H16" s="28">
        <v>70.5</v>
      </c>
      <c r="I16" s="29">
        <v>0</v>
      </c>
      <c r="J16" s="29">
        <f t="shared" si="1"/>
        <v>0</v>
      </c>
      <c r="R16" s="21">
        <f t="shared" si="10"/>
        <v>1950</v>
      </c>
      <c r="S16" s="4">
        <f t="shared" si="2"/>
        <v>0</v>
      </c>
      <c r="T16">
        <f t="shared" si="3"/>
        <v>0</v>
      </c>
      <c r="U16">
        <f t="shared" si="4"/>
        <v>44</v>
      </c>
      <c r="V16" s="1" t="str">
        <f t="shared" si="5"/>
        <v>L2</v>
      </c>
      <c r="W16" s="2">
        <f t="shared" si="6"/>
        <v>0</v>
      </c>
      <c r="X16" s="2">
        <f t="shared" si="11"/>
        <v>0</v>
      </c>
      <c r="Y16" s="18">
        <f t="shared" si="7"/>
        <v>10.614545256346716</v>
      </c>
      <c r="Z16" s="18">
        <f t="shared" si="8"/>
        <v>0</v>
      </c>
      <c r="AA16" s="2">
        <f t="shared" si="12"/>
        <v>0</v>
      </c>
    </row>
    <row r="17" spans="1:27" ht="12.75">
      <c r="A17">
        <v>1951</v>
      </c>
      <c r="C17" s="35">
        <f t="shared" si="9"/>
        <v>0</v>
      </c>
      <c r="D17" s="35">
        <v>0</v>
      </c>
      <c r="E17" s="35">
        <v>604</v>
      </c>
      <c r="F17" s="35">
        <v>0</v>
      </c>
      <c r="G17" s="35">
        <f t="shared" si="0"/>
        <v>604</v>
      </c>
      <c r="H17" s="28">
        <v>69.5</v>
      </c>
      <c r="I17" s="29">
        <v>0</v>
      </c>
      <c r="J17" s="29">
        <f t="shared" si="1"/>
        <v>0</v>
      </c>
      <c r="M17" s="38">
        <f>D17+E17</f>
        <v>604</v>
      </c>
      <c r="R17" s="21">
        <f t="shared" si="10"/>
        <v>1951</v>
      </c>
      <c r="S17" s="4">
        <f t="shared" si="2"/>
        <v>604</v>
      </c>
      <c r="T17">
        <f t="shared" si="3"/>
        <v>0</v>
      </c>
      <c r="U17">
        <f t="shared" si="4"/>
        <v>44</v>
      </c>
      <c r="V17" s="1" t="str">
        <f t="shared" si="5"/>
        <v>L2</v>
      </c>
      <c r="W17" s="2">
        <f t="shared" si="6"/>
        <v>13.727272727272727</v>
      </c>
      <c r="X17" s="2">
        <f t="shared" si="11"/>
        <v>0</v>
      </c>
      <c r="Y17" s="18">
        <f t="shared" si="7"/>
        <v>10.85075047737313</v>
      </c>
      <c r="Z17" s="18">
        <f t="shared" si="8"/>
        <v>0</v>
      </c>
      <c r="AA17" s="2">
        <f t="shared" si="12"/>
        <v>148.9512110984857</v>
      </c>
    </row>
    <row r="18" spans="1:27" ht="12.75">
      <c r="A18">
        <v>1952</v>
      </c>
      <c r="C18" s="35">
        <f t="shared" si="9"/>
        <v>604</v>
      </c>
      <c r="D18" s="35">
        <v>0</v>
      </c>
      <c r="E18" s="35">
        <v>0</v>
      </c>
      <c r="F18" s="35">
        <v>0</v>
      </c>
      <c r="G18" s="35">
        <f t="shared" si="0"/>
        <v>604</v>
      </c>
      <c r="H18" s="28">
        <v>68.5</v>
      </c>
      <c r="I18" s="29">
        <v>0</v>
      </c>
      <c r="J18" s="29">
        <f t="shared" si="1"/>
        <v>0</v>
      </c>
      <c r="M18" s="38">
        <f aca="true" t="shared" si="13" ref="M18:M81">D18+E18</f>
        <v>0</v>
      </c>
      <c r="R18" s="21">
        <f t="shared" si="10"/>
        <v>1952</v>
      </c>
      <c r="S18" s="4">
        <f t="shared" si="2"/>
        <v>0</v>
      </c>
      <c r="T18">
        <f t="shared" si="3"/>
        <v>0</v>
      </c>
      <c r="U18">
        <f t="shared" si="4"/>
        <v>44</v>
      </c>
      <c r="V18" s="1" t="str">
        <f t="shared" si="5"/>
        <v>L2</v>
      </c>
      <c r="W18" s="2">
        <f t="shared" si="6"/>
        <v>0</v>
      </c>
      <c r="X18" s="2">
        <f t="shared" si="11"/>
        <v>0</v>
      </c>
      <c r="Y18" s="18">
        <f t="shared" si="7"/>
        <v>11.089153643233438</v>
      </c>
      <c r="Z18" s="18">
        <f t="shared" si="8"/>
        <v>0</v>
      </c>
      <c r="AA18" s="2">
        <f t="shared" si="12"/>
        <v>0</v>
      </c>
    </row>
    <row r="19" spans="1:27" ht="12.75">
      <c r="A19">
        <v>1953</v>
      </c>
      <c r="C19" s="35">
        <f t="shared" si="9"/>
        <v>604</v>
      </c>
      <c r="D19" s="35">
        <v>0</v>
      </c>
      <c r="E19" s="35">
        <v>0</v>
      </c>
      <c r="F19" s="35">
        <v>0</v>
      </c>
      <c r="G19" s="35">
        <f t="shared" si="0"/>
        <v>604</v>
      </c>
      <c r="H19" s="28">
        <v>67.5</v>
      </c>
      <c r="I19" s="29">
        <v>0</v>
      </c>
      <c r="J19" s="29">
        <f t="shared" si="1"/>
        <v>0</v>
      </c>
      <c r="M19" s="38">
        <f t="shared" si="13"/>
        <v>0</v>
      </c>
      <c r="R19" s="21">
        <f t="shared" si="10"/>
        <v>1953</v>
      </c>
      <c r="S19" s="4">
        <f t="shared" si="2"/>
        <v>0</v>
      </c>
      <c r="T19">
        <f t="shared" si="3"/>
        <v>0</v>
      </c>
      <c r="U19">
        <f t="shared" si="4"/>
        <v>44</v>
      </c>
      <c r="V19" s="1" t="str">
        <f t="shared" si="5"/>
        <v>L2</v>
      </c>
      <c r="W19" s="2">
        <f t="shared" si="6"/>
        <v>0</v>
      </c>
      <c r="X19" s="2">
        <f t="shared" si="11"/>
        <v>0</v>
      </c>
      <c r="Y19" s="18">
        <f t="shared" si="7"/>
        <v>11.329683797347155</v>
      </c>
      <c r="Z19" s="18">
        <f t="shared" si="8"/>
        <v>0</v>
      </c>
      <c r="AA19" s="2">
        <f t="shared" si="12"/>
        <v>0</v>
      </c>
    </row>
    <row r="20" spans="1:27" ht="12.75">
      <c r="A20">
        <v>1954</v>
      </c>
      <c r="C20" s="35">
        <f t="shared" si="9"/>
        <v>604</v>
      </c>
      <c r="D20" s="35">
        <v>0</v>
      </c>
      <c r="E20" s="35">
        <v>0</v>
      </c>
      <c r="F20" s="35">
        <v>0</v>
      </c>
      <c r="G20" s="35">
        <f t="shared" si="0"/>
        <v>604</v>
      </c>
      <c r="H20" s="28">
        <v>66.5</v>
      </c>
      <c r="I20" s="29">
        <v>0</v>
      </c>
      <c r="J20" s="29">
        <f t="shared" si="1"/>
        <v>0</v>
      </c>
      <c r="M20" s="38">
        <f t="shared" si="13"/>
        <v>0</v>
      </c>
      <c r="R20" s="21">
        <f t="shared" si="10"/>
        <v>1954</v>
      </c>
      <c r="S20" s="4">
        <f t="shared" si="2"/>
        <v>0</v>
      </c>
      <c r="T20">
        <f t="shared" si="3"/>
        <v>0</v>
      </c>
      <c r="U20">
        <f t="shared" si="4"/>
        <v>44</v>
      </c>
      <c r="V20" s="1" t="str">
        <f t="shared" si="5"/>
        <v>L2</v>
      </c>
      <c r="W20" s="2">
        <f t="shared" si="6"/>
        <v>0</v>
      </c>
      <c r="X20" s="2">
        <f t="shared" si="11"/>
        <v>0</v>
      </c>
      <c r="Y20" s="18">
        <f t="shared" si="7"/>
        <v>11.572244614377183</v>
      </c>
      <c r="Z20" s="18">
        <f t="shared" si="8"/>
        <v>0</v>
      </c>
      <c r="AA20" s="2">
        <f t="shared" si="12"/>
        <v>0</v>
      </c>
    </row>
    <row r="21" spans="1:27" ht="12.75">
      <c r="A21">
        <v>1955</v>
      </c>
      <c r="C21" s="35">
        <f t="shared" si="9"/>
        <v>604</v>
      </c>
      <c r="D21" s="35">
        <v>0</v>
      </c>
      <c r="E21" s="35">
        <v>2821</v>
      </c>
      <c r="F21" s="35">
        <v>0</v>
      </c>
      <c r="G21" s="35">
        <f t="shared" si="0"/>
        <v>3425</v>
      </c>
      <c r="H21" s="28">
        <v>65.5</v>
      </c>
      <c r="I21" s="29">
        <v>0</v>
      </c>
      <c r="J21" s="29">
        <f t="shared" si="1"/>
        <v>0</v>
      </c>
      <c r="M21" s="38">
        <f t="shared" si="13"/>
        <v>2821</v>
      </c>
      <c r="R21" s="21">
        <f t="shared" si="10"/>
        <v>1955</v>
      </c>
      <c r="S21" s="4">
        <f t="shared" si="2"/>
        <v>2821</v>
      </c>
      <c r="T21">
        <f t="shared" si="3"/>
        <v>0</v>
      </c>
      <c r="U21">
        <f t="shared" si="4"/>
        <v>44</v>
      </c>
      <c r="V21" s="1" t="str">
        <f t="shared" si="5"/>
        <v>L2</v>
      </c>
      <c r="W21" s="2">
        <f t="shared" si="6"/>
        <v>64.11363636363636</v>
      </c>
      <c r="X21" s="2">
        <f t="shared" si="11"/>
        <v>0</v>
      </c>
      <c r="Y21" s="18">
        <f t="shared" si="7"/>
        <v>11.816712938467504</v>
      </c>
      <c r="Z21" s="18">
        <f t="shared" si="8"/>
        <v>0</v>
      </c>
      <c r="AA21" s="2">
        <f t="shared" si="12"/>
        <v>757.6124363503824</v>
      </c>
    </row>
    <row r="22" spans="1:27" ht="12.75">
      <c r="A22">
        <v>1956</v>
      </c>
      <c r="C22" s="35">
        <f t="shared" si="9"/>
        <v>3425</v>
      </c>
      <c r="D22" s="35">
        <v>0</v>
      </c>
      <c r="E22" s="35">
        <v>3317</v>
      </c>
      <c r="F22" s="35">
        <v>0</v>
      </c>
      <c r="G22" s="35">
        <f t="shared" si="0"/>
        <v>6742</v>
      </c>
      <c r="H22" s="28">
        <v>64.5</v>
      </c>
      <c r="I22" s="29">
        <v>0</v>
      </c>
      <c r="J22" s="29">
        <f t="shared" si="1"/>
        <v>0</v>
      </c>
      <c r="M22" s="38">
        <f t="shared" si="13"/>
        <v>3317</v>
      </c>
      <c r="R22" s="21">
        <f t="shared" si="10"/>
        <v>1956</v>
      </c>
      <c r="S22" s="4">
        <f t="shared" si="2"/>
        <v>3317</v>
      </c>
      <c r="T22">
        <f t="shared" si="3"/>
        <v>0</v>
      </c>
      <c r="U22">
        <f t="shared" si="4"/>
        <v>44</v>
      </c>
      <c r="V22" s="1" t="str">
        <f t="shared" si="5"/>
        <v>L2</v>
      </c>
      <c r="W22" s="2">
        <f t="shared" si="6"/>
        <v>75.38636363636364</v>
      </c>
      <c r="X22" s="2">
        <f t="shared" si="11"/>
        <v>0</v>
      </c>
      <c r="Y22" s="18">
        <f t="shared" si="7"/>
        <v>12.062937899809832</v>
      </c>
      <c r="Z22" s="18">
        <f t="shared" si="8"/>
        <v>0</v>
      </c>
      <c r="AA22" s="2">
        <f t="shared" si="12"/>
        <v>909.3810230379366</v>
      </c>
    </row>
    <row r="23" spans="1:27" ht="12.75">
      <c r="A23">
        <v>1957</v>
      </c>
      <c r="C23" s="35">
        <f t="shared" si="9"/>
        <v>6742</v>
      </c>
      <c r="D23" s="35">
        <v>0</v>
      </c>
      <c r="E23" s="35">
        <v>1730</v>
      </c>
      <c r="F23" s="35">
        <v>0</v>
      </c>
      <c r="G23" s="35">
        <f t="shared" si="0"/>
        <v>8472</v>
      </c>
      <c r="H23" s="28">
        <v>63.5</v>
      </c>
      <c r="I23" s="29">
        <v>0</v>
      </c>
      <c r="J23" s="29">
        <f t="shared" si="1"/>
        <v>0</v>
      </c>
      <c r="M23" s="38">
        <f t="shared" si="13"/>
        <v>1730</v>
      </c>
      <c r="R23" s="21">
        <f t="shared" si="10"/>
        <v>1957</v>
      </c>
      <c r="S23" s="4">
        <f t="shared" si="2"/>
        <v>1730</v>
      </c>
      <c r="T23">
        <f t="shared" si="3"/>
        <v>0</v>
      </c>
      <c r="U23">
        <f t="shared" si="4"/>
        <v>44</v>
      </c>
      <c r="V23" s="1" t="str">
        <f t="shared" si="5"/>
        <v>L2</v>
      </c>
      <c r="W23" s="2">
        <f t="shared" si="6"/>
        <v>39.31818181818182</v>
      </c>
      <c r="X23" s="2">
        <f t="shared" si="11"/>
        <v>0</v>
      </c>
      <c r="Y23" s="18">
        <f t="shared" si="7"/>
        <v>12.310740732893535</v>
      </c>
      <c r="Z23" s="18">
        <f t="shared" si="8"/>
        <v>0</v>
      </c>
      <c r="AA23" s="2">
        <f t="shared" si="12"/>
        <v>484.0359424524049</v>
      </c>
    </row>
    <row r="24" spans="1:27" ht="12.75">
      <c r="A24">
        <v>1958</v>
      </c>
      <c r="C24" s="35">
        <f t="shared" si="9"/>
        <v>8472</v>
      </c>
      <c r="D24" s="35">
        <v>0</v>
      </c>
      <c r="E24" s="35">
        <v>4222</v>
      </c>
      <c r="F24" s="35">
        <v>0</v>
      </c>
      <c r="G24" s="35">
        <f t="shared" si="0"/>
        <v>12694</v>
      </c>
      <c r="H24" s="28">
        <v>62.5</v>
      </c>
      <c r="I24" s="29">
        <v>0</v>
      </c>
      <c r="J24" s="29">
        <f t="shared" si="1"/>
        <v>0</v>
      </c>
      <c r="M24" s="38">
        <f t="shared" si="13"/>
        <v>4222</v>
      </c>
      <c r="R24" s="21">
        <f t="shared" si="10"/>
        <v>1958</v>
      </c>
      <c r="S24" s="4">
        <f t="shared" si="2"/>
        <v>4222</v>
      </c>
      <c r="T24">
        <f t="shared" si="3"/>
        <v>0</v>
      </c>
      <c r="U24">
        <f t="shared" si="4"/>
        <v>44</v>
      </c>
      <c r="V24" s="1" t="str">
        <f t="shared" si="5"/>
        <v>L2</v>
      </c>
      <c r="W24" s="2">
        <f t="shared" si="6"/>
        <v>95.95454545454545</v>
      </c>
      <c r="X24" s="2">
        <f t="shared" si="11"/>
        <v>0</v>
      </c>
      <c r="Y24" s="18">
        <f t="shared" si="7"/>
        <v>12.55991541952062</v>
      </c>
      <c r="Z24" s="18">
        <f t="shared" si="8"/>
        <v>0</v>
      </c>
      <c r="AA24" s="2">
        <f t="shared" si="12"/>
        <v>1205.1809750276375</v>
      </c>
    </row>
    <row r="25" spans="1:27" ht="12.75">
      <c r="A25">
        <v>1959</v>
      </c>
      <c r="C25" s="35">
        <f t="shared" si="9"/>
        <v>12694</v>
      </c>
      <c r="D25" s="35">
        <v>0</v>
      </c>
      <c r="E25" s="35">
        <v>11640</v>
      </c>
      <c r="F25" s="35">
        <v>0</v>
      </c>
      <c r="G25" s="35">
        <f t="shared" si="0"/>
        <v>24334</v>
      </c>
      <c r="H25" s="28">
        <v>61.5</v>
      </c>
      <c r="I25" s="29">
        <v>0</v>
      </c>
      <c r="J25" s="29">
        <f t="shared" si="1"/>
        <v>0</v>
      </c>
      <c r="M25" s="38">
        <f t="shared" si="13"/>
        <v>11640</v>
      </c>
      <c r="R25" s="21">
        <f t="shared" si="10"/>
        <v>1959</v>
      </c>
      <c r="S25" s="4">
        <f t="shared" si="2"/>
        <v>11640</v>
      </c>
      <c r="T25">
        <f t="shared" si="3"/>
        <v>0</v>
      </c>
      <c r="U25">
        <f t="shared" si="4"/>
        <v>44</v>
      </c>
      <c r="V25" s="1" t="str">
        <f t="shared" si="5"/>
        <v>L2</v>
      </c>
      <c r="W25" s="2">
        <f t="shared" si="6"/>
        <v>264.54545454545456</v>
      </c>
      <c r="X25" s="2">
        <f t="shared" si="11"/>
        <v>0</v>
      </c>
      <c r="Y25" s="18">
        <f t="shared" si="7"/>
        <v>12.81023027370301</v>
      </c>
      <c r="Z25" s="18">
        <f t="shared" si="8"/>
        <v>0</v>
      </c>
      <c r="AA25" s="2">
        <f t="shared" si="12"/>
        <v>3388.8881905887056</v>
      </c>
    </row>
    <row r="26" spans="1:27" ht="12.75">
      <c r="A26">
        <v>1960</v>
      </c>
      <c r="C26" s="35">
        <f t="shared" si="9"/>
        <v>24334</v>
      </c>
      <c r="D26" s="35">
        <v>0</v>
      </c>
      <c r="E26" s="35">
        <v>36436</v>
      </c>
      <c r="F26" s="35">
        <v>0</v>
      </c>
      <c r="G26" s="35">
        <f t="shared" si="0"/>
        <v>60770</v>
      </c>
      <c r="H26" s="28">
        <v>60.5</v>
      </c>
      <c r="I26" s="29">
        <v>0</v>
      </c>
      <c r="J26" s="29">
        <f t="shared" si="1"/>
        <v>0</v>
      </c>
      <c r="M26" s="38">
        <f t="shared" si="13"/>
        <v>36436</v>
      </c>
      <c r="R26" s="21">
        <f t="shared" si="10"/>
        <v>1960</v>
      </c>
      <c r="S26" s="4">
        <f t="shared" si="2"/>
        <v>36436</v>
      </c>
      <c r="T26">
        <f t="shared" si="3"/>
        <v>0</v>
      </c>
      <c r="U26">
        <f t="shared" si="4"/>
        <v>44</v>
      </c>
      <c r="V26" s="1" t="str">
        <f t="shared" si="5"/>
        <v>L2</v>
      </c>
      <c r="W26" s="2">
        <f t="shared" si="6"/>
        <v>828.0909090909091</v>
      </c>
      <c r="X26" s="2">
        <f t="shared" si="11"/>
        <v>0</v>
      </c>
      <c r="Y26" s="18">
        <f t="shared" si="7"/>
        <v>13.061430576121152</v>
      </c>
      <c r="Z26" s="18">
        <f t="shared" si="8"/>
        <v>0</v>
      </c>
      <c r="AA26" s="2">
        <f t="shared" si="12"/>
        <v>10816.051919807962</v>
      </c>
    </row>
    <row r="27" spans="1:27" ht="12.75">
      <c r="A27">
        <v>1961</v>
      </c>
      <c r="C27" s="35">
        <f t="shared" si="9"/>
        <v>60770</v>
      </c>
      <c r="D27" s="35">
        <v>0</v>
      </c>
      <c r="E27" s="35">
        <v>2350</v>
      </c>
      <c r="F27" s="35">
        <v>0</v>
      </c>
      <c r="G27" s="35">
        <f t="shared" si="0"/>
        <v>63120</v>
      </c>
      <c r="H27" s="28">
        <v>59.5</v>
      </c>
      <c r="I27" s="29">
        <v>0</v>
      </c>
      <c r="J27" s="29">
        <f t="shared" si="1"/>
        <v>0</v>
      </c>
      <c r="M27" s="38">
        <f t="shared" si="13"/>
        <v>2350</v>
      </c>
      <c r="R27" s="21">
        <f t="shared" si="10"/>
        <v>1961</v>
      </c>
      <c r="S27" s="4">
        <f t="shared" si="2"/>
        <v>2350</v>
      </c>
      <c r="T27">
        <f t="shared" si="3"/>
        <v>0</v>
      </c>
      <c r="U27">
        <f t="shared" si="4"/>
        <v>44</v>
      </c>
      <c r="V27" s="1" t="str">
        <f t="shared" si="5"/>
        <v>L2</v>
      </c>
      <c r="W27" s="2">
        <f t="shared" si="6"/>
        <v>53.40909090909091</v>
      </c>
      <c r="X27" s="2">
        <f t="shared" si="11"/>
        <v>0</v>
      </c>
      <c r="Y27" s="18">
        <f t="shared" si="7"/>
        <v>13.313242347137264</v>
      </c>
      <c r="Z27" s="18">
        <f t="shared" si="8"/>
        <v>0</v>
      </c>
      <c r="AA27" s="2">
        <f t="shared" si="12"/>
        <v>711.0481708130129</v>
      </c>
    </row>
    <row r="28" spans="1:27" ht="12.75">
      <c r="A28">
        <v>1962</v>
      </c>
      <c r="C28" s="35">
        <f t="shared" si="9"/>
        <v>63120</v>
      </c>
      <c r="D28" s="35">
        <v>0</v>
      </c>
      <c r="E28" s="35">
        <v>143</v>
      </c>
      <c r="F28" s="35">
        <v>360</v>
      </c>
      <c r="G28" s="35">
        <f t="shared" si="0"/>
        <v>62903</v>
      </c>
      <c r="H28" s="28">
        <v>58.5</v>
      </c>
      <c r="I28" s="29">
        <v>0</v>
      </c>
      <c r="J28" s="29">
        <f t="shared" si="1"/>
        <v>0</v>
      </c>
      <c r="M28" s="38">
        <f t="shared" si="13"/>
        <v>143</v>
      </c>
      <c r="R28" s="21">
        <f t="shared" si="10"/>
        <v>1962</v>
      </c>
      <c r="S28" s="4">
        <f t="shared" si="2"/>
        <v>143</v>
      </c>
      <c r="T28">
        <f t="shared" si="3"/>
        <v>0</v>
      </c>
      <c r="U28">
        <f t="shared" si="4"/>
        <v>44</v>
      </c>
      <c r="V28" s="1" t="str">
        <f t="shared" si="5"/>
        <v>L2</v>
      </c>
      <c r="W28" s="2">
        <f t="shared" si="6"/>
        <v>3.25</v>
      </c>
      <c r="X28" s="2">
        <f t="shared" si="11"/>
        <v>0</v>
      </c>
      <c r="Y28" s="18">
        <f t="shared" si="7"/>
        <v>13.565377324925198</v>
      </c>
      <c r="Z28" s="18">
        <f t="shared" si="8"/>
        <v>0</v>
      </c>
      <c r="AA28" s="2">
        <f t="shared" si="12"/>
        <v>44.08747630600689</v>
      </c>
    </row>
    <row r="29" spans="1:27" ht="12.75">
      <c r="A29">
        <v>1963</v>
      </c>
      <c r="C29" s="35">
        <f t="shared" si="9"/>
        <v>62903</v>
      </c>
      <c r="D29" s="35">
        <v>0</v>
      </c>
      <c r="E29" s="35">
        <v>1590</v>
      </c>
      <c r="F29" s="35">
        <v>321</v>
      </c>
      <c r="G29" s="35">
        <f t="shared" si="0"/>
        <v>64172</v>
      </c>
      <c r="H29" s="28">
        <v>57.5</v>
      </c>
      <c r="I29" s="29">
        <v>0</v>
      </c>
      <c r="J29" s="29">
        <f t="shared" si="1"/>
        <v>0</v>
      </c>
      <c r="M29" s="38">
        <f t="shared" si="13"/>
        <v>1590</v>
      </c>
      <c r="R29" s="21">
        <f t="shared" si="10"/>
        <v>1963</v>
      </c>
      <c r="S29" s="4">
        <f t="shared" si="2"/>
        <v>1590</v>
      </c>
      <c r="T29">
        <f t="shared" si="3"/>
        <v>0</v>
      </c>
      <c r="U29">
        <f t="shared" si="4"/>
        <v>44</v>
      </c>
      <c r="V29" s="1" t="str">
        <f t="shared" si="5"/>
        <v>L2</v>
      </c>
      <c r="W29" s="2">
        <f t="shared" si="6"/>
        <v>36.13636363636363</v>
      </c>
      <c r="X29" s="2">
        <f t="shared" si="11"/>
        <v>0</v>
      </c>
      <c r="Y29" s="18">
        <f t="shared" si="7"/>
        <v>13.817539183941637</v>
      </c>
      <c r="Z29" s="18">
        <f t="shared" si="8"/>
        <v>0</v>
      </c>
      <c r="AA29" s="2">
        <f t="shared" si="12"/>
        <v>499.3156205106182</v>
      </c>
    </row>
    <row r="30" spans="1:27" ht="12.75">
      <c r="A30">
        <v>1964</v>
      </c>
      <c r="C30" s="35">
        <f t="shared" si="9"/>
        <v>64172</v>
      </c>
      <c r="D30" s="35">
        <v>0</v>
      </c>
      <c r="E30" s="35">
        <v>2469</v>
      </c>
      <c r="F30" s="35">
        <v>486</v>
      </c>
      <c r="G30" s="35">
        <f t="shared" si="0"/>
        <v>66155</v>
      </c>
      <c r="H30" s="28">
        <v>56.5</v>
      </c>
      <c r="I30" s="29">
        <v>0</v>
      </c>
      <c r="J30" s="29">
        <f t="shared" si="1"/>
        <v>0</v>
      </c>
      <c r="M30" s="38">
        <f t="shared" si="13"/>
        <v>2469</v>
      </c>
      <c r="R30" s="21">
        <f t="shared" si="10"/>
        <v>1964</v>
      </c>
      <c r="S30" s="4">
        <f t="shared" si="2"/>
        <v>2469</v>
      </c>
      <c r="T30">
        <f t="shared" si="3"/>
        <v>0</v>
      </c>
      <c r="U30">
        <f t="shared" si="4"/>
        <v>44</v>
      </c>
      <c r="V30" s="1" t="str">
        <f t="shared" si="5"/>
        <v>L2</v>
      </c>
      <c r="W30" s="2">
        <f t="shared" si="6"/>
        <v>56.11363636363637</v>
      </c>
      <c r="X30" s="2">
        <f t="shared" si="11"/>
        <v>0</v>
      </c>
      <c r="Y30" s="18">
        <f t="shared" si="7"/>
        <v>14.069430989872462</v>
      </c>
      <c r="Z30" s="18">
        <f t="shared" si="8"/>
        <v>0</v>
      </c>
      <c r="AA30" s="2">
        <f t="shared" si="12"/>
        <v>789.4869344089798</v>
      </c>
    </row>
    <row r="31" spans="1:27" ht="12.75">
      <c r="A31">
        <v>1965</v>
      </c>
      <c r="C31" s="35">
        <f t="shared" si="9"/>
        <v>66155</v>
      </c>
      <c r="D31" s="35">
        <v>0</v>
      </c>
      <c r="E31" s="35">
        <v>11196</v>
      </c>
      <c r="F31" s="35">
        <v>4853</v>
      </c>
      <c r="G31" s="35">
        <f t="shared" si="0"/>
        <v>72498</v>
      </c>
      <c r="H31" s="28">
        <v>55.5</v>
      </c>
      <c r="I31" s="29">
        <v>0</v>
      </c>
      <c r="J31" s="29">
        <f t="shared" si="1"/>
        <v>0</v>
      </c>
      <c r="M31" s="38">
        <f t="shared" si="13"/>
        <v>11196</v>
      </c>
      <c r="R31" s="21">
        <f t="shared" si="10"/>
        <v>1965</v>
      </c>
      <c r="S31" s="4">
        <f t="shared" si="2"/>
        <v>11196</v>
      </c>
      <c r="T31">
        <f t="shared" si="3"/>
        <v>0</v>
      </c>
      <c r="U31">
        <f t="shared" si="4"/>
        <v>44</v>
      </c>
      <c r="V31" s="1" t="str">
        <f t="shared" si="5"/>
        <v>L2</v>
      </c>
      <c r="W31" s="2">
        <f t="shared" si="6"/>
        <v>254.45454545454547</v>
      </c>
      <c r="X31" s="2">
        <f t="shared" si="11"/>
        <v>0</v>
      </c>
      <c r="Y31" s="18">
        <f t="shared" si="7"/>
        <v>14.320763842899888</v>
      </c>
      <c r="Z31" s="18">
        <f t="shared" si="8"/>
        <v>0</v>
      </c>
      <c r="AA31" s="2">
        <f t="shared" si="12"/>
        <v>3643.9834542069807</v>
      </c>
    </row>
    <row r="32" spans="1:27" ht="12.75">
      <c r="A32">
        <v>1966</v>
      </c>
      <c r="C32" s="35">
        <f t="shared" si="9"/>
        <v>72498</v>
      </c>
      <c r="D32" s="35">
        <v>0</v>
      </c>
      <c r="E32" s="35">
        <v>12600</v>
      </c>
      <c r="F32" s="35">
        <v>43</v>
      </c>
      <c r="G32" s="35">
        <f t="shared" si="0"/>
        <v>85055</v>
      </c>
      <c r="H32" s="28">
        <v>54.5</v>
      </c>
      <c r="I32" s="29">
        <v>0</v>
      </c>
      <c r="J32" s="29">
        <f t="shared" si="1"/>
        <v>0</v>
      </c>
      <c r="M32" s="38">
        <f t="shared" si="13"/>
        <v>12600</v>
      </c>
      <c r="R32" s="21">
        <f t="shared" si="10"/>
        <v>1966</v>
      </c>
      <c r="S32" s="4">
        <f t="shared" si="2"/>
        <v>12600</v>
      </c>
      <c r="T32">
        <f t="shared" si="3"/>
        <v>0</v>
      </c>
      <c r="U32">
        <f t="shared" si="4"/>
        <v>44</v>
      </c>
      <c r="V32" s="1" t="str">
        <f t="shared" si="5"/>
        <v>L2</v>
      </c>
      <c r="W32" s="2">
        <f t="shared" si="6"/>
        <v>286.3636363636364</v>
      </c>
      <c r="X32" s="2">
        <f t="shared" si="11"/>
        <v>0</v>
      </c>
      <c r="Y32" s="18">
        <f t="shared" si="7"/>
        <v>14.571266610175696</v>
      </c>
      <c r="Z32" s="18">
        <f t="shared" si="8"/>
        <v>0</v>
      </c>
      <c r="AA32" s="2">
        <f t="shared" si="12"/>
        <v>4172.68089291395</v>
      </c>
    </row>
    <row r="33" spans="1:27" ht="12.75">
      <c r="A33">
        <v>1967</v>
      </c>
      <c r="C33" s="35">
        <f t="shared" si="9"/>
        <v>85055</v>
      </c>
      <c r="D33" s="35">
        <v>0</v>
      </c>
      <c r="E33" s="35">
        <v>6054</v>
      </c>
      <c r="F33" s="35">
        <v>450</v>
      </c>
      <c r="G33" s="35">
        <f t="shared" si="0"/>
        <v>90659</v>
      </c>
      <c r="H33" s="28">
        <v>53.5</v>
      </c>
      <c r="I33" s="29">
        <v>0</v>
      </c>
      <c r="J33" s="29">
        <f t="shared" si="1"/>
        <v>0</v>
      </c>
      <c r="M33" s="38">
        <f t="shared" si="13"/>
        <v>6054</v>
      </c>
      <c r="R33" s="21">
        <f t="shared" si="10"/>
        <v>1967</v>
      </c>
      <c r="S33" s="4">
        <f t="shared" si="2"/>
        <v>6054</v>
      </c>
      <c r="T33">
        <f t="shared" si="3"/>
        <v>0</v>
      </c>
      <c r="U33">
        <f t="shared" si="4"/>
        <v>44</v>
      </c>
      <c r="V33" s="1" t="str">
        <f t="shared" si="5"/>
        <v>L2</v>
      </c>
      <c r="W33" s="2">
        <f t="shared" si="6"/>
        <v>137.5909090909091</v>
      </c>
      <c r="X33" s="2">
        <f t="shared" si="11"/>
        <v>0</v>
      </c>
      <c r="Y33" s="18">
        <f t="shared" si="7"/>
        <v>14.820696595938895</v>
      </c>
      <c r="Z33" s="18">
        <f t="shared" si="8"/>
        <v>0</v>
      </c>
      <c r="AA33" s="2">
        <f t="shared" si="12"/>
        <v>2039.1931179957744</v>
      </c>
    </row>
    <row r="34" spans="1:27" ht="12.75">
      <c r="A34">
        <v>1968</v>
      </c>
      <c r="C34" s="35">
        <f t="shared" si="9"/>
        <v>90659</v>
      </c>
      <c r="D34" s="35">
        <v>0</v>
      </c>
      <c r="E34" s="35">
        <v>5943</v>
      </c>
      <c r="F34" s="35">
        <v>84</v>
      </c>
      <c r="G34" s="35">
        <f t="shared" si="0"/>
        <v>96518</v>
      </c>
      <c r="H34" s="28">
        <v>52.5</v>
      </c>
      <c r="I34" s="29">
        <v>0</v>
      </c>
      <c r="J34" s="29">
        <f t="shared" si="1"/>
        <v>0</v>
      </c>
      <c r="M34" s="38">
        <f t="shared" si="13"/>
        <v>5943</v>
      </c>
      <c r="R34" s="21">
        <f t="shared" si="10"/>
        <v>1968</v>
      </c>
      <c r="S34" s="4">
        <f t="shared" si="2"/>
        <v>5943</v>
      </c>
      <c r="T34">
        <f t="shared" si="3"/>
        <v>0</v>
      </c>
      <c r="U34">
        <f t="shared" si="4"/>
        <v>44</v>
      </c>
      <c r="V34" s="1" t="str">
        <f t="shared" si="5"/>
        <v>L2</v>
      </c>
      <c r="W34" s="2">
        <f t="shared" si="6"/>
        <v>135.0681818181818</v>
      </c>
      <c r="X34" s="2">
        <f t="shared" si="11"/>
        <v>0</v>
      </c>
      <c r="Y34" s="18">
        <f t="shared" si="7"/>
        <v>15.068850943839946</v>
      </c>
      <c r="Z34" s="18">
        <f t="shared" si="8"/>
        <v>0</v>
      </c>
      <c r="AA34" s="2">
        <f t="shared" si="12"/>
        <v>2035.3222990736544</v>
      </c>
    </row>
    <row r="35" spans="1:27" ht="12.75">
      <c r="A35">
        <v>1969</v>
      </c>
      <c r="C35" s="35">
        <f t="shared" si="9"/>
        <v>96518</v>
      </c>
      <c r="D35" s="35">
        <v>0</v>
      </c>
      <c r="E35" s="35">
        <v>18946</v>
      </c>
      <c r="F35" s="35">
        <v>1420</v>
      </c>
      <c r="G35" s="35">
        <f t="shared" si="0"/>
        <v>114044</v>
      </c>
      <c r="H35" s="28">
        <v>51.5</v>
      </c>
      <c r="I35" s="29">
        <v>0</v>
      </c>
      <c r="J35" s="29">
        <f t="shared" si="1"/>
        <v>0</v>
      </c>
      <c r="M35" s="38">
        <f t="shared" si="13"/>
        <v>18946</v>
      </c>
      <c r="R35" s="21">
        <f t="shared" si="10"/>
        <v>1969</v>
      </c>
      <c r="S35" s="4">
        <f t="shared" si="2"/>
        <v>18946</v>
      </c>
      <c r="T35">
        <f t="shared" si="3"/>
        <v>0</v>
      </c>
      <c r="U35">
        <f t="shared" si="4"/>
        <v>44</v>
      </c>
      <c r="V35" s="1" t="str">
        <f t="shared" si="5"/>
        <v>L2</v>
      </c>
      <c r="W35" s="2">
        <f t="shared" si="6"/>
        <v>430.59090909090907</v>
      </c>
      <c r="X35" s="2">
        <f t="shared" si="11"/>
        <v>0</v>
      </c>
      <c r="Y35" s="18">
        <f t="shared" si="7"/>
        <v>15.315578517671765</v>
      </c>
      <c r="Z35" s="18">
        <f t="shared" si="8"/>
        <v>0</v>
      </c>
      <c r="AA35" s="2">
        <f t="shared" si="12"/>
        <v>6594.748877177483</v>
      </c>
    </row>
    <row r="36" spans="1:27" ht="12.75">
      <c r="A36">
        <v>1970</v>
      </c>
      <c r="C36" s="35">
        <f t="shared" si="9"/>
        <v>114044</v>
      </c>
      <c r="D36" s="35">
        <v>0</v>
      </c>
      <c r="E36" s="35">
        <v>4457</v>
      </c>
      <c r="F36" s="35">
        <v>0</v>
      </c>
      <c r="G36" s="35">
        <f t="shared" si="0"/>
        <v>118501</v>
      </c>
      <c r="H36" s="28">
        <v>50.5</v>
      </c>
      <c r="I36" s="29">
        <v>0</v>
      </c>
      <c r="J36" s="29">
        <f t="shared" si="1"/>
        <v>0</v>
      </c>
      <c r="M36" s="38">
        <f t="shared" si="13"/>
        <v>4457</v>
      </c>
      <c r="R36" s="21">
        <f t="shared" si="10"/>
        <v>1970</v>
      </c>
      <c r="S36" s="4">
        <f t="shared" si="2"/>
        <v>4457</v>
      </c>
      <c r="T36">
        <f t="shared" si="3"/>
        <v>0</v>
      </c>
      <c r="U36">
        <f t="shared" si="4"/>
        <v>44</v>
      </c>
      <c r="V36" s="1" t="str">
        <f t="shared" si="5"/>
        <v>L2</v>
      </c>
      <c r="W36" s="2">
        <f t="shared" si="6"/>
        <v>101.29545454545455</v>
      </c>
      <c r="X36" s="2">
        <f t="shared" si="11"/>
        <v>0</v>
      </c>
      <c r="Y36" s="18">
        <f t="shared" si="7"/>
        <v>15.56079196345262</v>
      </c>
      <c r="Z36" s="18">
        <f t="shared" si="8"/>
        <v>0</v>
      </c>
      <c r="AA36" s="2">
        <f t="shared" si="12"/>
        <v>1576.2374950251894</v>
      </c>
    </row>
    <row r="37" spans="1:27" ht="12.75">
      <c r="A37">
        <v>1971</v>
      </c>
      <c r="C37" s="35">
        <f t="shared" si="9"/>
        <v>118501</v>
      </c>
      <c r="D37" s="35">
        <v>0</v>
      </c>
      <c r="E37" s="35">
        <v>22690</v>
      </c>
      <c r="F37" s="35">
        <v>0</v>
      </c>
      <c r="G37" s="35">
        <f t="shared" si="0"/>
        <v>141191</v>
      </c>
      <c r="H37" s="28">
        <v>49.5</v>
      </c>
      <c r="I37" s="29">
        <v>0</v>
      </c>
      <c r="J37" s="29">
        <f t="shared" si="1"/>
        <v>0</v>
      </c>
      <c r="M37" s="38">
        <f t="shared" si="13"/>
        <v>22690</v>
      </c>
      <c r="R37" s="21">
        <f t="shared" si="10"/>
        <v>1971</v>
      </c>
      <c r="S37" s="4">
        <f t="shared" si="2"/>
        <v>22690</v>
      </c>
      <c r="T37">
        <f t="shared" si="3"/>
        <v>0</v>
      </c>
      <c r="U37">
        <f t="shared" si="4"/>
        <v>44</v>
      </c>
      <c r="V37" s="1" t="str">
        <f t="shared" si="5"/>
        <v>L2</v>
      </c>
      <c r="W37" s="2">
        <f t="shared" si="6"/>
        <v>515.6818181818181</v>
      </c>
      <c r="X37" s="2">
        <f t="shared" si="11"/>
        <v>0</v>
      </c>
      <c r="Y37" s="18">
        <f t="shared" si="7"/>
        <v>15.804479626773912</v>
      </c>
      <c r="Z37" s="18">
        <f t="shared" si="8"/>
        <v>0</v>
      </c>
      <c r="AA37" s="2">
        <f t="shared" si="12"/>
        <v>8150.082789352273</v>
      </c>
    </row>
    <row r="38" spans="1:27" ht="12.75">
      <c r="A38">
        <v>1972</v>
      </c>
      <c r="C38" s="35">
        <f t="shared" si="9"/>
        <v>141191</v>
      </c>
      <c r="D38" s="35">
        <v>0</v>
      </c>
      <c r="E38" s="35">
        <v>1848</v>
      </c>
      <c r="F38" s="35">
        <v>0</v>
      </c>
      <c r="G38" s="35">
        <f t="shared" si="0"/>
        <v>143039</v>
      </c>
      <c r="H38" s="28">
        <v>48.5</v>
      </c>
      <c r="I38" s="29">
        <v>0</v>
      </c>
      <c r="J38" s="29">
        <f t="shared" si="1"/>
        <v>0</v>
      </c>
      <c r="M38" s="38">
        <f t="shared" si="13"/>
        <v>1848</v>
      </c>
      <c r="R38" s="21">
        <f t="shared" si="10"/>
        <v>1972</v>
      </c>
      <c r="S38" s="4">
        <f aca="true" t="shared" si="14" ref="S38:S68">E38</f>
        <v>1848</v>
      </c>
      <c r="T38">
        <f aca="true" t="shared" si="15" ref="T38:T68">IF(D38&gt;0,IF(J38&gt;0,D38,0),0)</f>
        <v>0</v>
      </c>
      <c r="U38">
        <f aca="true" t="shared" si="16" ref="U38:U72">$V$94</f>
        <v>44</v>
      </c>
      <c r="V38" s="1" t="str">
        <f aca="true" t="shared" si="17" ref="V38:V86">$V$93</f>
        <v>L2</v>
      </c>
      <c r="W38" s="2">
        <f aca="true" t="shared" si="18" ref="W38:W68">S38/U38</f>
        <v>42</v>
      </c>
      <c r="X38" s="2">
        <f t="shared" si="11"/>
        <v>0</v>
      </c>
      <c r="Y38" s="18">
        <f aca="true" t="shared" si="19" ref="Y38:Y66">Prob_life(V38,H38,U38)</f>
        <v>16.046716982617973</v>
      </c>
      <c r="Z38" s="18">
        <f aca="true" t="shared" si="20" ref="Z38:Z68">IF(J38&gt;0,Prob_life(V38,J38+0.5,U38),0)</f>
        <v>0</v>
      </c>
      <c r="AA38" s="2">
        <f t="shared" si="12"/>
        <v>673.9621132699549</v>
      </c>
    </row>
    <row r="39" spans="1:27" ht="12.75">
      <c r="A39">
        <v>1973</v>
      </c>
      <c r="C39" s="35">
        <f t="shared" si="9"/>
        <v>143039</v>
      </c>
      <c r="D39" s="35">
        <v>0</v>
      </c>
      <c r="E39" s="35">
        <v>11003</v>
      </c>
      <c r="F39" s="35">
        <v>0</v>
      </c>
      <c r="G39" s="35">
        <f t="shared" si="0"/>
        <v>154042</v>
      </c>
      <c r="H39" s="28">
        <v>47.5</v>
      </c>
      <c r="I39" s="29">
        <v>0</v>
      </c>
      <c r="J39" s="29">
        <f t="shared" si="1"/>
        <v>0</v>
      </c>
      <c r="M39" s="38">
        <f t="shared" si="13"/>
        <v>11003</v>
      </c>
      <c r="R39" s="21">
        <f t="shared" si="10"/>
        <v>1973</v>
      </c>
      <c r="S39" s="4">
        <f t="shared" si="14"/>
        <v>11003</v>
      </c>
      <c r="T39">
        <f t="shared" si="15"/>
        <v>0</v>
      </c>
      <c r="U39">
        <f t="shared" si="16"/>
        <v>44</v>
      </c>
      <c r="V39" s="1" t="str">
        <f t="shared" si="17"/>
        <v>L2</v>
      </c>
      <c r="W39" s="2">
        <f t="shared" si="18"/>
        <v>250.0681818181818</v>
      </c>
      <c r="X39" s="2">
        <f t="shared" si="11"/>
        <v>0</v>
      </c>
      <c r="Y39" s="18">
        <f t="shared" si="19"/>
        <v>16.287677237903093</v>
      </c>
      <c r="Z39" s="18">
        <f t="shared" si="20"/>
        <v>0</v>
      </c>
      <c r="AA39" s="2">
        <f t="shared" si="12"/>
        <v>4073.029832923812</v>
      </c>
    </row>
    <row r="40" spans="1:27" ht="12.75">
      <c r="A40">
        <v>1974</v>
      </c>
      <c r="C40" s="35">
        <f t="shared" si="9"/>
        <v>154042</v>
      </c>
      <c r="D40" s="35">
        <v>0</v>
      </c>
      <c r="E40" s="35">
        <v>21450</v>
      </c>
      <c r="F40" s="35">
        <v>339</v>
      </c>
      <c r="G40" s="35">
        <f t="shared" si="0"/>
        <v>175153</v>
      </c>
      <c r="H40" s="28">
        <v>46.5</v>
      </c>
      <c r="I40" s="29">
        <v>0</v>
      </c>
      <c r="J40" s="29">
        <f t="shared" si="1"/>
        <v>0</v>
      </c>
      <c r="M40" s="38">
        <f t="shared" si="13"/>
        <v>21450</v>
      </c>
      <c r="R40" s="21">
        <f t="shared" si="10"/>
        <v>1974</v>
      </c>
      <c r="S40" s="4">
        <f t="shared" si="14"/>
        <v>21450</v>
      </c>
      <c r="T40">
        <f t="shared" si="15"/>
        <v>0</v>
      </c>
      <c r="U40">
        <f t="shared" si="16"/>
        <v>44</v>
      </c>
      <c r="V40" s="1" t="str">
        <f t="shared" si="17"/>
        <v>L2</v>
      </c>
      <c r="W40" s="2">
        <f t="shared" si="18"/>
        <v>487.5</v>
      </c>
      <c r="X40" s="2">
        <f t="shared" si="11"/>
        <v>0</v>
      </c>
      <c r="Y40" s="18">
        <f t="shared" si="19"/>
        <v>16.527640787543188</v>
      </c>
      <c r="Z40" s="18">
        <f t="shared" si="20"/>
        <v>0</v>
      </c>
      <c r="AA40" s="2">
        <f t="shared" si="12"/>
        <v>8057.224883927304</v>
      </c>
    </row>
    <row r="41" spans="1:27" ht="12.75">
      <c r="A41">
        <v>1975</v>
      </c>
      <c r="C41" s="35">
        <f t="shared" si="9"/>
        <v>175153</v>
      </c>
      <c r="D41" s="35">
        <v>0</v>
      </c>
      <c r="E41" s="35">
        <v>68977</v>
      </c>
      <c r="F41" s="35">
        <v>2071</v>
      </c>
      <c r="G41" s="35">
        <f t="shared" si="0"/>
        <v>242059</v>
      </c>
      <c r="H41" s="28">
        <v>45.5</v>
      </c>
      <c r="I41" s="29">
        <v>0</v>
      </c>
      <c r="J41" s="29">
        <f t="shared" si="1"/>
        <v>0</v>
      </c>
      <c r="M41" s="38">
        <f t="shared" si="13"/>
        <v>68977</v>
      </c>
      <c r="R41" s="21">
        <f t="shared" si="10"/>
        <v>1975</v>
      </c>
      <c r="S41" s="4">
        <f t="shared" si="14"/>
        <v>68977</v>
      </c>
      <c r="T41">
        <f t="shared" si="15"/>
        <v>0</v>
      </c>
      <c r="U41">
        <f t="shared" si="16"/>
        <v>44</v>
      </c>
      <c r="V41" s="1" t="str">
        <f t="shared" si="17"/>
        <v>L2</v>
      </c>
      <c r="W41" s="2">
        <f t="shared" si="18"/>
        <v>1567.659090909091</v>
      </c>
      <c r="X41" s="2">
        <f t="shared" si="11"/>
        <v>0</v>
      </c>
      <c r="Y41" s="18">
        <f t="shared" si="19"/>
        <v>16.76700324479341</v>
      </c>
      <c r="Z41" s="18">
        <f t="shared" si="20"/>
        <v>0</v>
      </c>
      <c r="AA41" s="2">
        <f t="shared" si="12"/>
        <v>26284.94506400262</v>
      </c>
    </row>
    <row r="42" spans="1:27" ht="12.75">
      <c r="A42">
        <v>1976</v>
      </c>
      <c r="C42" s="35">
        <f t="shared" si="9"/>
        <v>242059</v>
      </c>
      <c r="D42" s="35">
        <v>0</v>
      </c>
      <c r="E42" s="35">
        <v>25972</v>
      </c>
      <c r="F42" s="35">
        <v>620</v>
      </c>
      <c r="G42" s="35">
        <f t="shared" si="0"/>
        <v>267411</v>
      </c>
      <c r="H42" s="28">
        <v>44.5</v>
      </c>
      <c r="I42" s="29">
        <v>0</v>
      </c>
      <c r="J42" s="29">
        <f t="shared" si="1"/>
        <v>0</v>
      </c>
      <c r="M42" s="38">
        <f t="shared" si="13"/>
        <v>25972</v>
      </c>
      <c r="R42" s="21">
        <f t="shared" si="10"/>
        <v>1976</v>
      </c>
      <c r="S42" s="4">
        <f t="shared" si="14"/>
        <v>25972</v>
      </c>
      <c r="T42">
        <f t="shared" si="15"/>
        <v>0</v>
      </c>
      <c r="U42">
        <f t="shared" si="16"/>
        <v>44</v>
      </c>
      <c r="V42" s="1" t="str">
        <f t="shared" si="17"/>
        <v>L2</v>
      </c>
      <c r="W42" s="2">
        <f t="shared" si="18"/>
        <v>590.2727272727273</v>
      </c>
      <c r="X42" s="2">
        <f t="shared" si="11"/>
        <v>0</v>
      </c>
      <c r="Y42" s="18">
        <f t="shared" si="19"/>
        <v>17.006281822803754</v>
      </c>
      <c r="Z42" s="18">
        <f t="shared" si="20"/>
        <v>0</v>
      </c>
      <c r="AA42" s="2">
        <f t="shared" si="12"/>
        <v>10038.344352314978</v>
      </c>
    </row>
    <row r="43" spans="1:27" ht="12.75">
      <c r="A43">
        <v>1977</v>
      </c>
      <c r="C43" s="35">
        <f t="shared" si="9"/>
        <v>267411</v>
      </c>
      <c r="D43" s="35">
        <v>0</v>
      </c>
      <c r="E43" s="35">
        <v>5860</v>
      </c>
      <c r="F43" s="35">
        <v>662</v>
      </c>
      <c r="G43" s="35">
        <f t="shared" si="0"/>
        <v>272609</v>
      </c>
      <c r="H43" s="28">
        <v>43.5</v>
      </c>
      <c r="I43" s="29">
        <v>0</v>
      </c>
      <c r="J43" s="29">
        <f t="shared" si="1"/>
        <v>0</v>
      </c>
      <c r="M43" s="38">
        <f t="shared" si="13"/>
        <v>5860</v>
      </c>
      <c r="R43" s="21">
        <f t="shared" si="10"/>
        <v>1977</v>
      </c>
      <c r="S43" s="4">
        <f t="shared" si="14"/>
        <v>5860</v>
      </c>
      <c r="T43">
        <f t="shared" si="15"/>
        <v>0</v>
      </c>
      <c r="U43">
        <f t="shared" si="16"/>
        <v>44</v>
      </c>
      <c r="V43" s="1" t="str">
        <f t="shared" si="17"/>
        <v>L2</v>
      </c>
      <c r="W43" s="2">
        <f t="shared" si="18"/>
        <v>133.1818181818182</v>
      </c>
      <c r="X43" s="2">
        <f t="shared" si="11"/>
        <v>0</v>
      </c>
      <c r="Y43" s="18">
        <f t="shared" si="19"/>
        <v>17.246119913829105</v>
      </c>
      <c r="Z43" s="18">
        <f t="shared" si="20"/>
        <v>0</v>
      </c>
      <c r="AA43" s="2">
        <f t="shared" si="12"/>
        <v>2296.869606705422</v>
      </c>
    </row>
    <row r="44" spans="1:27" ht="12.75">
      <c r="A44">
        <v>1978</v>
      </c>
      <c r="C44" s="35">
        <f t="shared" si="9"/>
        <v>272609</v>
      </c>
      <c r="D44" s="35">
        <v>0</v>
      </c>
      <c r="E44" s="35">
        <v>2125</v>
      </c>
      <c r="F44" s="35">
        <v>1040</v>
      </c>
      <c r="G44" s="35">
        <f t="shared" si="0"/>
        <v>273694</v>
      </c>
      <c r="H44" s="28">
        <v>42.5</v>
      </c>
      <c r="I44" s="29">
        <v>0</v>
      </c>
      <c r="J44" s="29">
        <f t="shared" si="1"/>
        <v>0</v>
      </c>
      <c r="M44" s="38">
        <f t="shared" si="13"/>
        <v>2125</v>
      </c>
      <c r="R44" s="21">
        <f t="shared" si="10"/>
        <v>1978</v>
      </c>
      <c r="S44" s="4">
        <f t="shared" si="14"/>
        <v>2125</v>
      </c>
      <c r="T44">
        <f t="shared" si="15"/>
        <v>0</v>
      </c>
      <c r="U44">
        <f t="shared" si="16"/>
        <v>44</v>
      </c>
      <c r="V44" s="1" t="str">
        <f t="shared" si="17"/>
        <v>L2</v>
      </c>
      <c r="W44" s="2">
        <f t="shared" si="18"/>
        <v>48.29545454545455</v>
      </c>
      <c r="X44" s="2">
        <f t="shared" si="11"/>
        <v>0</v>
      </c>
      <c r="Y44" s="18">
        <f t="shared" si="19"/>
        <v>17.487289788921363</v>
      </c>
      <c r="Z44" s="18">
        <f t="shared" si="20"/>
        <v>0</v>
      </c>
      <c r="AA44" s="2">
        <f t="shared" si="12"/>
        <v>844.5566091240431</v>
      </c>
    </row>
    <row r="45" spans="1:27" ht="12.75">
      <c r="A45">
        <v>1979</v>
      </c>
      <c r="C45" s="35">
        <f t="shared" si="9"/>
        <v>273694</v>
      </c>
      <c r="D45" s="35">
        <v>0</v>
      </c>
      <c r="E45" s="35">
        <v>11949</v>
      </c>
      <c r="F45" s="35">
        <v>0</v>
      </c>
      <c r="G45" s="35">
        <f t="shared" si="0"/>
        <v>285643</v>
      </c>
      <c r="H45" s="28">
        <v>41.5</v>
      </c>
      <c r="I45" s="29">
        <v>0</v>
      </c>
      <c r="J45" s="29">
        <f t="shared" si="1"/>
        <v>0</v>
      </c>
      <c r="M45" s="38">
        <f t="shared" si="13"/>
        <v>11949</v>
      </c>
      <c r="R45" s="21">
        <f t="shared" si="10"/>
        <v>1979</v>
      </c>
      <c r="S45" s="4">
        <f t="shared" si="14"/>
        <v>11949</v>
      </c>
      <c r="T45">
        <f t="shared" si="15"/>
        <v>0</v>
      </c>
      <c r="U45">
        <f t="shared" si="16"/>
        <v>44</v>
      </c>
      <c r="V45" s="1" t="str">
        <f t="shared" si="17"/>
        <v>L2</v>
      </c>
      <c r="W45" s="2">
        <f t="shared" si="18"/>
        <v>271.5681818181818</v>
      </c>
      <c r="X45" s="2">
        <f t="shared" si="11"/>
        <v>0</v>
      </c>
      <c r="Y45" s="18">
        <f t="shared" si="19"/>
        <v>17.730693419071855</v>
      </c>
      <c r="Z45" s="18">
        <f t="shared" si="20"/>
        <v>0</v>
      </c>
      <c r="AA45" s="2">
        <f t="shared" si="12"/>
        <v>4815.092174192945</v>
      </c>
    </row>
    <row r="46" spans="1:27" ht="12.75">
      <c r="A46">
        <v>1980</v>
      </c>
      <c r="C46" s="35">
        <f t="shared" si="9"/>
        <v>285643</v>
      </c>
      <c r="D46" s="35">
        <v>0</v>
      </c>
      <c r="E46" s="35">
        <v>4539</v>
      </c>
      <c r="F46" s="35">
        <v>0</v>
      </c>
      <c r="G46" s="35">
        <f t="shared" si="0"/>
        <v>290182</v>
      </c>
      <c r="H46" s="28">
        <v>40.5</v>
      </c>
      <c r="I46" s="29">
        <v>0</v>
      </c>
      <c r="J46" s="29">
        <f t="shared" si="1"/>
        <v>0</v>
      </c>
      <c r="M46" s="38">
        <f t="shared" si="13"/>
        <v>4539</v>
      </c>
      <c r="R46" s="21">
        <f t="shared" si="10"/>
        <v>1980</v>
      </c>
      <c r="S46" s="4">
        <f t="shared" si="14"/>
        <v>4539</v>
      </c>
      <c r="T46">
        <f t="shared" si="15"/>
        <v>0</v>
      </c>
      <c r="U46">
        <f t="shared" si="16"/>
        <v>44</v>
      </c>
      <c r="V46" s="1" t="str">
        <f t="shared" si="17"/>
        <v>L2</v>
      </c>
      <c r="W46" s="2">
        <f t="shared" si="18"/>
        <v>103.1590909090909</v>
      </c>
      <c r="X46" s="2">
        <f t="shared" si="11"/>
        <v>0</v>
      </c>
      <c r="Y46" s="18">
        <f t="shared" si="19"/>
        <v>17.97736149026667</v>
      </c>
      <c r="Z46" s="18">
        <f t="shared" si="20"/>
        <v>0</v>
      </c>
      <c r="AA46" s="2">
        <f t="shared" si="12"/>
        <v>1854.5282682800093</v>
      </c>
    </row>
    <row r="47" spans="1:27" ht="12.75">
      <c r="A47">
        <v>1981</v>
      </c>
      <c r="C47" s="35">
        <f t="shared" si="9"/>
        <v>290182</v>
      </c>
      <c r="D47" s="35">
        <v>0</v>
      </c>
      <c r="E47" s="35">
        <v>2096</v>
      </c>
      <c r="F47" s="35">
        <v>0</v>
      </c>
      <c r="G47" s="35">
        <f t="shared" si="0"/>
        <v>292278</v>
      </c>
      <c r="H47" s="28">
        <v>39.5</v>
      </c>
      <c r="I47" s="29">
        <v>0</v>
      </c>
      <c r="J47" s="29">
        <f t="shared" si="1"/>
        <v>0</v>
      </c>
      <c r="M47" s="38">
        <f t="shared" si="13"/>
        <v>2096</v>
      </c>
      <c r="R47" s="21">
        <f t="shared" si="10"/>
        <v>1981</v>
      </c>
      <c r="S47" s="4">
        <f t="shared" si="14"/>
        <v>2096</v>
      </c>
      <c r="T47">
        <f t="shared" si="15"/>
        <v>0</v>
      </c>
      <c r="U47">
        <f t="shared" si="16"/>
        <v>44</v>
      </c>
      <c r="V47" s="1" t="str">
        <f t="shared" si="17"/>
        <v>L2</v>
      </c>
      <c r="W47" s="2">
        <f t="shared" si="18"/>
        <v>47.63636363636363</v>
      </c>
      <c r="X47" s="2">
        <f t="shared" si="11"/>
        <v>0</v>
      </c>
      <c r="Y47" s="18">
        <f t="shared" si="19"/>
        <v>18.22845074417189</v>
      </c>
      <c r="Z47" s="18">
        <f t="shared" si="20"/>
        <v>0</v>
      </c>
      <c r="AA47" s="2">
        <f t="shared" si="12"/>
        <v>868.3371081769154</v>
      </c>
    </row>
    <row r="48" spans="1:27" ht="12.75">
      <c r="A48">
        <v>1982</v>
      </c>
      <c r="C48" s="35">
        <f t="shared" si="9"/>
        <v>292278</v>
      </c>
      <c r="D48" s="35">
        <v>0</v>
      </c>
      <c r="E48" s="35">
        <v>2119</v>
      </c>
      <c r="F48" s="35">
        <v>0</v>
      </c>
      <c r="G48" s="35">
        <f t="shared" si="0"/>
        <v>294397</v>
      </c>
      <c r="H48" s="28">
        <v>38.5</v>
      </c>
      <c r="I48" s="29">
        <v>0</v>
      </c>
      <c r="J48" s="29">
        <f t="shared" si="1"/>
        <v>0</v>
      </c>
      <c r="M48" s="38">
        <f t="shared" si="13"/>
        <v>2119</v>
      </c>
      <c r="R48" s="21">
        <f t="shared" si="10"/>
        <v>1982</v>
      </c>
      <c r="S48" s="4">
        <f t="shared" si="14"/>
        <v>2119</v>
      </c>
      <c r="T48">
        <f t="shared" si="15"/>
        <v>0</v>
      </c>
      <c r="U48">
        <f t="shared" si="16"/>
        <v>44</v>
      </c>
      <c r="V48" s="1" t="str">
        <f t="shared" si="17"/>
        <v>L2</v>
      </c>
      <c r="W48" s="2">
        <f t="shared" si="18"/>
        <v>48.15909090909091</v>
      </c>
      <c r="X48" s="2">
        <f t="shared" si="11"/>
        <v>0</v>
      </c>
      <c r="Y48" s="18">
        <f t="shared" si="19"/>
        <v>18.4852398149369</v>
      </c>
      <c r="Z48" s="18">
        <f t="shared" si="20"/>
        <v>0</v>
      </c>
      <c r="AA48" s="2">
        <f t="shared" si="12"/>
        <v>890.232344723893</v>
      </c>
    </row>
    <row r="49" spans="1:27" ht="12.75">
      <c r="A49">
        <v>1983</v>
      </c>
      <c r="C49" s="35">
        <f t="shared" si="9"/>
        <v>294397</v>
      </c>
      <c r="D49" s="35">
        <v>0</v>
      </c>
      <c r="E49" s="35">
        <v>11231</v>
      </c>
      <c r="F49" s="35">
        <v>0</v>
      </c>
      <c r="G49" s="35">
        <f t="shared" si="0"/>
        <v>305628</v>
      </c>
      <c r="H49" s="28">
        <v>37.5</v>
      </c>
      <c r="I49" s="29">
        <v>0</v>
      </c>
      <c r="J49" s="29">
        <f t="shared" si="1"/>
        <v>0</v>
      </c>
      <c r="M49" s="38">
        <f t="shared" si="13"/>
        <v>11231</v>
      </c>
      <c r="R49" s="21">
        <f t="shared" si="10"/>
        <v>1983</v>
      </c>
      <c r="S49" s="4">
        <f t="shared" si="14"/>
        <v>11231</v>
      </c>
      <c r="T49">
        <f t="shared" si="15"/>
        <v>0</v>
      </c>
      <c r="U49">
        <f t="shared" si="16"/>
        <v>44</v>
      </c>
      <c r="V49" s="1" t="str">
        <f t="shared" si="17"/>
        <v>L2</v>
      </c>
      <c r="W49" s="2">
        <f t="shared" si="18"/>
        <v>255.25</v>
      </c>
      <c r="X49" s="2">
        <f t="shared" si="11"/>
        <v>0</v>
      </c>
      <c r="Y49" s="18">
        <f t="shared" si="19"/>
        <v>18.749123747161317</v>
      </c>
      <c r="Z49" s="18">
        <f t="shared" si="20"/>
        <v>0</v>
      </c>
      <c r="AA49" s="2">
        <f t="shared" si="12"/>
        <v>4785.713836462926</v>
      </c>
    </row>
    <row r="50" spans="1:27" ht="12.75">
      <c r="A50">
        <v>1984</v>
      </c>
      <c r="C50" s="35">
        <f t="shared" si="9"/>
        <v>305628</v>
      </c>
      <c r="D50" s="35">
        <v>0</v>
      </c>
      <c r="E50" s="35">
        <v>93670</v>
      </c>
      <c r="F50" s="35">
        <v>2350</v>
      </c>
      <c r="G50" s="35">
        <f t="shared" si="0"/>
        <v>396948</v>
      </c>
      <c r="H50" s="28">
        <v>36.5</v>
      </c>
      <c r="I50" s="29">
        <v>0</v>
      </c>
      <c r="J50" s="29">
        <f t="shared" si="1"/>
        <v>0</v>
      </c>
      <c r="M50" s="38">
        <f t="shared" si="13"/>
        <v>93670</v>
      </c>
      <c r="R50" s="21">
        <f t="shared" si="10"/>
        <v>1984</v>
      </c>
      <c r="S50" s="4">
        <f t="shared" si="14"/>
        <v>93670</v>
      </c>
      <c r="T50">
        <f t="shared" si="15"/>
        <v>0</v>
      </c>
      <c r="U50">
        <f t="shared" si="16"/>
        <v>44</v>
      </c>
      <c r="V50" s="1" t="str">
        <f t="shared" si="17"/>
        <v>L2</v>
      </c>
      <c r="W50" s="2">
        <f t="shared" si="18"/>
        <v>2128.8636363636365</v>
      </c>
      <c r="X50" s="2">
        <f t="shared" si="11"/>
        <v>0</v>
      </c>
      <c r="Y50" s="18">
        <f t="shared" si="19"/>
        <v>19.02160736434838</v>
      </c>
      <c r="Z50" s="18">
        <f t="shared" si="20"/>
        <v>0</v>
      </c>
      <c r="AA50" s="2">
        <f t="shared" si="12"/>
        <v>40494.40822314802</v>
      </c>
    </row>
    <row r="51" spans="1:27" ht="12.75">
      <c r="A51">
        <v>1985</v>
      </c>
      <c r="C51" s="35">
        <f t="shared" si="9"/>
        <v>396948</v>
      </c>
      <c r="D51" s="35">
        <v>0</v>
      </c>
      <c r="E51" s="35">
        <v>40669</v>
      </c>
      <c r="F51" s="35">
        <v>1654</v>
      </c>
      <c r="G51" s="35">
        <f t="shared" si="0"/>
        <v>435963</v>
      </c>
      <c r="H51" s="28">
        <v>35.5</v>
      </c>
      <c r="I51" s="29">
        <v>0</v>
      </c>
      <c r="J51" s="29">
        <f t="shared" si="1"/>
        <v>0</v>
      </c>
      <c r="M51" s="38">
        <f t="shared" si="13"/>
        <v>40669</v>
      </c>
      <c r="R51" s="21">
        <f t="shared" si="10"/>
        <v>1985</v>
      </c>
      <c r="S51" s="4">
        <f t="shared" si="14"/>
        <v>40669</v>
      </c>
      <c r="T51">
        <f t="shared" si="15"/>
        <v>0</v>
      </c>
      <c r="U51">
        <f t="shared" si="16"/>
        <v>44</v>
      </c>
      <c r="V51" s="1" t="str">
        <f t="shared" si="17"/>
        <v>L2</v>
      </c>
      <c r="W51" s="2">
        <f t="shared" si="18"/>
        <v>924.2954545454545</v>
      </c>
      <c r="X51" s="2">
        <f t="shared" si="11"/>
        <v>0</v>
      </c>
      <c r="Y51" s="18">
        <f t="shared" si="19"/>
        <v>19.30429760941879</v>
      </c>
      <c r="Z51" s="18">
        <f t="shared" si="20"/>
        <v>0</v>
      </c>
      <c r="AA51" s="2">
        <f t="shared" si="12"/>
        <v>17842.87453357847</v>
      </c>
    </row>
    <row r="52" spans="1:27" ht="12.75">
      <c r="A52">
        <v>1986</v>
      </c>
      <c r="C52" s="35">
        <f aca="true" t="shared" si="21" ref="C52:C68">G51</f>
        <v>435963</v>
      </c>
      <c r="D52" s="35">
        <v>0</v>
      </c>
      <c r="E52" s="35">
        <f>29566-25410</f>
        <v>4156</v>
      </c>
      <c r="F52" s="35">
        <f>1654-1654</f>
        <v>0</v>
      </c>
      <c r="G52" s="35">
        <f aca="true" t="shared" si="22" ref="G52:G68">C52+D52+E52-F52</f>
        <v>440119</v>
      </c>
      <c r="H52" s="28">
        <v>34.5</v>
      </c>
      <c r="I52" s="29">
        <v>0</v>
      </c>
      <c r="J52" s="29">
        <f>IF(I52=0,0,ROUND((I52/D52/$G$94)+H52,1))</f>
        <v>0</v>
      </c>
      <c r="M52" s="38">
        <f t="shared" si="13"/>
        <v>4156</v>
      </c>
      <c r="R52" s="21">
        <f t="shared" si="10"/>
        <v>1986</v>
      </c>
      <c r="S52" s="4">
        <f t="shared" si="14"/>
        <v>4156</v>
      </c>
      <c r="T52">
        <f t="shared" si="15"/>
        <v>0</v>
      </c>
      <c r="U52">
        <f t="shared" si="16"/>
        <v>44</v>
      </c>
      <c r="V52" s="1" t="str">
        <f t="shared" si="17"/>
        <v>L2</v>
      </c>
      <c r="W52" s="2">
        <f t="shared" si="18"/>
        <v>94.45454545454545</v>
      </c>
      <c r="X52" s="2">
        <f t="shared" si="11"/>
        <v>0</v>
      </c>
      <c r="Y52" s="18">
        <f t="shared" si="19"/>
        <v>19.598894896331483</v>
      </c>
      <c r="Z52" s="18">
        <f t="shared" si="20"/>
        <v>0</v>
      </c>
      <c r="AA52" s="2">
        <f t="shared" si="12"/>
        <v>1851.204708844401</v>
      </c>
    </row>
    <row r="53" spans="1:27" ht="12.75">
      <c r="A53">
        <v>1987</v>
      </c>
      <c r="C53" s="35">
        <f t="shared" si="21"/>
        <v>440119</v>
      </c>
      <c r="D53" s="35">
        <v>0</v>
      </c>
      <c r="E53" s="35">
        <v>1551</v>
      </c>
      <c r="F53" s="35">
        <v>0</v>
      </c>
      <c r="G53" s="35">
        <f t="shared" si="22"/>
        <v>441670</v>
      </c>
      <c r="H53" s="28">
        <v>33.5</v>
      </c>
      <c r="I53" s="29">
        <v>0</v>
      </c>
      <c r="J53" s="29">
        <f aca="true" t="shared" si="23" ref="J53:J68">IF(I53=0,0,ROUND((I53/D53/$G$94)+H53,1))</f>
        <v>0</v>
      </c>
      <c r="M53" s="38">
        <f t="shared" si="13"/>
        <v>1551</v>
      </c>
      <c r="R53" s="21">
        <f t="shared" si="10"/>
        <v>1987</v>
      </c>
      <c r="S53" s="4">
        <f t="shared" si="14"/>
        <v>1551</v>
      </c>
      <c r="T53">
        <f t="shared" si="15"/>
        <v>0</v>
      </c>
      <c r="U53">
        <f t="shared" si="16"/>
        <v>44</v>
      </c>
      <c r="V53" s="1" t="str">
        <f t="shared" si="17"/>
        <v>L2</v>
      </c>
      <c r="W53" s="2">
        <f t="shared" si="18"/>
        <v>35.25</v>
      </c>
      <c r="X53" s="2">
        <f t="shared" si="11"/>
        <v>0</v>
      </c>
      <c r="Y53" s="18">
        <f t="shared" si="19"/>
        <v>19.90718339414406</v>
      </c>
      <c r="Z53" s="18">
        <f t="shared" si="20"/>
        <v>0</v>
      </c>
      <c r="AA53" s="2">
        <f t="shared" si="12"/>
        <v>701.7282146435781</v>
      </c>
    </row>
    <row r="54" spans="1:27" ht="12.75">
      <c r="A54">
        <v>1988</v>
      </c>
      <c r="C54" s="35">
        <f t="shared" si="21"/>
        <v>441670</v>
      </c>
      <c r="D54" s="35">
        <v>0</v>
      </c>
      <c r="E54" s="35">
        <f>1551-1551+14728</f>
        <v>14728</v>
      </c>
      <c r="F54" s="35">
        <v>1210</v>
      </c>
      <c r="G54" s="35">
        <f t="shared" si="22"/>
        <v>455188</v>
      </c>
      <c r="H54" s="28">
        <v>32.5</v>
      </c>
      <c r="I54" s="29"/>
      <c r="J54" s="29">
        <f t="shared" si="23"/>
        <v>0</v>
      </c>
      <c r="M54" s="38">
        <f t="shared" si="13"/>
        <v>14728</v>
      </c>
      <c r="R54" s="21">
        <f t="shared" si="10"/>
        <v>1988</v>
      </c>
      <c r="S54" s="4">
        <f t="shared" si="14"/>
        <v>14728</v>
      </c>
      <c r="T54">
        <f t="shared" si="15"/>
        <v>0</v>
      </c>
      <c r="U54">
        <f t="shared" si="16"/>
        <v>44</v>
      </c>
      <c r="V54" s="1" t="str">
        <f t="shared" si="17"/>
        <v>L2</v>
      </c>
      <c r="W54" s="2">
        <f t="shared" si="18"/>
        <v>334.72727272727275</v>
      </c>
      <c r="X54" s="2">
        <f t="shared" si="11"/>
        <v>0</v>
      </c>
      <c r="Y54" s="18">
        <f t="shared" si="19"/>
        <v>20.23102001163632</v>
      </c>
      <c r="Z54" s="18">
        <f t="shared" si="20"/>
        <v>0</v>
      </c>
      <c r="AA54" s="2">
        <f t="shared" si="12"/>
        <v>6771.8741529859035</v>
      </c>
    </row>
    <row r="55" spans="1:27" ht="12.75">
      <c r="A55">
        <v>1989</v>
      </c>
      <c r="C55" s="35">
        <f t="shared" si="21"/>
        <v>455188</v>
      </c>
      <c r="D55" s="35">
        <v>23055</v>
      </c>
      <c r="E55" s="35">
        <f>23359-14728+56779</f>
        <v>65410</v>
      </c>
      <c r="F55" s="35">
        <f>1381-1210+5738</f>
        <v>5909</v>
      </c>
      <c r="G55" s="35">
        <f t="shared" si="22"/>
        <v>537744</v>
      </c>
      <c r="H55" s="28">
        <v>31.5</v>
      </c>
      <c r="I55" s="29">
        <v>1671</v>
      </c>
      <c r="J55" s="29">
        <f t="shared" si="23"/>
        <v>33.9</v>
      </c>
      <c r="M55" s="38">
        <f t="shared" si="13"/>
        <v>88465</v>
      </c>
      <c r="R55" s="21">
        <f t="shared" si="10"/>
        <v>1989</v>
      </c>
      <c r="S55" s="4">
        <f t="shared" si="14"/>
        <v>65410</v>
      </c>
      <c r="T55">
        <f t="shared" si="15"/>
        <v>23055</v>
      </c>
      <c r="U55">
        <f t="shared" si="16"/>
        <v>44</v>
      </c>
      <c r="V55" s="1" t="str">
        <f t="shared" si="17"/>
        <v>L2</v>
      </c>
      <c r="W55" s="2">
        <f t="shared" si="18"/>
        <v>1486.590909090909</v>
      </c>
      <c r="X55" s="2">
        <f t="shared" si="11"/>
        <v>523.9772727272727</v>
      </c>
      <c r="Y55" s="18">
        <f t="shared" si="19"/>
        <v>20.572321662425562</v>
      </c>
      <c r="Z55" s="18">
        <f t="shared" si="20"/>
        <v>0</v>
      </c>
      <c r="AA55" s="2">
        <f t="shared" si="12"/>
        <v>30582.626362255818</v>
      </c>
    </row>
    <row r="56" spans="1:27" ht="12.75">
      <c r="A56">
        <v>1990</v>
      </c>
      <c r="C56" s="35">
        <f t="shared" si="21"/>
        <v>537744</v>
      </c>
      <c r="D56" s="35">
        <f>18358-23055</f>
        <v>-4697</v>
      </c>
      <c r="E56" s="35">
        <f>61178-56779+36318</f>
        <v>40717</v>
      </c>
      <c r="F56" s="35">
        <f>5738-5738</f>
        <v>0</v>
      </c>
      <c r="G56" s="35">
        <f t="shared" si="22"/>
        <v>573764</v>
      </c>
      <c r="H56" s="28">
        <v>30.5</v>
      </c>
      <c r="I56" s="29">
        <v>0</v>
      </c>
      <c r="J56" s="29">
        <f t="shared" si="23"/>
        <v>0</v>
      </c>
      <c r="M56" s="38">
        <f t="shared" si="13"/>
        <v>36020</v>
      </c>
      <c r="R56" s="21">
        <f t="shared" si="10"/>
        <v>1990</v>
      </c>
      <c r="S56" s="4">
        <f t="shared" si="14"/>
        <v>40717</v>
      </c>
      <c r="T56">
        <f t="shared" si="15"/>
        <v>0</v>
      </c>
      <c r="U56">
        <f t="shared" si="16"/>
        <v>44</v>
      </c>
      <c r="V56" s="1" t="str">
        <f t="shared" si="17"/>
        <v>L2</v>
      </c>
      <c r="W56" s="2">
        <f t="shared" si="18"/>
        <v>925.3863636363636</v>
      </c>
      <c r="X56" s="2">
        <f t="shared" si="11"/>
        <v>0</v>
      </c>
      <c r="Y56" s="18">
        <f t="shared" si="19"/>
        <v>20.93305016898511</v>
      </c>
      <c r="Z56" s="18">
        <f t="shared" si="20"/>
        <v>0</v>
      </c>
      <c r="AA56" s="2">
        <f t="shared" si="12"/>
        <v>19371.1591756947</v>
      </c>
    </row>
    <row r="57" spans="1:27" ht="12.75">
      <c r="A57">
        <v>1991</v>
      </c>
      <c r="C57" s="35">
        <f t="shared" si="21"/>
        <v>573764</v>
      </c>
      <c r="D57" s="35">
        <v>0</v>
      </c>
      <c r="E57" s="35">
        <f>36318-36318+39795</f>
        <v>39795</v>
      </c>
      <c r="F57" s="35">
        <v>0</v>
      </c>
      <c r="G57" s="35">
        <f t="shared" si="22"/>
        <v>613559</v>
      </c>
      <c r="H57" s="28">
        <v>29.5</v>
      </c>
      <c r="I57" s="29">
        <v>0</v>
      </c>
      <c r="J57" s="29">
        <f t="shared" si="23"/>
        <v>0</v>
      </c>
      <c r="M57" s="38">
        <f t="shared" si="13"/>
        <v>39795</v>
      </c>
      <c r="R57" s="21">
        <f t="shared" si="10"/>
        <v>1991</v>
      </c>
      <c r="S57" s="4">
        <f t="shared" si="14"/>
        <v>39795</v>
      </c>
      <c r="T57">
        <f t="shared" si="15"/>
        <v>0</v>
      </c>
      <c r="U57">
        <f t="shared" si="16"/>
        <v>44</v>
      </c>
      <c r="V57" s="1" t="str">
        <f t="shared" si="17"/>
        <v>L2</v>
      </c>
      <c r="W57" s="2">
        <f t="shared" si="18"/>
        <v>904.4318181818181</v>
      </c>
      <c r="X57" s="2">
        <f t="shared" si="11"/>
        <v>0</v>
      </c>
      <c r="Y57" s="18">
        <f t="shared" si="19"/>
        <v>21.31519391230074</v>
      </c>
      <c r="Z57" s="18">
        <f t="shared" si="20"/>
        <v>0</v>
      </c>
      <c r="AA57" s="2">
        <f t="shared" si="12"/>
        <v>19278.13958500018</v>
      </c>
    </row>
    <row r="58" spans="1:27" ht="12.75">
      <c r="A58">
        <v>1992</v>
      </c>
      <c r="C58" s="35">
        <f t="shared" si="21"/>
        <v>613559</v>
      </c>
      <c r="D58" s="35">
        <v>0</v>
      </c>
      <c r="E58" s="35">
        <f>41550-39795+41435</f>
        <v>43190</v>
      </c>
      <c r="F58" s="35">
        <v>0</v>
      </c>
      <c r="G58" s="35">
        <f t="shared" si="22"/>
        <v>656749</v>
      </c>
      <c r="H58" s="28">
        <v>28.5</v>
      </c>
      <c r="I58" s="29"/>
      <c r="J58" s="29">
        <f t="shared" si="23"/>
        <v>0</v>
      </c>
      <c r="M58" s="38">
        <f t="shared" si="13"/>
        <v>43190</v>
      </c>
      <c r="R58" s="21">
        <f t="shared" si="10"/>
        <v>1992</v>
      </c>
      <c r="S58" s="4">
        <f t="shared" si="14"/>
        <v>43190</v>
      </c>
      <c r="T58">
        <f t="shared" si="15"/>
        <v>0</v>
      </c>
      <c r="U58">
        <f t="shared" si="16"/>
        <v>44</v>
      </c>
      <c r="V58" s="1" t="str">
        <f t="shared" si="17"/>
        <v>L2</v>
      </c>
      <c r="W58" s="2">
        <f t="shared" si="18"/>
        <v>981.5909090909091</v>
      </c>
      <c r="X58" s="2">
        <f t="shared" si="11"/>
        <v>0</v>
      </c>
      <c r="Y58" s="18">
        <f t="shared" si="19"/>
        <v>21.72074505885564</v>
      </c>
      <c r="Z58" s="18">
        <f t="shared" si="20"/>
        <v>0</v>
      </c>
      <c r="AA58" s="2">
        <f t="shared" si="12"/>
        <v>21320.88588845398</v>
      </c>
    </row>
    <row r="59" spans="1:27" ht="12.75">
      <c r="A59">
        <v>1993</v>
      </c>
      <c r="C59" s="35">
        <f t="shared" si="21"/>
        <v>656749</v>
      </c>
      <c r="D59" s="35">
        <v>0</v>
      </c>
      <c r="E59" s="35">
        <f>47539-41435+38034</f>
        <v>44138</v>
      </c>
      <c r="F59" s="35">
        <v>3756</v>
      </c>
      <c r="G59" s="35">
        <f t="shared" si="22"/>
        <v>697131</v>
      </c>
      <c r="H59" s="28">
        <v>27.5</v>
      </c>
      <c r="I59" s="29"/>
      <c r="J59" s="29">
        <f t="shared" si="23"/>
        <v>0</v>
      </c>
      <c r="M59" s="38">
        <f t="shared" si="13"/>
        <v>44138</v>
      </c>
      <c r="R59" s="21">
        <f t="shared" si="10"/>
        <v>1993</v>
      </c>
      <c r="S59" s="4">
        <f t="shared" si="14"/>
        <v>44138</v>
      </c>
      <c r="T59">
        <f t="shared" si="15"/>
        <v>0</v>
      </c>
      <c r="U59">
        <f t="shared" si="16"/>
        <v>44</v>
      </c>
      <c r="V59" s="1" t="str">
        <f t="shared" si="17"/>
        <v>L2</v>
      </c>
      <c r="W59" s="2">
        <f t="shared" si="18"/>
        <v>1003.1363636363636</v>
      </c>
      <c r="X59" s="2">
        <f t="shared" si="11"/>
        <v>0</v>
      </c>
      <c r="Y59" s="18">
        <f t="shared" si="19"/>
        <v>22.15167091144737</v>
      </c>
      <c r="Z59" s="18">
        <f t="shared" si="20"/>
        <v>0</v>
      </c>
      <c r="AA59" s="2">
        <f t="shared" si="12"/>
        <v>22221.146606578724</v>
      </c>
    </row>
    <row r="60" spans="1:27" ht="12.75">
      <c r="A60">
        <v>1994</v>
      </c>
      <c r="C60" s="35">
        <f t="shared" si="21"/>
        <v>697131</v>
      </c>
      <c r="D60" s="35">
        <v>0</v>
      </c>
      <c r="E60" s="35">
        <f>52093-38034+22949</f>
        <v>37008</v>
      </c>
      <c r="F60" s="35">
        <v>0</v>
      </c>
      <c r="G60" s="35">
        <f t="shared" si="22"/>
        <v>734139</v>
      </c>
      <c r="H60" s="28">
        <v>26.5</v>
      </c>
      <c r="I60" s="29">
        <v>0</v>
      </c>
      <c r="J60" s="29">
        <f t="shared" si="23"/>
        <v>0</v>
      </c>
      <c r="M60" s="38">
        <f t="shared" si="13"/>
        <v>37008</v>
      </c>
      <c r="R60" s="21">
        <f t="shared" si="10"/>
        <v>1994</v>
      </c>
      <c r="S60" s="4">
        <f t="shared" si="14"/>
        <v>37008</v>
      </c>
      <c r="T60">
        <f t="shared" si="15"/>
        <v>0</v>
      </c>
      <c r="U60">
        <f t="shared" si="16"/>
        <v>44</v>
      </c>
      <c r="V60" s="1" t="str">
        <f t="shared" si="17"/>
        <v>L2</v>
      </c>
      <c r="W60" s="2">
        <f t="shared" si="18"/>
        <v>841.0909090909091</v>
      </c>
      <c r="X60" s="2">
        <f t="shared" si="11"/>
        <v>0</v>
      </c>
      <c r="Y60" s="18">
        <f t="shared" si="19"/>
        <v>22.609877659754034</v>
      </c>
      <c r="Z60" s="18">
        <f t="shared" si="20"/>
        <v>0</v>
      </c>
      <c r="AA60" s="2">
        <f t="shared" si="12"/>
        <v>19016.962555276757</v>
      </c>
    </row>
    <row r="61" spans="1:27" ht="12.75">
      <c r="A61">
        <v>1995</v>
      </c>
      <c r="C61" s="35">
        <f t="shared" si="21"/>
        <v>734139</v>
      </c>
      <c r="D61" s="35">
        <v>0</v>
      </c>
      <c r="E61" s="35">
        <f>27735-22949+6269</f>
        <v>11055</v>
      </c>
      <c r="F61" s="35">
        <f>12738+10574</f>
        <v>23312</v>
      </c>
      <c r="G61" s="35">
        <f t="shared" si="22"/>
        <v>721882</v>
      </c>
      <c r="H61" s="28">
        <v>25.5</v>
      </c>
      <c r="I61" s="29"/>
      <c r="J61" s="29">
        <f t="shared" si="23"/>
        <v>0</v>
      </c>
      <c r="M61" s="38">
        <f t="shared" si="13"/>
        <v>11055</v>
      </c>
      <c r="R61" s="21">
        <f t="shared" si="10"/>
        <v>1995</v>
      </c>
      <c r="S61" s="4">
        <f t="shared" si="14"/>
        <v>11055</v>
      </c>
      <c r="T61">
        <f t="shared" si="15"/>
        <v>0</v>
      </c>
      <c r="U61">
        <f t="shared" si="16"/>
        <v>44</v>
      </c>
      <c r="V61" s="1" t="str">
        <f t="shared" si="17"/>
        <v>L2</v>
      </c>
      <c r="W61" s="2">
        <f t="shared" si="18"/>
        <v>251.25</v>
      </c>
      <c r="X61" s="2">
        <f t="shared" si="11"/>
        <v>0</v>
      </c>
      <c r="Y61" s="18">
        <f t="shared" si="19"/>
        <v>23.097164594021482</v>
      </c>
      <c r="Z61" s="18">
        <f t="shared" si="20"/>
        <v>0</v>
      </c>
      <c r="AA61" s="2">
        <f t="shared" si="12"/>
        <v>5803.162604247897</v>
      </c>
    </row>
    <row r="62" spans="1:27" ht="12.75">
      <c r="A62">
        <v>1996</v>
      </c>
      <c r="C62" s="35">
        <f t="shared" si="21"/>
        <v>721882</v>
      </c>
      <c r="D62" s="35">
        <v>0</v>
      </c>
      <c r="E62" s="35">
        <f>10911-6269+14994</f>
        <v>19636</v>
      </c>
      <c r="F62" s="35">
        <f>10574-10574</f>
        <v>0</v>
      </c>
      <c r="G62" s="35">
        <f t="shared" si="22"/>
        <v>741518</v>
      </c>
      <c r="H62" s="28">
        <v>24.5</v>
      </c>
      <c r="I62" s="29">
        <v>0</v>
      </c>
      <c r="J62" s="29">
        <f t="shared" si="23"/>
        <v>0</v>
      </c>
      <c r="M62" s="38">
        <f t="shared" si="13"/>
        <v>19636</v>
      </c>
      <c r="R62" s="21">
        <f t="shared" si="10"/>
        <v>1996</v>
      </c>
      <c r="S62" s="4">
        <f t="shared" si="14"/>
        <v>19636</v>
      </c>
      <c r="T62">
        <f t="shared" si="15"/>
        <v>0</v>
      </c>
      <c r="U62">
        <f t="shared" si="16"/>
        <v>44</v>
      </c>
      <c r="V62" s="1" t="str">
        <f t="shared" si="17"/>
        <v>L2</v>
      </c>
      <c r="W62" s="2">
        <f t="shared" si="18"/>
        <v>446.27272727272725</v>
      </c>
      <c r="X62" s="2">
        <f t="shared" si="11"/>
        <v>0</v>
      </c>
      <c r="Y62" s="18">
        <f t="shared" si="19"/>
        <v>23.615166764467766</v>
      </c>
      <c r="Z62" s="18">
        <f t="shared" si="20"/>
        <v>0</v>
      </c>
      <c r="AA62" s="2">
        <f t="shared" si="12"/>
        <v>10538.804876979297</v>
      </c>
    </row>
    <row r="63" spans="1:27" ht="12.75">
      <c r="A63">
        <v>1997</v>
      </c>
      <c r="C63" s="35">
        <f t="shared" si="21"/>
        <v>741518</v>
      </c>
      <c r="D63" s="35">
        <v>0</v>
      </c>
      <c r="E63" s="35">
        <v>138952</v>
      </c>
      <c r="F63" s="35">
        <v>0</v>
      </c>
      <c r="G63" s="35">
        <f t="shared" si="22"/>
        <v>880470</v>
      </c>
      <c r="H63" s="28">
        <v>23.5</v>
      </c>
      <c r="I63" s="29"/>
      <c r="J63" s="29">
        <f t="shared" si="23"/>
        <v>0</v>
      </c>
      <c r="M63" s="38">
        <f t="shared" si="13"/>
        <v>138952</v>
      </c>
      <c r="R63" s="21">
        <f t="shared" si="10"/>
        <v>1997</v>
      </c>
      <c r="S63" s="4">
        <f t="shared" si="14"/>
        <v>138952</v>
      </c>
      <c r="T63">
        <f t="shared" si="15"/>
        <v>0</v>
      </c>
      <c r="U63">
        <f t="shared" si="16"/>
        <v>44</v>
      </c>
      <c r="V63" s="1" t="str">
        <f t="shared" si="17"/>
        <v>L2</v>
      </c>
      <c r="W63" s="2">
        <f t="shared" si="18"/>
        <v>3158</v>
      </c>
      <c r="X63" s="2">
        <f t="shared" si="11"/>
        <v>0</v>
      </c>
      <c r="Y63" s="18">
        <f t="shared" si="19"/>
        <v>24.165284238923068</v>
      </c>
      <c r="Z63" s="18">
        <f t="shared" si="20"/>
        <v>0</v>
      </c>
      <c r="AA63" s="2">
        <f t="shared" si="12"/>
        <v>76313.96762651905</v>
      </c>
    </row>
    <row r="64" spans="1:27" ht="12.75">
      <c r="A64">
        <v>1998</v>
      </c>
      <c r="C64" s="35">
        <f t="shared" si="21"/>
        <v>880470</v>
      </c>
      <c r="D64" s="35">
        <v>0</v>
      </c>
      <c r="E64" s="35">
        <v>198341</v>
      </c>
      <c r="F64" s="35">
        <v>0</v>
      </c>
      <c r="G64" s="35">
        <f t="shared" si="22"/>
        <v>1078811</v>
      </c>
      <c r="H64" s="28">
        <v>22.5</v>
      </c>
      <c r="I64" s="29"/>
      <c r="J64" s="29">
        <f t="shared" si="23"/>
        <v>0</v>
      </c>
      <c r="M64" s="38">
        <f t="shared" si="13"/>
        <v>198341</v>
      </c>
      <c r="R64" s="21">
        <f t="shared" si="10"/>
        <v>1998</v>
      </c>
      <c r="S64" s="4">
        <f t="shared" si="14"/>
        <v>198341</v>
      </c>
      <c r="T64">
        <f t="shared" si="15"/>
        <v>0</v>
      </c>
      <c r="U64">
        <f t="shared" si="16"/>
        <v>44</v>
      </c>
      <c r="V64" s="1" t="str">
        <f t="shared" si="17"/>
        <v>L2</v>
      </c>
      <c r="W64" s="2">
        <f t="shared" si="18"/>
        <v>4507.75</v>
      </c>
      <c r="X64" s="2">
        <f t="shared" si="11"/>
        <v>0</v>
      </c>
      <c r="Y64" s="18">
        <f t="shared" si="19"/>
        <v>24.748596717779858</v>
      </c>
      <c r="Z64" s="18">
        <f t="shared" si="20"/>
        <v>0</v>
      </c>
      <c r="AA64" s="2">
        <f t="shared" si="12"/>
        <v>111560.48685457215</v>
      </c>
    </row>
    <row r="65" spans="1:27" ht="12.75">
      <c r="A65">
        <v>1999</v>
      </c>
      <c r="C65" s="35">
        <f t="shared" si="21"/>
        <v>1078811</v>
      </c>
      <c r="D65" s="35">
        <v>163168</v>
      </c>
      <c r="E65" s="35">
        <v>363028</v>
      </c>
      <c r="F65" s="35">
        <v>3327</v>
      </c>
      <c r="G65" s="35">
        <f t="shared" si="22"/>
        <v>1601680</v>
      </c>
      <c r="H65" s="28">
        <v>21.5</v>
      </c>
      <c r="I65" s="29">
        <v>5032</v>
      </c>
      <c r="J65" s="29">
        <f t="shared" si="23"/>
        <v>22.5</v>
      </c>
      <c r="M65" s="38">
        <f t="shared" si="13"/>
        <v>526196</v>
      </c>
      <c r="R65" s="21">
        <f t="shared" si="10"/>
        <v>1999</v>
      </c>
      <c r="S65" s="4">
        <f t="shared" si="14"/>
        <v>363028</v>
      </c>
      <c r="T65">
        <f t="shared" si="15"/>
        <v>163168</v>
      </c>
      <c r="U65">
        <f t="shared" si="16"/>
        <v>44</v>
      </c>
      <c r="V65" s="1" t="str">
        <f t="shared" si="17"/>
        <v>L2</v>
      </c>
      <c r="W65" s="2">
        <f t="shared" si="18"/>
        <v>8250.636363636364</v>
      </c>
      <c r="X65" s="2">
        <f t="shared" si="11"/>
        <v>3708.3636363636365</v>
      </c>
      <c r="Y65" s="18">
        <f t="shared" si="19"/>
        <v>25.36576358859557</v>
      </c>
      <c r="Z65" s="18">
        <f t="shared" si="20"/>
        <v>0</v>
      </c>
      <c r="AA65" s="2">
        <f t="shared" si="12"/>
        <v>209283.69145546985</v>
      </c>
    </row>
    <row r="66" spans="1:27" ht="12.75">
      <c r="A66">
        <v>2000</v>
      </c>
      <c r="C66" s="35">
        <f t="shared" si="21"/>
        <v>1601680</v>
      </c>
      <c r="D66" s="35">
        <v>0</v>
      </c>
      <c r="E66" s="35">
        <v>185729</v>
      </c>
      <c r="F66" s="35">
        <v>15619</v>
      </c>
      <c r="G66" s="35">
        <f t="shared" si="22"/>
        <v>1771790</v>
      </c>
      <c r="H66" s="28">
        <v>20.5</v>
      </c>
      <c r="I66" s="29"/>
      <c r="J66" s="29">
        <f t="shared" si="23"/>
        <v>0</v>
      </c>
      <c r="M66" s="38">
        <f t="shared" si="13"/>
        <v>185729</v>
      </c>
      <c r="R66" s="21">
        <f t="shared" si="10"/>
        <v>2000</v>
      </c>
      <c r="S66" s="4">
        <f t="shared" si="14"/>
        <v>185729</v>
      </c>
      <c r="T66">
        <f t="shared" si="15"/>
        <v>0</v>
      </c>
      <c r="U66">
        <f t="shared" si="16"/>
        <v>44</v>
      </c>
      <c r="V66" s="1" t="str">
        <f t="shared" si="17"/>
        <v>L2</v>
      </c>
      <c r="W66" s="2">
        <f t="shared" si="18"/>
        <v>4221.113636363636</v>
      </c>
      <c r="X66" s="2">
        <f t="shared" si="11"/>
        <v>0</v>
      </c>
      <c r="Y66" s="18">
        <f t="shared" si="19"/>
        <v>26.01691195169913</v>
      </c>
      <c r="Z66" s="18">
        <f t="shared" si="20"/>
        <v>0</v>
      </c>
      <c r="AA66" s="2">
        <f t="shared" si="12"/>
        <v>109820.34181538926</v>
      </c>
    </row>
    <row r="67" spans="1:27" ht="12.75">
      <c r="A67">
        <v>2001</v>
      </c>
      <c r="C67" s="35">
        <f t="shared" si="21"/>
        <v>1771790</v>
      </c>
      <c r="D67" s="35">
        <v>0</v>
      </c>
      <c r="E67" s="35">
        <v>84508</v>
      </c>
      <c r="F67" s="35">
        <v>20741</v>
      </c>
      <c r="G67" s="35">
        <f t="shared" si="22"/>
        <v>1835557</v>
      </c>
      <c r="H67" s="28">
        <v>19.5</v>
      </c>
      <c r="I67" s="9">
        <v>0</v>
      </c>
      <c r="J67" s="29">
        <f t="shared" si="23"/>
        <v>0</v>
      </c>
      <c r="M67" s="38">
        <f t="shared" si="13"/>
        <v>84508</v>
      </c>
      <c r="R67" s="21">
        <f t="shared" si="10"/>
        <v>2001</v>
      </c>
      <c r="S67" s="4">
        <f t="shared" si="14"/>
        <v>84508</v>
      </c>
      <c r="T67">
        <f t="shared" si="15"/>
        <v>0</v>
      </c>
      <c r="U67">
        <f t="shared" si="16"/>
        <v>44</v>
      </c>
      <c r="V67" s="1" t="str">
        <f t="shared" si="17"/>
        <v>L2</v>
      </c>
      <c r="W67" s="2">
        <f t="shared" si="18"/>
        <v>1920.6363636363637</v>
      </c>
      <c r="X67" s="2">
        <f t="shared" si="11"/>
        <v>0</v>
      </c>
      <c r="Y67" s="18">
        <f>Prob_life($V$67,H67,$U$67)</f>
        <v>26.701519304442215</v>
      </c>
      <c r="Z67" s="18">
        <f t="shared" si="20"/>
        <v>0</v>
      </c>
      <c r="AA67" s="2">
        <f t="shared" si="12"/>
        <v>51283.90894045006</v>
      </c>
    </row>
    <row r="68" spans="1:27" ht="12.75">
      <c r="A68">
        <v>2002</v>
      </c>
      <c r="C68" s="35">
        <f t="shared" si="21"/>
        <v>1835557</v>
      </c>
      <c r="D68" s="35">
        <v>0</v>
      </c>
      <c r="E68" s="35">
        <v>184938</v>
      </c>
      <c r="F68" s="35">
        <v>3080</v>
      </c>
      <c r="G68" s="35">
        <f t="shared" si="22"/>
        <v>2017415</v>
      </c>
      <c r="H68" s="28">
        <v>18.5</v>
      </c>
      <c r="I68" s="29">
        <v>0</v>
      </c>
      <c r="J68" s="29">
        <f t="shared" si="23"/>
        <v>0</v>
      </c>
      <c r="M68" s="38">
        <f t="shared" si="13"/>
        <v>184938</v>
      </c>
      <c r="R68" s="21">
        <f t="shared" si="10"/>
        <v>2002</v>
      </c>
      <c r="S68" s="4">
        <f t="shared" si="14"/>
        <v>184938</v>
      </c>
      <c r="T68">
        <f t="shared" si="15"/>
        <v>0</v>
      </c>
      <c r="U68">
        <f t="shared" si="16"/>
        <v>44</v>
      </c>
      <c r="V68" s="1" t="str">
        <f t="shared" si="17"/>
        <v>L2</v>
      </c>
      <c r="W68" s="2">
        <f t="shared" si="18"/>
        <v>4203.136363636364</v>
      </c>
      <c r="X68" s="2">
        <f t="shared" si="11"/>
        <v>0</v>
      </c>
      <c r="Y68" s="18">
        <f aca="true" t="shared" si="24" ref="Y68:Y75">Prob_life(V68,H68,U68)</f>
        <v>27.41830425093888</v>
      </c>
      <c r="Z68" s="18">
        <f t="shared" si="20"/>
        <v>0</v>
      </c>
      <c r="AA68" s="2">
        <f t="shared" si="12"/>
        <v>115242.87162636672</v>
      </c>
    </row>
    <row r="69" spans="1:27" ht="12.75">
      <c r="A69">
        <v>2003</v>
      </c>
      <c r="C69" s="35">
        <f aca="true" t="shared" si="25" ref="C69:C75">G68</f>
        <v>2017415</v>
      </c>
      <c r="D69" s="35">
        <v>0</v>
      </c>
      <c r="E69" s="35">
        <v>78872.33</v>
      </c>
      <c r="F69" s="35">
        <v>0</v>
      </c>
      <c r="G69" s="35">
        <f aca="true" t="shared" si="26" ref="G69:G75">C69+D69+E69-F69</f>
        <v>2096287.33</v>
      </c>
      <c r="H69" s="28">
        <v>17.5</v>
      </c>
      <c r="I69" s="29"/>
      <c r="J69" s="29"/>
      <c r="M69" s="38">
        <f t="shared" si="13"/>
        <v>78872.33</v>
      </c>
      <c r="R69" s="21">
        <f t="shared" si="10"/>
        <v>2003</v>
      </c>
      <c r="S69" s="4">
        <f aca="true" t="shared" si="27" ref="S69:S75">E69</f>
        <v>78872.33</v>
      </c>
      <c r="T69">
        <f aca="true" t="shared" si="28" ref="T69:T75">IF(D69&gt;0,IF(J69&gt;0,D69,0),0)</f>
        <v>0</v>
      </c>
      <c r="U69">
        <f t="shared" si="16"/>
        <v>44</v>
      </c>
      <c r="V69" s="1" t="str">
        <f t="shared" si="17"/>
        <v>L2</v>
      </c>
      <c r="W69" s="2">
        <f aca="true" t="shared" si="29" ref="W69:W75">S69/U69</f>
        <v>1792.5529545454547</v>
      </c>
      <c r="X69" s="2">
        <f aca="true" t="shared" si="30" ref="X69:X75">T69/U69</f>
        <v>0</v>
      </c>
      <c r="Y69" s="18">
        <f t="shared" si="24"/>
        <v>28.165148974029535</v>
      </c>
      <c r="Z69" s="18">
        <f aca="true" t="shared" si="31" ref="Z69:Z75">IF(J69&gt;0,Prob_life(V69,J69+0.5,U69),0)</f>
        <v>0</v>
      </c>
      <c r="AA69" s="2">
        <f aca="true" t="shared" si="32" ref="AA69:AA75">W69*Y69+X69*Z69</f>
        <v>50487.521008609525</v>
      </c>
    </row>
    <row r="70" spans="1:27" ht="12.75">
      <c r="A70">
        <v>2004</v>
      </c>
      <c r="C70" s="35">
        <f t="shared" si="25"/>
        <v>2096287.33</v>
      </c>
      <c r="D70" s="35">
        <v>0</v>
      </c>
      <c r="E70" s="35">
        <v>146005</v>
      </c>
      <c r="F70" s="35">
        <v>0</v>
      </c>
      <c r="G70" s="35">
        <f t="shared" si="26"/>
        <v>2242292.33</v>
      </c>
      <c r="H70" s="28">
        <v>16.5</v>
      </c>
      <c r="I70" s="29"/>
      <c r="J70" s="29"/>
      <c r="M70" s="38">
        <f t="shared" si="13"/>
        <v>146005</v>
      </c>
      <c r="R70" s="21">
        <f t="shared" si="10"/>
        <v>2004</v>
      </c>
      <c r="S70" s="4">
        <f t="shared" si="27"/>
        <v>146005</v>
      </c>
      <c r="T70">
        <f t="shared" si="28"/>
        <v>0</v>
      </c>
      <c r="U70">
        <f t="shared" si="16"/>
        <v>44</v>
      </c>
      <c r="V70" s="1" t="str">
        <f t="shared" si="17"/>
        <v>L2</v>
      </c>
      <c r="W70" s="2">
        <f t="shared" si="29"/>
        <v>3318.2954545454545</v>
      </c>
      <c r="X70" s="2">
        <f t="shared" si="30"/>
        <v>0</v>
      </c>
      <c r="Y70" s="18">
        <f t="shared" si="24"/>
        <v>28.939093113768052</v>
      </c>
      <c r="Z70" s="18">
        <f t="shared" si="31"/>
        <v>0</v>
      </c>
      <c r="AA70" s="2">
        <f t="shared" si="32"/>
        <v>96028.4611380842</v>
      </c>
    </row>
    <row r="71" spans="1:27" ht="12.75">
      <c r="A71">
        <v>2005</v>
      </c>
      <c r="C71" s="35">
        <f t="shared" si="25"/>
        <v>2242292.33</v>
      </c>
      <c r="D71" s="35">
        <v>12021</v>
      </c>
      <c r="E71" s="35">
        <v>249689.42</v>
      </c>
      <c r="F71" s="35">
        <v>25999.2</v>
      </c>
      <c r="G71" s="35">
        <f t="shared" si="26"/>
        <v>2478003.55</v>
      </c>
      <c r="H71" s="28">
        <v>15.5</v>
      </c>
      <c r="I71" s="29"/>
      <c r="J71" s="29"/>
      <c r="M71" s="38">
        <f t="shared" si="13"/>
        <v>261710.42</v>
      </c>
      <c r="R71" s="21">
        <f aca="true" t="shared" si="33" ref="R71:R86">A71</f>
        <v>2005</v>
      </c>
      <c r="S71" s="4">
        <f t="shared" si="27"/>
        <v>249689.42</v>
      </c>
      <c r="T71">
        <f t="shared" si="28"/>
        <v>0</v>
      </c>
      <c r="U71">
        <f t="shared" si="16"/>
        <v>44</v>
      </c>
      <c r="V71" s="1" t="str">
        <f t="shared" si="17"/>
        <v>L2</v>
      </c>
      <c r="W71" s="2">
        <f t="shared" si="29"/>
        <v>5674.759545454545</v>
      </c>
      <c r="X71" s="2">
        <f t="shared" si="30"/>
        <v>0</v>
      </c>
      <c r="Y71" s="18">
        <f t="shared" si="24"/>
        <v>29.73646381509829</v>
      </c>
      <c r="Z71" s="18">
        <f t="shared" si="31"/>
        <v>0</v>
      </c>
      <c r="AA71" s="2">
        <f t="shared" si="32"/>
        <v>168747.2818827927</v>
      </c>
    </row>
    <row r="72" spans="1:27" ht="12.75">
      <c r="A72">
        <v>2006</v>
      </c>
      <c r="B72" s="35"/>
      <c r="C72" s="35">
        <f t="shared" si="25"/>
        <v>2478003.55</v>
      </c>
      <c r="D72" s="35">
        <v>-8873.45</v>
      </c>
      <c r="E72" s="35">
        <v>219986.57</v>
      </c>
      <c r="F72" s="35">
        <f>10299.68+16274.46</f>
        <v>26574.14</v>
      </c>
      <c r="G72" s="35">
        <f t="shared" si="26"/>
        <v>2662542.5299999993</v>
      </c>
      <c r="H72" s="28">
        <v>14.5</v>
      </c>
      <c r="I72" s="29"/>
      <c r="J72" s="29"/>
      <c r="M72" s="38">
        <f t="shared" si="13"/>
        <v>211113.12</v>
      </c>
      <c r="R72" s="21">
        <f t="shared" si="33"/>
        <v>2006</v>
      </c>
      <c r="S72" s="4">
        <f t="shared" si="27"/>
        <v>219986.57</v>
      </c>
      <c r="T72">
        <f t="shared" si="28"/>
        <v>0</v>
      </c>
      <c r="U72">
        <f t="shared" si="16"/>
        <v>44</v>
      </c>
      <c r="V72" s="1" t="str">
        <f t="shared" si="17"/>
        <v>L2</v>
      </c>
      <c r="W72" s="2">
        <f t="shared" si="29"/>
        <v>4999.694772727273</v>
      </c>
      <c r="X72" s="2">
        <f t="shared" si="30"/>
        <v>0</v>
      </c>
      <c r="Y72" s="18">
        <f t="shared" si="24"/>
        <v>30.553251494850056</v>
      </c>
      <c r="Z72" s="18">
        <f t="shared" si="31"/>
        <v>0</v>
      </c>
      <c r="AA72" s="2">
        <f t="shared" si="32"/>
        <v>152756.93178862357</v>
      </c>
    </row>
    <row r="73" spans="1:27" ht="12.75">
      <c r="A73">
        <v>2007</v>
      </c>
      <c r="B73" s="35"/>
      <c r="C73" s="35">
        <f t="shared" si="25"/>
        <v>2662542.5299999993</v>
      </c>
      <c r="D73" s="35">
        <v>0</v>
      </c>
      <c r="E73" s="35">
        <v>409207.14</v>
      </c>
      <c r="F73" s="35">
        <v>0</v>
      </c>
      <c r="G73" s="35">
        <f t="shared" si="26"/>
        <v>3071749.6699999995</v>
      </c>
      <c r="H73" s="28">
        <v>13.5</v>
      </c>
      <c r="I73" s="29"/>
      <c r="J73" s="29"/>
      <c r="M73" s="38">
        <f t="shared" si="13"/>
        <v>409207.14</v>
      </c>
      <c r="R73" s="21">
        <f t="shared" si="33"/>
        <v>2007</v>
      </c>
      <c r="S73" s="4">
        <f t="shared" si="27"/>
        <v>409207.14</v>
      </c>
      <c r="T73">
        <f t="shared" si="28"/>
        <v>0</v>
      </c>
      <c r="U73">
        <v>39</v>
      </c>
      <c r="V73" s="1" t="str">
        <f t="shared" si="17"/>
        <v>L2</v>
      </c>
      <c r="W73" s="19">
        <f t="shared" si="29"/>
        <v>10492.49076923077</v>
      </c>
      <c r="X73" s="2">
        <f t="shared" si="30"/>
        <v>0</v>
      </c>
      <c r="Y73" s="18">
        <f t="shared" si="24"/>
        <v>26.55081433434155</v>
      </c>
      <c r="Z73" s="18">
        <f t="shared" si="31"/>
        <v>0</v>
      </c>
      <c r="AA73" s="2">
        <f t="shared" si="32"/>
        <v>278584.1743186387</v>
      </c>
    </row>
    <row r="74" spans="1:27" ht="12.75">
      <c r="A74">
        <v>2008</v>
      </c>
      <c r="B74" s="35"/>
      <c r="C74" s="35">
        <f t="shared" si="25"/>
        <v>3071749.6699999995</v>
      </c>
      <c r="D74" s="35">
        <v>0</v>
      </c>
      <c r="E74" s="35">
        <v>103097.77</v>
      </c>
      <c r="F74" s="35">
        <v>0</v>
      </c>
      <c r="G74" s="35">
        <f t="shared" si="26"/>
        <v>3174847.4399999995</v>
      </c>
      <c r="H74" s="28">
        <v>12.5</v>
      </c>
      <c r="I74" s="29"/>
      <c r="J74" s="29"/>
      <c r="M74" s="38">
        <f t="shared" si="13"/>
        <v>103097.77</v>
      </c>
      <c r="R74" s="21">
        <f t="shared" si="33"/>
        <v>2008</v>
      </c>
      <c r="S74" s="4">
        <f t="shared" si="27"/>
        <v>103097.77</v>
      </c>
      <c r="T74">
        <f t="shared" si="28"/>
        <v>0</v>
      </c>
      <c r="U74">
        <v>39</v>
      </c>
      <c r="V74" s="1" t="str">
        <f t="shared" si="17"/>
        <v>L2</v>
      </c>
      <c r="W74" s="2">
        <f t="shared" si="29"/>
        <v>2643.5325641025643</v>
      </c>
      <c r="X74" s="2">
        <f t="shared" si="30"/>
        <v>0</v>
      </c>
      <c r="Y74" s="18">
        <f t="shared" si="24"/>
        <v>27.373179304532393</v>
      </c>
      <c r="Z74" s="18">
        <f t="shared" si="31"/>
        <v>0</v>
      </c>
      <c r="AA74" s="2">
        <f t="shared" si="32"/>
        <v>72361.89087454976</v>
      </c>
    </row>
    <row r="75" spans="1:27" ht="12.75">
      <c r="A75" s="29">
        <v>2009</v>
      </c>
      <c r="C75" s="35">
        <f t="shared" si="25"/>
        <v>3174847.4399999995</v>
      </c>
      <c r="D75" s="35">
        <v>0</v>
      </c>
      <c r="E75" s="35">
        <v>207407.55</v>
      </c>
      <c r="F75" s="35">
        <v>1933.76</v>
      </c>
      <c r="G75" s="35">
        <f t="shared" si="26"/>
        <v>3380321.2299999995</v>
      </c>
      <c r="H75" s="28">
        <v>11.5</v>
      </c>
      <c r="I75" s="30"/>
      <c r="J75" s="29"/>
      <c r="M75" s="38">
        <f t="shared" si="13"/>
        <v>207407.55</v>
      </c>
      <c r="R75" s="21">
        <f t="shared" si="33"/>
        <v>2009</v>
      </c>
      <c r="S75" s="4">
        <f t="shared" si="27"/>
        <v>207407.55</v>
      </c>
      <c r="T75">
        <f t="shared" si="28"/>
        <v>0</v>
      </c>
      <c r="U75">
        <v>39</v>
      </c>
      <c r="V75" s="1" t="str">
        <f t="shared" si="17"/>
        <v>L2</v>
      </c>
      <c r="W75" s="2">
        <f t="shared" si="29"/>
        <v>5318.142307692307</v>
      </c>
      <c r="X75" s="2">
        <f t="shared" si="30"/>
        <v>0</v>
      </c>
      <c r="Y75" s="18">
        <f t="shared" si="24"/>
        <v>28.21258919863073</v>
      </c>
      <c r="Z75" s="18">
        <f t="shared" si="31"/>
        <v>0</v>
      </c>
      <c r="AA75" s="2">
        <f t="shared" si="32"/>
        <v>150038.5642267811</v>
      </c>
    </row>
    <row r="76" spans="1:27" ht="12.75">
      <c r="A76" s="29">
        <v>2010</v>
      </c>
      <c r="C76" s="35">
        <f aca="true" t="shared" si="34" ref="C76:C86">G75</f>
        <v>3380321.2299999995</v>
      </c>
      <c r="D76" s="35">
        <v>-346800.46</v>
      </c>
      <c r="E76" s="35">
        <v>230819.19</v>
      </c>
      <c r="F76" s="35">
        <v>3000</v>
      </c>
      <c r="G76" s="35">
        <f aca="true" t="shared" si="35" ref="G76:G86">C76+D76+E76-F76</f>
        <v>3261339.9599999995</v>
      </c>
      <c r="H76" s="28">
        <v>10.5</v>
      </c>
      <c r="I76" s="30"/>
      <c r="J76" s="29"/>
      <c r="M76" s="38">
        <f t="shared" si="13"/>
        <v>-115981.27000000002</v>
      </c>
      <c r="R76" s="21">
        <f t="shared" si="33"/>
        <v>2010</v>
      </c>
      <c r="S76" s="4">
        <f aca="true" t="shared" si="36" ref="S76:S86">E76</f>
        <v>230819.19</v>
      </c>
      <c r="T76">
        <f aca="true" t="shared" si="37" ref="T76:T86">IF(D76&gt;0,IF(J76&gt;0,D76,0),0)</f>
        <v>0</v>
      </c>
      <c r="U76">
        <v>40</v>
      </c>
      <c r="V76" s="1" t="str">
        <f t="shared" si="17"/>
        <v>L2</v>
      </c>
      <c r="W76" s="2">
        <f aca="true" t="shared" si="38" ref="W76:W86">S76/U76</f>
        <v>5770.47975</v>
      </c>
      <c r="X76" s="2">
        <f aca="true" t="shared" si="39" ref="X76:X86">T76/U76</f>
        <v>0</v>
      </c>
      <c r="Y76" s="18">
        <f aca="true" t="shared" si="40" ref="Y76:Y86">Prob_life(V76,H76,U76)</f>
        <v>30.04715872067952</v>
      </c>
      <c r="Z76" s="18">
        <f aca="true" t="shared" si="41" ref="Z76:Z86">IF(J76&gt;0,Prob_life(V76,J76+0.5,U76),0)</f>
        <v>0</v>
      </c>
      <c r="AA76" s="2">
        <f aca="true" t="shared" si="42" ref="AA76:AA86">W76*Y76+X76*Z76</f>
        <v>173386.5209427171</v>
      </c>
    </row>
    <row r="77" spans="1:27" ht="12.75">
      <c r="A77" s="29">
        <v>2011</v>
      </c>
      <c r="C77" s="35">
        <f t="shared" si="34"/>
        <v>3261339.9599999995</v>
      </c>
      <c r="D77" s="35">
        <v>0</v>
      </c>
      <c r="E77" s="35">
        <v>109282.95</v>
      </c>
      <c r="F77" s="35">
        <v>0</v>
      </c>
      <c r="G77" s="35">
        <f t="shared" si="35"/>
        <v>3370622.9099999997</v>
      </c>
      <c r="H77" s="28">
        <v>9.5</v>
      </c>
      <c r="I77" s="30"/>
      <c r="J77" s="29"/>
      <c r="M77" s="38">
        <f t="shared" si="13"/>
        <v>109282.95</v>
      </c>
      <c r="R77" s="21">
        <f t="shared" si="33"/>
        <v>2011</v>
      </c>
      <c r="S77" s="4">
        <f t="shared" si="36"/>
        <v>109282.95</v>
      </c>
      <c r="T77">
        <f t="shared" si="37"/>
        <v>0</v>
      </c>
      <c r="U77">
        <v>41</v>
      </c>
      <c r="V77" s="1" t="str">
        <f t="shared" si="17"/>
        <v>L2</v>
      </c>
      <c r="W77" s="2">
        <f t="shared" si="38"/>
        <v>2665.4378048780486</v>
      </c>
      <c r="X77" s="2">
        <f t="shared" si="39"/>
        <v>0</v>
      </c>
      <c r="Y77" s="18">
        <f t="shared" si="40"/>
        <v>31.90819133477117</v>
      </c>
      <c r="Z77" s="18">
        <f t="shared" si="41"/>
        <v>0</v>
      </c>
      <c r="AA77" s="2">
        <f t="shared" si="42"/>
        <v>85049.29946898125</v>
      </c>
    </row>
    <row r="78" spans="1:27" ht="12.75">
      <c r="A78" s="29">
        <v>2012</v>
      </c>
      <c r="C78" s="35">
        <f t="shared" si="34"/>
        <v>3370622.9099999997</v>
      </c>
      <c r="D78" s="35">
        <v>4803.37</v>
      </c>
      <c r="E78" s="35">
        <v>134146.78</v>
      </c>
      <c r="F78" s="35">
        <v>16522.42</v>
      </c>
      <c r="G78" s="35">
        <f t="shared" si="35"/>
        <v>3493050.6399999997</v>
      </c>
      <c r="H78" s="28">
        <v>8.5</v>
      </c>
      <c r="I78" s="30"/>
      <c r="J78" s="29"/>
      <c r="M78" s="38">
        <f t="shared" si="13"/>
        <v>138950.15</v>
      </c>
      <c r="R78" s="21">
        <f t="shared" si="33"/>
        <v>2012</v>
      </c>
      <c r="S78" s="4">
        <f t="shared" si="36"/>
        <v>134146.78</v>
      </c>
      <c r="T78">
        <f t="shared" si="37"/>
        <v>0</v>
      </c>
      <c r="U78">
        <v>42</v>
      </c>
      <c r="V78" s="1" t="str">
        <f t="shared" si="17"/>
        <v>L2</v>
      </c>
      <c r="W78" s="2">
        <f t="shared" si="38"/>
        <v>3193.9709523809524</v>
      </c>
      <c r="X78" s="2">
        <f t="shared" si="39"/>
        <v>0</v>
      </c>
      <c r="Y78" s="18">
        <f t="shared" si="40"/>
        <v>33.79408730001188</v>
      </c>
      <c r="Z78" s="18">
        <f t="shared" si="41"/>
        <v>0</v>
      </c>
      <c r="AA78" s="2">
        <f t="shared" si="42"/>
        <v>107937.333198464</v>
      </c>
    </row>
    <row r="79" spans="1:27" ht="12.75">
      <c r="A79" s="29">
        <v>2013</v>
      </c>
      <c r="C79" s="35">
        <f t="shared" si="34"/>
        <v>3493050.6399999997</v>
      </c>
      <c r="D79" s="35">
        <v>0</v>
      </c>
      <c r="E79" s="35">
        <v>97467.39</v>
      </c>
      <c r="F79" s="35">
        <v>16000</v>
      </c>
      <c r="G79" s="35">
        <f t="shared" si="35"/>
        <v>3574518.03</v>
      </c>
      <c r="H79" s="28">
        <v>7.5</v>
      </c>
      <c r="I79" s="30"/>
      <c r="J79" s="29"/>
      <c r="M79" s="38">
        <f t="shared" si="13"/>
        <v>97467.39</v>
      </c>
      <c r="R79" s="21">
        <f t="shared" si="33"/>
        <v>2013</v>
      </c>
      <c r="S79" s="4">
        <f t="shared" si="36"/>
        <v>97467.39</v>
      </c>
      <c r="T79">
        <f t="shared" si="37"/>
        <v>0</v>
      </c>
      <c r="U79">
        <v>43</v>
      </c>
      <c r="V79" s="1" t="str">
        <f t="shared" si="17"/>
        <v>L2</v>
      </c>
      <c r="W79" s="2">
        <f t="shared" si="38"/>
        <v>2266.683488372093</v>
      </c>
      <c r="X79" s="2">
        <f t="shared" si="39"/>
        <v>0</v>
      </c>
      <c r="Y79" s="18">
        <f t="shared" si="40"/>
        <v>35.70292392575401</v>
      </c>
      <c r="Z79" s="18">
        <f t="shared" si="41"/>
        <v>0</v>
      </c>
      <c r="AA79" s="2">
        <f t="shared" si="42"/>
        <v>80927.22814911156</v>
      </c>
    </row>
    <row r="80" spans="1:27" ht="12.75">
      <c r="A80" s="29">
        <v>2014</v>
      </c>
      <c r="C80" s="35">
        <f t="shared" si="34"/>
        <v>3574518.03</v>
      </c>
      <c r="D80" s="35">
        <v>0</v>
      </c>
      <c r="E80" s="35">
        <v>394151.18</v>
      </c>
      <c r="F80" s="35">
        <v>6094.52</v>
      </c>
      <c r="G80" s="35">
        <f t="shared" si="35"/>
        <v>3962574.69</v>
      </c>
      <c r="H80" s="28">
        <v>6.5</v>
      </c>
      <c r="I80" s="30"/>
      <c r="J80" s="29"/>
      <c r="M80" s="38">
        <f t="shared" si="13"/>
        <v>394151.18</v>
      </c>
      <c r="R80" s="21">
        <f t="shared" si="33"/>
        <v>2014</v>
      </c>
      <c r="S80" s="4">
        <f t="shared" si="36"/>
        <v>394151.18</v>
      </c>
      <c r="T80">
        <f t="shared" si="37"/>
        <v>0</v>
      </c>
      <c r="U80">
        <v>44</v>
      </c>
      <c r="V80" s="1" t="str">
        <f t="shared" si="17"/>
        <v>L2</v>
      </c>
      <c r="W80" s="2">
        <f t="shared" si="38"/>
        <v>8957.981363636363</v>
      </c>
      <c r="X80" s="2">
        <f t="shared" si="39"/>
        <v>0</v>
      </c>
      <c r="Y80" s="18">
        <f t="shared" si="40"/>
        <v>37.6325076676855</v>
      </c>
      <c r="Z80" s="18">
        <f t="shared" si="41"/>
        <v>0</v>
      </c>
      <c r="AA80" s="2">
        <f t="shared" si="42"/>
        <v>337111.30235402926</v>
      </c>
    </row>
    <row r="81" spans="1:27" ht="12.75">
      <c r="A81" s="29">
        <v>2015</v>
      </c>
      <c r="C81" s="35">
        <f t="shared" si="34"/>
        <v>3962574.69</v>
      </c>
      <c r="D81" s="35">
        <v>-5754.67</v>
      </c>
      <c r="E81" s="35">
        <v>60838.93</v>
      </c>
      <c r="F81" s="35">
        <v>33006.85</v>
      </c>
      <c r="G81" s="35">
        <f t="shared" si="35"/>
        <v>3984652.1</v>
      </c>
      <c r="H81" s="28">
        <v>5.5</v>
      </c>
      <c r="I81" s="30"/>
      <c r="J81" s="29"/>
      <c r="M81" s="38">
        <f t="shared" si="13"/>
        <v>55084.26</v>
      </c>
      <c r="R81" s="21">
        <f t="shared" si="33"/>
        <v>2015</v>
      </c>
      <c r="S81" s="4">
        <f t="shared" si="36"/>
        <v>60838.93</v>
      </c>
      <c r="T81">
        <f t="shared" si="37"/>
        <v>0</v>
      </c>
      <c r="U81">
        <v>45</v>
      </c>
      <c r="V81" s="1" t="str">
        <f t="shared" si="17"/>
        <v>L2</v>
      </c>
      <c r="W81" s="2">
        <f t="shared" si="38"/>
        <v>1351.9762222222223</v>
      </c>
      <c r="X81" s="2">
        <f t="shared" si="39"/>
        <v>0</v>
      </c>
      <c r="Y81" s="18">
        <f t="shared" si="40"/>
        <v>39.58042142366163</v>
      </c>
      <c r="Z81" s="18">
        <f t="shared" si="41"/>
        <v>0</v>
      </c>
      <c r="AA81" s="2">
        <f t="shared" si="42"/>
        <v>53511.788630325565</v>
      </c>
    </row>
    <row r="82" spans="1:27" ht="12.75">
      <c r="A82" s="29">
        <v>2016</v>
      </c>
      <c r="C82" s="35">
        <f t="shared" si="34"/>
        <v>3984652.1</v>
      </c>
      <c r="D82" s="35">
        <v>-17434.47</v>
      </c>
      <c r="E82" s="35">
        <v>153240.08</v>
      </c>
      <c r="F82" s="35">
        <v>0</v>
      </c>
      <c r="G82" s="35">
        <f t="shared" si="35"/>
        <v>4120457.71</v>
      </c>
      <c r="H82" s="28">
        <v>4.5</v>
      </c>
      <c r="I82" s="30"/>
      <c r="J82" s="29"/>
      <c r="M82" s="38">
        <f>D82+E82</f>
        <v>135805.61</v>
      </c>
      <c r="R82" s="21">
        <f t="shared" si="33"/>
        <v>2016</v>
      </c>
      <c r="S82" s="4">
        <f t="shared" si="36"/>
        <v>153240.08</v>
      </c>
      <c r="T82">
        <f t="shared" si="37"/>
        <v>0</v>
      </c>
      <c r="U82">
        <v>46</v>
      </c>
      <c r="V82" s="1" t="str">
        <f t="shared" si="17"/>
        <v>L2</v>
      </c>
      <c r="W82" s="2">
        <f t="shared" si="38"/>
        <v>3331.3060869565215</v>
      </c>
      <c r="X82" s="2">
        <f t="shared" si="39"/>
        <v>0</v>
      </c>
      <c r="Y82" s="18">
        <f t="shared" si="40"/>
        <v>41.54406924553836</v>
      </c>
      <c r="Z82" s="18">
        <f t="shared" si="41"/>
        <v>0</v>
      </c>
      <c r="AA82" s="2">
        <f t="shared" si="42"/>
        <v>138396.01075460517</v>
      </c>
    </row>
    <row r="83" spans="1:27" ht="12.75">
      <c r="A83" s="29">
        <v>2017</v>
      </c>
      <c r="C83" s="35">
        <f t="shared" si="34"/>
        <v>4120457.71</v>
      </c>
      <c r="D83" s="35">
        <v>-29211.73</v>
      </c>
      <c r="E83" s="35">
        <v>73147.21</v>
      </c>
      <c r="F83" s="35">
        <v>0</v>
      </c>
      <c r="G83" s="35">
        <f t="shared" si="35"/>
        <v>4164393.19</v>
      </c>
      <c r="H83" s="28">
        <v>3.5</v>
      </c>
      <c r="I83" s="30"/>
      <c r="J83" s="29"/>
      <c r="M83" s="38">
        <f>D83+E83</f>
        <v>43935.48000000001</v>
      </c>
      <c r="R83" s="21">
        <f t="shared" si="33"/>
        <v>2017</v>
      </c>
      <c r="S83" s="4">
        <f t="shared" si="36"/>
        <v>73147.21</v>
      </c>
      <c r="T83">
        <f t="shared" si="37"/>
        <v>0</v>
      </c>
      <c r="U83">
        <v>47</v>
      </c>
      <c r="V83" s="1" t="str">
        <f t="shared" si="17"/>
        <v>L2</v>
      </c>
      <c r="W83" s="2">
        <f t="shared" si="38"/>
        <v>1556.3236170212767</v>
      </c>
      <c r="X83" s="2">
        <f t="shared" si="39"/>
        <v>0</v>
      </c>
      <c r="Y83" s="18">
        <f t="shared" si="40"/>
        <v>43.52071736903513</v>
      </c>
      <c r="Z83" s="18">
        <f t="shared" si="41"/>
        <v>0</v>
      </c>
      <c r="AA83" s="2">
        <f t="shared" si="42"/>
        <v>67732.32027113746</v>
      </c>
    </row>
    <row r="84" spans="1:27" ht="12.75">
      <c r="A84" s="29">
        <v>2018</v>
      </c>
      <c r="C84" s="35">
        <f t="shared" si="34"/>
        <v>4164393.19</v>
      </c>
      <c r="D84" s="35">
        <v>-4500</v>
      </c>
      <c r="E84" s="35">
        <v>17324.39</v>
      </c>
      <c r="F84" s="35">
        <v>390248.62</v>
      </c>
      <c r="G84" s="35">
        <f t="shared" si="35"/>
        <v>3786968.96</v>
      </c>
      <c r="H84" s="28">
        <v>2.5</v>
      </c>
      <c r="I84" s="30"/>
      <c r="J84" s="29"/>
      <c r="M84" s="38">
        <f>D84+E84</f>
        <v>12824.39</v>
      </c>
      <c r="R84" s="21">
        <f t="shared" si="33"/>
        <v>2018</v>
      </c>
      <c r="S84" s="4">
        <f t="shared" si="36"/>
        <v>17324.39</v>
      </c>
      <c r="T84">
        <f t="shared" si="37"/>
        <v>0</v>
      </c>
      <c r="U84">
        <v>48</v>
      </c>
      <c r="V84" s="1" t="str">
        <f t="shared" si="17"/>
        <v>L2</v>
      </c>
      <c r="W84" s="2">
        <f t="shared" si="38"/>
        <v>360.92479166666664</v>
      </c>
      <c r="X84" s="2">
        <f t="shared" si="39"/>
        <v>0</v>
      </c>
      <c r="Y84" s="18">
        <f t="shared" si="40"/>
        <v>45.50753263942315</v>
      </c>
      <c r="Z84" s="18">
        <f t="shared" si="41"/>
        <v>0</v>
      </c>
      <c r="AA84" s="2">
        <f t="shared" si="42"/>
        <v>16424.79673714783</v>
      </c>
    </row>
    <row r="85" spans="1:27" ht="12.75">
      <c r="A85" s="29">
        <v>2019</v>
      </c>
      <c r="C85" s="35">
        <f t="shared" si="34"/>
        <v>3786968.96</v>
      </c>
      <c r="D85" s="35">
        <v>0</v>
      </c>
      <c r="E85" s="35">
        <v>49414.4</v>
      </c>
      <c r="F85" s="35">
        <v>0</v>
      </c>
      <c r="G85" s="35">
        <f t="shared" si="35"/>
        <v>3836383.36</v>
      </c>
      <c r="H85" s="28">
        <v>1.5</v>
      </c>
      <c r="I85" s="30"/>
      <c r="J85" s="29"/>
      <c r="M85" s="38">
        <f>D85+E85</f>
        <v>49414.4</v>
      </c>
      <c r="R85" s="21">
        <f t="shared" si="33"/>
        <v>2019</v>
      </c>
      <c r="S85" s="4">
        <f t="shared" si="36"/>
        <v>49414.4</v>
      </c>
      <c r="T85">
        <f t="shared" si="37"/>
        <v>0</v>
      </c>
      <c r="U85">
        <v>49</v>
      </c>
      <c r="V85" s="1" t="str">
        <f t="shared" si="17"/>
        <v>L2</v>
      </c>
      <c r="W85" s="2">
        <f t="shared" si="38"/>
        <v>1008.4571428571429</v>
      </c>
      <c r="X85" s="2">
        <f t="shared" si="39"/>
        <v>0</v>
      </c>
      <c r="Y85" s="18">
        <f t="shared" si="40"/>
        <v>47.50161996880176</v>
      </c>
      <c r="Z85" s="18">
        <f t="shared" si="41"/>
        <v>0</v>
      </c>
      <c r="AA85" s="2">
        <f t="shared" si="42"/>
        <v>47903.34795482363</v>
      </c>
    </row>
    <row r="86" spans="1:27" ht="12.75">
      <c r="A86" s="29">
        <v>2020</v>
      </c>
      <c r="C86" s="35">
        <f t="shared" si="34"/>
        <v>3836383.36</v>
      </c>
      <c r="D86" s="35">
        <v>15241.33</v>
      </c>
      <c r="E86" s="35">
        <v>794321.05</v>
      </c>
      <c r="F86" s="35">
        <v>46923.1</v>
      </c>
      <c r="G86" s="35">
        <f t="shared" si="35"/>
        <v>4599022.640000001</v>
      </c>
      <c r="H86" s="28">
        <v>0.5</v>
      </c>
      <c r="I86" s="30"/>
      <c r="J86" s="29"/>
      <c r="M86" s="38">
        <f>D86+E86</f>
        <v>809562.38</v>
      </c>
      <c r="R86" s="21">
        <f t="shared" si="33"/>
        <v>2020</v>
      </c>
      <c r="S86" s="4">
        <f t="shared" si="36"/>
        <v>794321.05</v>
      </c>
      <c r="T86">
        <f t="shared" si="37"/>
        <v>0</v>
      </c>
      <c r="U86">
        <v>50</v>
      </c>
      <c r="V86" s="1" t="str">
        <f t="shared" si="17"/>
        <v>L2</v>
      </c>
      <c r="W86" s="2">
        <f t="shared" si="38"/>
        <v>15886.421</v>
      </c>
      <c r="X86" s="2">
        <f t="shared" si="39"/>
        <v>0</v>
      </c>
      <c r="Y86" s="18">
        <f t="shared" si="40"/>
        <v>49.50005840248906</v>
      </c>
      <c r="Z86" s="18">
        <f t="shared" si="41"/>
        <v>0</v>
      </c>
      <c r="AA86" s="2">
        <f t="shared" si="42"/>
        <v>786378.7673065286</v>
      </c>
    </row>
    <row r="87" spans="3:27" ht="12.75">
      <c r="C87" s="8"/>
      <c r="D87" s="8"/>
      <c r="E87" s="8"/>
      <c r="F87" s="8"/>
      <c r="G87" s="8"/>
      <c r="W87" s="2"/>
      <c r="X87" s="2"/>
      <c r="AA87" s="2"/>
    </row>
    <row r="88" spans="7:27" ht="12.75">
      <c r="G88" s="4">
        <f>SUM(G82:G87)/5</f>
        <v>4101445.172</v>
      </c>
      <c r="I88" s="8"/>
      <c r="S88" s="4">
        <f>SUM(S6:S87)</f>
        <v>5458015.329999999</v>
      </c>
      <c r="T88" s="4">
        <f>SUM(T6:T87)</f>
        <v>186223</v>
      </c>
      <c r="W88" s="2">
        <f>SUM(W6:W87)</f>
        <v>124443.8851337442</v>
      </c>
      <c r="X88" s="2">
        <f>SUM(X6:X87)</f>
        <v>4232.340909090909</v>
      </c>
      <c r="Y88" s="19">
        <f>AA88/W88</f>
        <v>31.07033268591045</v>
      </c>
      <c r="Z88" s="18"/>
      <c r="AA88" s="2">
        <f>SUM(AA6:AA87)</f>
        <v>3866512.911832658</v>
      </c>
    </row>
    <row r="90" spans="2:27" ht="12.75">
      <c r="B90" t="s">
        <v>7</v>
      </c>
      <c r="D90" s="4"/>
      <c r="G90" s="10"/>
      <c r="W90" t="s">
        <v>35</v>
      </c>
      <c r="AA90" s="15">
        <f>AA88/(W88+X88)</f>
        <v>30.04838602078314</v>
      </c>
    </row>
    <row r="92" spans="2:7" ht="12.75">
      <c r="B92" t="s">
        <v>8</v>
      </c>
      <c r="D92" s="8"/>
      <c r="G92" s="10"/>
    </row>
    <row r="93" spans="20:22" ht="12.75">
      <c r="T93" s="20" t="s">
        <v>26</v>
      </c>
      <c r="V93" s="32" t="s">
        <v>17</v>
      </c>
    </row>
    <row r="94" spans="2:22" ht="12.75">
      <c r="B94" t="s">
        <v>9</v>
      </c>
      <c r="G94">
        <v>0.03</v>
      </c>
      <c r="T94" s="20" t="s">
        <v>11</v>
      </c>
      <c r="V94">
        <v>44</v>
      </c>
    </row>
    <row r="96" ht="12.75">
      <c r="B96" t="s">
        <v>10</v>
      </c>
    </row>
    <row r="98" spans="3:11" ht="12.75">
      <c r="C98" s="24"/>
      <c r="D98" s="23"/>
      <c r="E98" s="23"/>
      <c r="F98" s="23"/>
      <c r="G98" s="23"/>
      <c r="H98" s="23"/>
      <c r="I98" s="23"/>
      <c r="J98" s="23"/>
      <c r="K98" s="23"/>
    </row>
    <row r="99" spans="3:11" ht="12.75">
      <c r="C99" s="24"/>
      <c r="D99" s="43"/>
      <c r="E99" s="23"/>
      <c r="F99" s="23"/>
      <c r="G99" s="23"/>
      <c r="H99" s="23"/>
      <c r="I99" s="23"/>
      <c r="J99" s="23"/>
      <c r="K99" s="16"/>
    </row>
    <row r="100" spans="3:11" ht="12.75">
      <c r="C100" s="24"/>
      <c r="D100" s="24"/>
      <c r="E100" s="24"/>
      <c r="F100" s="42"/>
      <c r="G100" s="42"/>
      <c r="H100" s="44"/>
      <c r="I100" s="44"/>
      <c r="J100" s="44"/>
      <c r="K100" s="24"/>
    </row>
    <row r="101" spans="3:11" ht="12.75">
      <c r="C101" s="24"/>
      <c r="D101" s="24"/>
      <c r="E101" s="24"/>
      <c r="F101" s="42"/>
      <c r="G101" s="42"/>
      <c r="H101" s="44"/>
      <c r="I101" s="44"/>
      <c r="J101" s="44"/>
      <c r="K101" s="24"/>
    </row>
    <row r="102" spans="3:11" ht="12.75">
      <c r="C102" s="24"/>
      <c r="D102" s="24"/>
      <c r="E102" s="24"/>
      <c r="F102" s="42"/>
      <c r="G102" s="42"/>
      <c r="H102" s="44"/>
      <c r="I102" s="44"/>
      <c r="J102" s="44"/>
      <c r="K102" s="24"/>
    </row>
    <row r="103" spans="3:11" ht="12.75">
      <c r="C103" s="24"/>
      <c r="D103" s="24"/>
      <c r="E103" s="24"/>
      <c r="F103" s="42"/>
      <c r="G103" s="42"/>
      <c r="H103" s="44"/>
      <c r="I103" s="44"/>
      <c r="J103" s="44"/>
      <c r="K103" s="24"/>
    </row>
    <row r="104" spans="3:11" ht="12.75">
      <c r="C104" s="24"/>
      <c r="D104" s="24"/>
      <c r="E104" s="24"/>
      <c r="F104" s="42"/>
      <c r="G104" s="42"/>
      <c r="H104" s="44"/>
      <c r="I104" s="44"/>
      <c r="J104" s="44"/>
      <c r="K104" s="24"/>
    </row>
    <row r="105" spans="3:11" ht="12.75">
      <c r="C105" s="24"/>
      <c r="D105" s="24"/>
      <c r="E105" s="24"/>
      <c r="F105" s="42"/>
      <c r="G105" s="42"/>
      <c r="H105" s="44"/>
      <c r="I105" s="44"/>
      <c r="J105" s="44"/>
      <c r="K105" s="24"/>
    </row>
    <row r="106" spans="3:11" ht="12.75">
      <c r="C106" s="24"/>
      <c r="D106" s="24"/>
      <c r="E106" s="24"/>
      <c r="F106" s="42"/>
      <c r="G106" s="42"/>
      <c r="H106" s="44"/>
      <c r="I106" s="44"/>
      <c r="J106" s="44"/>
      <c r="K106" s="24"/>
    </row>
    <row r="107" spans="3:11" ht="12.75">
      <c r="C107" s="24"/>
      <c r="D107" s="24"/>
      <c r="E107" s="24"/>
      <c r="F107" s="42"/>
      <c r="G107" s="42"/>
      <c r="H107" s="44"/>
      <c r="I107" s="44"/>
      <c r="J107" s="44"/>
      <c r="K107" s="24"/>
    </row>
    <row r="108" spans="3:11" ht="12.75">
      <c r="C108" s="24"/>
      <c r="D108" s="24"/>
      <c r="E108" s="24"/>
      <c r="F108" s="42"/>
      <c r="G108" s="42"/>
      <c r="H108" s="44"/>
      <c r="I108" s="44"/>
      <c r="J108" s="44"/>
      <c r="K108" s="24"/>
    </row>
    <row r="109" spans="3:11" ht="12.75">
      <c r="C109" s="24"/>
      <c r="D109" s="24"/>
      <c r="E109" s="24"/>
      <c r="F109" s="42"/>
      <c r="G109" s="42"/>
      <c r="H109" s="44"/>
      <c r="I109" s="44"/>
      <c r="J109" s="44"/>
      <c r="K109" s="24"/>
    </row>
    <row r="110" spans="3:11" ht="12.75">
      <c r="C110" s="24"/>
      <c r="D110" s="24"/>
      <c r="E110" s="24"/>
      <c r="F110" s="42"/>
      <c r="G110" s="42"/>
      <c r="H110" s="44"/>
      <c r="I110" s="44"/>
      <c r="J110" s="44"/>
      <c r="K110" s="24"/>
    </row>
    <row r="111" spans="3:11" ht="12.75">
      <c r="C111" s="24"/>
      <c r="D111" s="24"/>
      <c r="E111" s="24"/>
      <c r="F111" s="42"/>
      <c r="G111" s="42"/>
      <c r="H111" s="44"/>
      <c r="I111" s="44"/>
      <c r="J111" s="44"/>
      <c r="K111" s="24"/>
    </row>
    <row r="112" spans="3:11" ht="12.75">
      <c r="C112" s="24"/>
      <c r="D112" s="24"/>
      <c r="E112" s="24"/>
      <c r="F112" s="42"/>
      <c r="G112" s="42"/>
      <c r="H112" s="44"/>
      <c r="I112" s="44"/>
      <c r="J112" s="44"/>
      <c r="K112" s="24"/>
    </row>
    <row r="113" spans="3:11" ht="12.75">
      <c r="C113" s="24"/>
      <c r="D113" s="24"/>
      <c r="E113" s="24"/>
      <c r="F113" s="42"/>
      <c r="G113" s="42"/>
      <c r="H113" s="44"/>
      <c r="I113" s="44"/>
      <c r="J113" s="44"/>
      <c r="K113" s="24"/>
    </row>
    <row r="114" spans="3:11" ht="12.75">
      <c r="C114" s="24"/>
      <c r="D114" s="24"/>
      <c r="E114" s="24"/>
      <c r="F114" s="42"/>
      <c r="G114" s="42"/>
      <c r="H114" s="44"/>
      <c r="I114" s="44"/>
      <c r="J114" s="44"/>
      <c r="K114" s="24"/>
    </row>
    <row r="115" spans="3:11" ht="12.75">
      <c r="C115" s="24"/>
      <c r="D115" s="24"/>
      <c r="E115" s="24"/>
      <c r="F115" s="42"/>
      <c r="G115" s="42"/>
      <c r="H115" s="44"/>
      <c r="I115" s="44"/>
      <c r="J115" s="44"/>
      <c r="K115" s="24"/>
    </row>
    <row r="116" spans="3:11" ht="12.75">
      <c r="C116" s="24"/>
      <c r="D116" s="24"/>
      <c r="E116" s="24"/>
      <c r="F116" s="42"/>
      <c r="G116" s="42"/>
      <c r="H116" s="44"/>
      <c r="I116" s="44"/>
      <c r="J116" s="44"/>
      <c r="K116" s="24"/>
    </row>
    <row r="117" spans="3:11" ht="12.75">
      <c r="C117" s="24"/>
      <c r="D117" s="24"/>
      <c r="E117" s="24"/>
      <c r="F117" s="42"/>
      <c r="G117" s="42"/>
      <c r="H117" s="44"/>
      <c r="I117" s="44"/>
      <c r="J117" s="44"/>
      <c r="K117" s="24"/>
    </row>
    <row r="118" spans="3:11" ht="12.75">
      <c r="C118" s="24"/>
      <c r="D118" s="24"/>
      <c r="E118" s="24"/>
      <c r="F118" s="42"/>
      <c r="G118" s="42"/>
      <c r="H118" s="44"/>
      <c r="I118" s="44"/>
      <c r="J118" s="44"/>
      <c r="K118" s="24"/>
    </row>
    <row r="119" spans="3:11" ht="12.75">
      <c r="C119" s="24"/>
      <c r="D119" s="24"/>
      <c r="E119" s="24"/>
      <c r="F119" s="42"/>
      <c r="G119" s="42"/>
      <c r="H119" s="44"/>
      <c r="I119" s="44"/>
      <c r="J119" s="44"/>
      <c r="K119" s="24"/>
    </row>
    <row r="120" spans="3:11" ht="12.75">
      <c r="C120" s="24"/>
      <c r="D120" s="24"/>
      <c r="E120" s="24"/>
      <c r="F120" s="42"/>
      <c r="G120" s="42"/>
      <c r="H120" s="44"/>
      <c r="I120" s="44"/>
      <c r="J120" s="44"/>
      <c r="K120" s="24"/>
    </row>
    <row r="121" spans="3:11" ht="12.75">
      <c r="C121" s="24"/>
      <c r="D121" s="24"/>
      <c r="E121" s="24"/>
      <c r="F121" s="42"/>
      <c r="G121" s="42"/>
      <c r="H121" s="44"/>
      <c r="I121" s="44"/>
      <c r="J121" s="44"/>
      <c r="K121" s="24"/>
    </row>
    <row r="122" spans="3:10" ht="12.75">
      <c r="C122" s="24"/>
      <c r="D122" s="24"/>
      <c r="E122" s="24"/>
      <c r="F122" s="24"/>
      <c r="G122" s="24"/>
      <c r="H122" s="24"/>
      <c r="I122" s="24"/>
      <c r="J122" s="24"/>
    </row>
    <row r="123" spans="3:10" ht="12.75">
      <c r="C123" s="24"/>
      <c r="D123" s="45"/>
      <c r="E123" s="46"/>
      <c r="F123" s="24"/>
      <c r="G123" s="24"/>
      <c r="H123" s="24"/>
      <c r="I123" s="24"/>
      <c r="J123" s="24"/>
    </row>
  </sheetData>
  <sheetProtection/>
  <printOptions/>
  <pageMargins left="0.75" right="0.75" top="1.46" bottom="1" header="0.5" footer="0.5"/>
  <pageSetup horizontalDpi="600" verticalDpi="600" orientation="portrait" scale="80" r:id="rId1"/>
  <headerFooter alignWithMargins="0">
    <oddHeader>&amp;C&amp;"Arial,Bold"&amp;12Delta Natural Gas Company
Account Investment Summary
369 -- Measuring &amp; Regulating Station Equipment</oddHeader>
  </headerFooter>
  <rowBreaks count="1" manualBreakCount="1">
    <brk id="9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>
    <tabColor rgb="FF00B050"/>
  </sheetPr>
  <dimension ref="A1:AA123"/>
  <sheetViews>
    <sheetView zoomScalePageLayoutView="0" workbookViewId="0" topLeftCell="A1">
      <pane ySplit="3" topLeftCell="A88" activePane="bottomLeft" state="frozen"/>
      <selection pane="topLeft" activeCell="A1" sqref="A1"/>
      <selection pane="bottomLeft" activeCell="C98" sqref="C98:J123"/>
    </sheetView>
  </sheetViews>
  <sheetFormatPr defaultColWidth="9.140625" defaultRowHeight="12.75"/>
  <cols>
    <col min="3" max="3" width="14.28125" style="0" customWidth="1"/>
    <col min="4" max="6" width="13.421875" style="0" customWidth="1"/>
    <col min="7" max="7" width="23.8515625" style="0" customWidth="1"/>
    <col min="9" max="9" width="12.8515625" style="0" bestFit="1" customWidth="1"/>
    <col min="11" max="11" width="11.140625" style="0" customWidth="1"/>
    <col min="13" max="13" width="12.28125" style="0" customWidth="1"/>
    <col min="14" max="16" width="15.7109375" style="0" customWidth="1"/>
    <col min="17" max="17" width="28.00390625" style="0" customWidth="1"/>
    <col min="18" max="18" width="6.57421875" style="0" customWidth="1"/>
    <col min="19" max="19" width="14.57421875" style="0" customWidth="1"/>
    <col min="20" max="20" width="13.57421875" style="0" customWidth="1"/>
    <col min="21" max="21" width="10.421875" style="0" customWidth="1"/>
    <col min="22" max="22" width="11.8515625" style="0" customWidth="1"/>
    <col min="23" max="26" width="16.140625" style="0" customWidth="1"/>
    <col min="27" max="27" width="13.7109375" style="0" customWidth="1"/>
  </cols>
  <sheetData>
    <row r="1" ht="12.75">
      <c r="R1" s="22"/>
    </row>
    <row r="2" spans="3:27" ht="12.75">
      <c r="C2" s="3" t="s">
        <v>0</v>
      </c>
      <c r="D2" s="3"/>
      <c r="E2" s="3"/>
      <c r="F2" s="3"/>
      <c r="G2" s="3" t="s">
        <v>0</v>
      </c>
      <c r="I2" s="3" t="s">
        <v>2</v>
      </c>
      <c r="V2" s="3" t="s">
        <v>30</v>
      </c>
      <c r="W2" s="16" t="s">
        <v>32</v>
      </c>
      <c r="X2" s="16" t="s">
        <v>32</v>
      </c>
      <c r="Y2" s="16" t="s">
        <v>33</v>
      </c>
      <c r="Z2" s="16" t="s">
        <v>33</v>
      </c>
      <c r="AA2" s="3" t="s">
        <v>34</v>
      </c>
    </row>
    <row r="3" spans="1:27" ht="13.5" thickBot="1">
      <c r="A3" s="14" t="s">
        <v>5</v>
      </c>
      <c r="B3" s="12"/>
      <c r="C3" s="13" t="s">
        <v>1</v>
      </c>
      <c r="D3" s="13" t="s">
        <v>2</v>
      </c>
      <c r="E3" s="13" t="s">
        <v>3</v>
      </c>
      <c r="F3" s="13" t="s">
        <v>4</v>
      </c>
      <c r="G3" s="13" t="s">
        <v>1</v>
      </c>
      <c r="H3" s="12"/>
      <c r="I3" s="13" t="s">
        <v>21</v>
      </c>
      <c r="J3" s="13" t="s">
        <v>22</v>
      </c>
      <c r="L3" s="16"/>
      <c r="R3" s="14" t="s">
        <v>6</v>
      </c>
      <c r="S3" s="17" t="s">
        <v>3</v>
      </c>
      <c r="T3" s="13" t="s">
        <v>27</v>
      </c>
      <c r="U3" s="17" t="s">
        <v>11</v>
      </c>
      <c r="V3" s="17" t="s">
        <v>31</v>
      </c>
      <c r="W3" s="17" t="s">
        <v>28</v>
      </c>
      <c r="X3" s="17" t="s">
        <v>29</v>
      </c>
      <c r="Y3" s="17" t="s">
        <v>28</v>
      </c>
      <c r="Z3" s="17" t="s">
        <v>29</v>
      </c>
      <c r="AA3" s="17" t="s">
        <v>25</v>
      </c>
    </row>
    <row r="4" spans="3:7" ht="12.75">
      <c r="C4" s="1"/>
      <c r="D4" s="1"/>
      <c r="E4" s="1"/>
      <c r="F4" s="1"/>
      <c r="G4" s="1"/>
    </row>
    <row r="5" spans="3:7" ht="12.75">
      <c r="C5" s="1"/>
      <c r="D5" s="1"/>
      <c r="E5" s="1"/>
      <c r="F5" s="1"/>
      <c r="G5" s="1"/>
    </row>
    <row r="6" spans="1:27" ht="12.75">
      <c r="A6">
        <v>1940</v>
      </c>
      <c r="C6" s="35">
        <v>0</v>
      </c>
      <c r="D6" s="35">
        <v>0</v>
      </c>
      <c r="E6" s="35">
        <v>58962</v>
      </c>
      <c r="F6" s="35">
        <v>0</v>
      </c>
      <c r="G6" s="35">
        <f>C6+D6+E6-F6</f>
        <v>58962</v>
      </c>
      <c r="H6" s="28">
        <v>80.5</v>
      </c>
      <c r="I6" s="29">
        <v>0</v>
      </c>
      <c r="J6" s="29">
        <f>IF(I6=0,0,ROUND((I6/D6/$G$94)+H6,1))</f>
        <v>0</v>
      </c>
      <c r="R6" s="21">
        <f>A6</f>
        <v>1940</v>
      </c>
      <c r="S6" s="4">
        <f aca="true" t="shared" si="0" ref="S6:S37">E6</f>
        <v>58962</v>
      </c>
      <c r="T6">
        <f aca="true" t="shared" si="1" ref="T6:T37">IF(D6&gt;0,IF(J6&gt;0,D6,0),0)</f>
        <v>0</v>
      </c>
      <c r="U6">
        <f aca="true" t="shared" si="2" ref="U6:U37">$V$94</f>
        <v>53</v>
      </c>
      <c r="V6" s="1" t="str">
        <f aca="true" t="shared" si="3" ref="V6:V37">$V$93</f>
        <v>R5</v>
      </c>
      <c r="W6" s="2">
        <f aca="true" t="shared" si="4" ref="W6:W37">S6/U6</f>
        <v>1112.4905660377358</v>
      </c>
      <c r="X6" s="2">
        <f>T6/U6</f>
        <v>0</v>
      </c>
      <c r="Y6" s="18">
        <f aca="true" t="shared" si="5" ref="Y6:Y37">Prob_life(V6,H6,U6)</f>
        <v>0</v>
      </c>
      <c r="Z6" s="18">
        <f aca="true" t="shared" si="6" ref="Z6:Z37">IF(J6&gt;0,Prob_life(V6,J6+0.5,U6),0)</f>
        <v>0</v>
      </c>
      <c r="AA6" s="2">
        <f>W6*Y6+X6*Z6</f>
        <v>0</v>
      </c>
    </row>
    <row r="7" spans="1:27" ht="12.75">
      <c r="A7">
        <v>1941</v>
      </c>
      <c r="C7" s="35">
        <f aca="true" t="shared" si="7" ref="C7:C52">G6</f>
        <v>58962</v>
      </c>
      <c r="D7" s="35">
        <v>0</v>
      </c>
      <c r="E7" s="35">
        <v>0</v>
      </c>
      <c r="F7" s="35">
        <v>0</v>
      </c>
      <c r="G7" s="35">
        <f aca="true" t="shared" si="8" ref="G7:G24">C7+D7+E7-F7</f>
        <v>58962</v>
      </c>
      <c r="H7" s="28">
        <v>79.5</v>
      </c>
      <c r="I7" s="29">
        <v>0</v>
      </c>
      <c r="J7" s="29">
        <f aca="true" t="shared" si="9" ref="J7:J24">IF(I7=0,0,ROUND((I7/D7/$G$94)+H7,1))</f>
        <v>0</v>
      </c>
      <c r="R7" s="21">
        <f aca="true" t="shared" si="10" ref="R7:R70">A7</f>
        <v>1941</v>
      </c>
      <c r="S7" s="4">
        <f t="shared" si="0"/>
        <v>0</v>
      </c>
      <c r="T7">
        <f t="shared" si="1"/>
        <v>0</v>
      </c>
      <c r="U7">
        <f t="shared" si="2"/>
        <v>53</v>
      </c>
      <c r="V7" s="1" t="str">
        <f t="shared" si="3"/>
        <v>R5</v>
      </c>
      <c r="W7" s="2">
        <f t="shared" si="4"/>
        <v>0</v>
      </c>
      <c r="X7" s="2">
        <f aca="true" t="shared" si="11" ref="X7:X68">T7/U7</f>
        <v>0</v>
      </c>
      <c r="Y7" s="18">
        <f t="shared" si="5"/>
        <v>0</v>
      </c>
      <c r="Z7" s="18">
        <f t="shared" si="6"/>
        <v>0</v>
      </c>
      <c r="AA7" s="2">
        <f aca="true" t="shared" si="12" ref="AA7:AA68">W7*Y7+X7*Z7</f>
        <v>0</v>
      </c>
    </row>
    <row r="8" spans="1:27" ht="12.75">
      <c r="A8">
        <v>1942</v>
      </c>
      <c r="C8" s="35">
        <f t="shared" si="7"/>
        <v>58962</v>
      </c>
      <c r="D8" s="35">
        <v>0</v>
      </c>
      <c r="E8" s="35">
        <v>0</v>
      </c>
      <c r="F8" s="35">
        <v>0</v>
      </c>
      <c r="G8" s="35">
        <f t="shared" si="8"/>
        <v>58962</v>
      </c>
      <c r="H8" s="28">
        <v>78.5</v>
      </c>
      <c r="I8" s="29">
        <v>0</v>
      </c>
      <c r="J8" s="29">
        <f t="shared" si="9"/>
        <v>0</v>
      </c>
      <c r="R8" s="21">
        <f t="shared" si="10"/>
        <v>1942</v>
      </c>
      <c r="S8" s="4">
        <f t="shared" si="0"/>
        <v>0</v>
      </c>
      <c r="T8">
        <f t="shared" si="1"/>
        <v>0</v>
      </c>
      <c r="U8">
        <f t="shared" si="2"/>
        <v>53</v>
      </c>
      <c r="V8" s="1" t="str">
        <f t="shared" si="3"/>
        <v>R5</v>
      </c>
      <c r="W8" s="2">
        <f t="shared" si="4"/>
        <v>0</v>
      </c>
      <c r="X8" s="2">
        <f t="shared" si="11"/>
        <v>0</v>
      </c>
      <c r="Y8" s="18">
        <f t="shared" si="5"/>
        <v>0</v>
      </c>
      <c r="Z8" s="18">
        <f t="shared" si="6"/>
        <v>0</v>
      </c>
      <c r="AA8" s="2">
        <f t="shared" si="12"/>
        <v>0</v>
      </c>
    </row>
    <row r="9" spans="1:27" ht="12.75">
      <c r="A9">
        <v>1943</v>
      </c>
      <c r="C9" s="35">
        <f t="shared" si="7"/>
        <v>58962</v>
      </c>
      <c r="D9" s="35">
        <v>0</v>
      </c>
      <c r="E9" s="35">
        <v>0</v>
      </c>
      <c r="F9" s="35">
        <v>0</v>
      </c>
      <c r="G9" s="35">
        <f t="shared" si="8"/>
        <v>58962</v>
      </c>
      <c r="H9" s="28">
        <v>77.5</v>
      </c>
      <c r="I9" s="29">
        <v>0</v>
      </c>
      <c r="J9" s="29">
        <f t="shared" si="9"/>
        <v>0</v>
      </c>
      <c r="R9" s="21">
        <f t="shared" si="10"/>
        <v>1943</v>
      </c>
      <c r="S9" s="4">
        <f t="shared" si="0"/>
        <v>0</v>
      </c>
      <c r="T9">
        <f t="shared" si="1"/>
        <v>0</v>
      </c>
      <c r="U9">
        <f t="shared" si="2"/>
        <v>53</v>
      </c>
      <c r="V9" s="1" t="str">
        <f t="shared" si="3"/>
        <v>R5</v>
      </c>
      <c r="W9" s="2">
        <f t="shared" si="4"/>
        <v>0</v>
      </c>
      <c r="X9" s="2">
        <f t="shared" si="11"/>
        <v>0</v>
      </c>
      <c r="Y9" s="18">
        <f t="shared" si="5"/>
        <v>0</v>
      </c>
      <c r="Z9" s="18">
        <f t="shared" si="6"/>
        <v>0</v>
      </c>
      <c r="AA9" s="2">
        <f t="shared" si="12"/>
        <v>0</v>
      </c>
    </row>
    <row r="10" spans="1:27" ht="12.75">
      <c r="A10">
        <v>1944</v>
      </c>
      <c r="C10" s="35">
        <f t="shared" si="7"/>
        <v>58962</v>
      </c>
      <c r="D10" s="35">
        <v>0</v>
      </c>
      <c r="E10" s="35">
        <v>0</v>
      </c>
      <c r="F10" s="35">
        <v>0</v>
      </c>
      <c r="G10" s="35">
        <f t="shared" si="8"/>
        <v>58962</v>
      </c>
      <c r="H10" s="28">
        <v>76.5</v>
      </c>
      <c r="I10" s="29">
        <v>0</v>
      </c>
      <c r="J10" s="29">
        <f t="shared" si="9"/>
        <v>0</v>
      </c>
      <c r="R10" s="21">
        <f t="shared" si="10"/>
        <v>1944</v>
      </c>
      <c r="S10" s="4">
        <f t="shared" si="0"/>
        <v>0</v>
      </c>
      <c r="T10">
        <f t="shared" si="1"/>
        <v>0</v>
      </c>
      <c r="U10">
        <f t="shared" si="2"/>
        <v>53</v>
      </c>
      <c r="V10" s="1" t="str">
        <f t="shared" si="3"/>
        <v>R5</v>
      </c>
      <c r="W10" s="2">
        <f t="shared" si="4"/>
        <v>0</v>
      </c>
      <c r="X10" s="2">
        <f t="shared" si="11"/>
        <v>0</v>
      </c>
      <c r="Y10" s="18">
        <f t="shared" si="5"/>
        <v>0</v>
      </c>
      <c r="Z10" s="18">
        <f t="shared" si="6"/>
        <v>0</v>
      </c>
      <c r="AA10" s="2">
        <f t="shared" si="12"/>
        <v>0</v>
      </c>
    </row>
    <row r="11" spans="1:27" ht="12.75">
      <c r="A11">
        <v>1945</v>
      </c>
      <c r="C11" s="35">
        <f t="shared" si="7"/>
        <v>58962</v>
      </c>
      <c r="D11" s="35">
        <v>0</v>
      </c>
      <c r="E11" s="35">
        <v>0</v>
      </c>
      <c r="F11" s="35">
        <v>0</v>
      </c>
      <c r="G11" s="35">
        <f t="shared" si="8"/>
        <v>58962</v>
      </c>
      <c r="H11" s="28">
        <v>75.5</v>
      </c>
      <c r="I11" s="29">
        <v>0</v>
      </c>
      <c r="J11" s="29">
        <f t="shared" si="9"/>
        <v>0</v>
      </c>
      <c r="R11" s="21">
        <f t="shared" si="10"/>
        <v>1945</v>
      </c>
      <c r="S11" s="4">
        <f t="shared" si="0"/>
        <v>0</v>
      </c>
      <c r="T11">
        <f t="shared" si="1"/>
        <v>0</v>
      </c>
      <c r="U11">
        <f t="shared" si="2"/>
        <v>53</v>
      </c>
      <c r="V11" s="1" t="str">
        <f t="shared" si="3"/>
        <v>R5</v>
      </c>
      <c r="W11" s="2">
        <f t="shared" si="4"/>
        <v>0</v>
      </c>
      <c r="X11" s="2">
        <f t="shared" si="11"/>
        <v>0</v>
      </c>
      <c r="Y11" s="18">
        <f t="shared" si="5"/>
        <v>0</v>
      </c>
      <c r="Z11" s="18">
        <f t="shared" si="6"/>
        <v>0</v>
      </c>
      <c r="AA11" s="2">
        <f t="shared" si="12"/>
        <v>0</v>
      </c>
    </row>
    <row r="12" spans="1:27" ht="12.75">
      <c r="A12">
        <v>1946</v>
      </c>
      <c r="C12" s="35">
        <f t="shared" si="7"/>
        <v>58962</v>
      </c>
      <c r="D12" s="35">
        <v>0</v>
      </c>
      <c r="E12" s="35">
        <v>0</v>
      </c>
      <c r="F12" s="35">
        <v>0</v>
      </c>
      <c r="G12" s="35">
        <f t="shared" si="8"/>
        <v>58962</v>
      </c>
      <c r="H12" s="28">
        <v>74.5</v>
      </c>
      <c r="I12" s="29">
        <v>0</v>
      </c>
      <c r="J12" s="29">
        <f t="shared" si="9"/>
        <v>0</v>
      </c>
      <c r="R12" s="21">
        <f t="shared" si="10"/>
        <v>1946</v>
      </c>
      <c r="S12" s="4">
        <f t="shared" si="0"/>
        <v>0</v>
      </c>
      <c r="T12">
        <f t="shared" si="1"/>
        <v>0</v>
      </c>
      <c r="U12">
        <f t="shared" si="2"/>
        <v>53</v>
      </c>
      <c r="V12" s="1" t="str">
        <f t="shared" si="3"/>
        <v>R5</v>
      </c>
      <c r="W12" s="2">
        <f t="shared" si="4"/>
        <v>0</v>
      </c>
      <c r="X12" s="2">
        <f t="shared" si="11"/>
        <v>0</v>
      </c>
      <c r="Y12" s="18">
        <f t="shared" si="5"/>
        <v>0</v>
      </c>
      <c r="Z12" s="18">
        <f t="shared" si="6"/>
        <v>0</v>
      </c>
      <c r="AA12" s="2">
        <f t="shared" si="12"/>
        <v>0</v>
      </c>
    </row>
    <row r="13" spans="1:27" ht="12.75">
      <c r="A13">
        <v>1947</v>
      </c>
      <c r="C13" s="35">
        <f t="shared" si="7"/>
        <v>58962</v>
      </c>
      <c r="D13" s="35">
        <v>0</v>
      </c>
      <c r="E13" s="35">
        <v>75766</v>
      </c>
      <c r="F13" s="35">
        <v>0</v>
      </c>
      <c r="G13" s="35">
        <f t="shared" si="8"/>
        <v>134728</v>
      </c>
      <c r="H13" s="28">
        <v>73.5</v>
      </c>
      <c r="I13" s="29">
        <v>0</v>
      </c>
      <c r="J13" s="29">
        <f t="shared" si="9"/>
        <v>0</v>
      </c>
      <c r="R13" s="21">
        <f t="shared" si="10"/>
        <v>1947</v>
      </c>
      <c r="S13" s="4">
        <f t="shared" si="0"/>
        <v>75766</v>
      </c>
      <c r="T13">
        <f t="shared" si="1"/>
        <v>0</v>
      </c>
      <c r="U13">
        <f t="shared" si="2"/>
        <v>53</v>
      </c>
      <c r="V13" s="1" t="str">
        <f t="shared" si="3"/>
        <v>R5</v>
      </c>
      <c r="W13" s="2">
        <f t="shared" si="4"/>
        <v>1429.5471698113208</v>
      </c>
      <c r="X13" s="2">
        <f t="shared" si="11"/>
        <v>0</v>
      </c>
      <c r="Y13" s="18">
        <f t="shared" si="5"/>
        <v>0.49999999997605415</v>
      </c>
      <c r="Z13" s="18">
        <f t="shared" si="6"/>
        <v>0</v>
      </c>
      <c r="AA13" s="2">
        <f t="shared" si="12"/>
        <v>714.7735848714287</v>
      </c>
    </row>
    <row r="14" spans="1:27" ht="12.75">
      <c r="A14">
        <v>1948</v>
      </c>
      <c r="C14" s="35">
        <f t="shared" si="7"/>
        <v>134728</v>
      </c>
      <c r="D14" s="35">
        <v>0</v>
      </c>
      <c r="E14" s="35">
        <v>67865</v>
      </c>
      <c r="F14" s="35">
        <v>0</v>
      </c>
      <c r="G14" s="35">
        <f t="shared" si="8"/>
        <v>202593</v>
      </c>
      <c r="H14" s="28">
        <v>72.5</v>
      </c>
      <c r="I14" s="29">
        <v>0</v>
      </c>
      <c r="J14" s="29">
        <f t="shared" si="9"/>
        <v>0</v>
      </c>
      <c r="R14" s="21">
        <f t="shared" si="10"/>
        <v>1948</v>
      </c>
      <c r="S14" s="4">
        <f t="shared" si="0"/>
        <v>67865</v>
      </c>
      <c r="T14">
        <f t="shared" si="1"/>
        <v>0</v>
      </c>
      <c r="U14">
        <f t="shared" si="2"/>
        <v>53</v>
      </c>
      <c r="V14" s="1" t="str">
        <f t="shared" si="3"/>
        <v>R5</v>
      </c>
      <c r="W14" s="2">
        <f t="shared" si="4"/>
        <v>1280.4716981132076</v>
      </c>
      <c r="X14" s="2">
        <f t="shared" si="11"/>
        <v>0</v>
      </c>
      <c r="Y14" s="18">
        <f t="shared" si="5"/>
        <v>0.49999999997605415</v>
      </c>
      <c r="Z14" s="18">
        <f t="shared" si="6"/>
        <v>0</v>
      </c>
      <c r="AA14" s="2">
        <f t="shared" si="12"/>
        <v>640.2358490259418</v>
      </c>
    </row>
    <row r="15" spans="1:27" ht="12.75">
      <c r="A15">
        <v>1949</v>
      </c>
      <c r="C15" s="35">
        <f t="shared" si="7"/>
        <v>202593</v>
      </c>
      <c r="D15" s="35">
        <v>0</v>
      </c>
      <c r="E15" s="35">
        <v>62008</v>
      </c>
      <c r="F15" s="35">
        <v>0</v>
      </c>
      <c r="G15" s="35">
        <f t="shared" si="8"/>
        <v>264601</v>
      </c>
      <c r="H15" s="28">
        <v>71.5</v>
      </c>
      <c r="I15" s="29">
        <v>0</v>
      </c>
      <c r="J15" s="29">
        <f t="shared" si="9"/>
        <v>0</v>
      </c>
      <c r="R15" s="21">
        <f t="shared" si="10"/>
        <v>1949</v>
      </c>
      <c r="S15" s="4">
        <f t="shared" si="0"/>
        <v>62008</v>
      </c>
      <c r="T15">
        <f t="shared" si="1"/>
        <v>0</v>
      </c>
      <c r="U15">
        <f t="shared" si="2"/>
        <v>53</v>
      </c>
      <c r="V15" s="1" t="str">
        <f t="shared" si="3"/>
        <v>R5</v>
      </c>
      <c r="W15" s="2">
        <f t="shared" si="4"/>
        <v>1169.9622641509434</v>
      </c>
      <c r="X15" s="2">
        <f t="shared" si="11"/>
        <v>0</v>
      </c>
      <c r="Y15" s="18">
        <f t="shared" si="5"/>
        <v>0.11029698783129</v>
      </c>
      <c r="Z15" s="18">
        <f t="shared" si="6"/>
        <v>0</v>
      </c>
      <c r="AA15" s="2">
        <f t="shared" si="12"/>
        <v>129.0433136121251</v>
      </c>
    </row>
    <row r="16" spans="1:27" ht="12.75">
      <c r="A16">
        <v>1950</v>
      </c>
      <c r="C16" s="35">
        <f t="shared" si="7"/>
        <v>264601</v>
      </c>
      <c r="D16" s="35">
        <v>0</v>
      </c>
      <c r="E16" s="35">
        <v>29854</v>
      </c>
      <c r="F16" s="35">
        <v>0</v>
      </c>
      <c r="G16" s="35">
        <f t="shared" si="8"/>
        <v>294455</v>
      </c>
      <c r="H16" s="28">
        <v>70.5</v>
      </c>
      <c r="I16" s="29">
        <v>0</v>
      </c>
      <c r="J16" s="29">
        <f t="shared" si="9"/>
        <v>0</v>
      </c>
      <c r="R16" s="21">
        <f t="shared" si="10"/>
        <v>1950</v>
      </c>
      <c r="S16" s="4">
        <f t="shared" si="0"/>
        <v>29854</v>
      </c>
      <c r="T16">
        <f t="shared" si="1"/>
        <v>0</v>
      </c>
      <c r="U16">
        <f t="shared" si="2"/>
        <v>53</v>
      </c>
      <c r="V16" s="1" t="str">
        <f t="shared" si="3"/>
        <v>R5</v>
      </c>
      <c r="W16" s="2">
        <f t="shared" si="4"/>
        <v>563.2830188679245</v>
      </c>
      <c r="X16" s="2">
        <f t="shared" si="11"/>
        <v>0</v>
      </c>
      <c r="Y16" s="18">
        <f t="shared" si="5"/>
        <v>0.5623053245198866</v>
      </c>
      <c r="Z16" s="18">
        <f t="shared" si="6"/>
        <v>0</v>
      </c>
      <c r="AA16" s="2">
        <f t="shared" si="12"/>
        <v>316.73704072106966</v>
      </c>
    </row>
    <row r="17" spans="1:27" ht="12.75">
      <c r="A17">
        <v>1951</v>
      </c>
      <c r="C17" s="35">
        <f t="shared" si="7"/>
        <v>294455</v>
      </c>
      <c r="D17" s="35">
        <v>0</v>
      </c>
      <c r="E17" s="35">
        <v>36626</v>
      </c>
      <c r="F17" s="35">
        <v>0</v>
      </c>
      <c r="G17" s="35">
        <f t="shared" si="8"/>
        <v>331081</v>
      </c>
      <c r="H17" s="28">
        <v>69.5</v>
      </c>
      <c r="I17" s="29">
        <v>0</v>
      </c>
      <c r="J17" s="29">
        <f t="shared" si="9"/>
        <v>0</v>
      </c>
      <c r="R17" s="21">
        <f t="shared" si="10"/>
        <v>1951</v>
      </c>
      <c r="S17" s="4">
        <f t="shared" si="0"/>
        <v>36626</v>
      </c>
      <c r="T17">
        <f t="shared" si="1"/>
        <v>0</v>
      </c>
      <c r="U17">
        <f t="shared" si="2"/>
        <v>53</v>
      </c>
      <c r="V17" s="1" t="str">
        <f t="shared" si="3"/>
        <v>R5</v>
      </c>
      <c r="W17" s="2">
        <f t="shared" si="4"/>
        <v>691.0566037735849</v>
      </c>
      <c r="X17" s="2">
        <f t="shared" si="11"/>
        <v>0</v>
      </c>
      <c r="Y17" s="18">
        <f t="shared" si="5"/>
        <v>0.7971987618659278</v>
      </c>
      <c r="Z17" s="18">
        <f t="shared" si="6"/>
        <v>0</v>
      </c>
      <c r="AA17" s="2">
        <f t="shared" si="12"/>
        <v>550.9094689075749</v>
      </c>
    </row>
    <row r="18" spans="1:27" ht="12.75">
      <c r="A18">
        <v>1952</v>
      </c>
      <c r="C18" s="35">
        <f t="shared" si="7"/>
        <v>331081</v>
      </c>
      <c r="D18" s="35">
        <v>0</v>
      </c>
      <c r="E18" s="35">
        <v>18609</v>
      </c>
      <c r="F18" s="35">
        <v>0</v>
      </c>
      <c r="G18" s="35">
        <f t="shared" si="8"/>
        <v>349690</v>
      </c>
      <c r="H18" s="28">
        <v>68.5</v>
      </c>
      <c r="I18" s="29">
        <v>0</v>
      </c>
      <c r="J18" s="29">
        <f t="shared" si="9"/>
        <v>0</v>
      </c>
      <c r="R18" s="21">
        <f t="shared" si="10"/>
        <v>1952</v>
      </c>
      <c r="S18" s="4">
        <f t="shared" si="0"/>
        <v>18609</v>
      </c>
      <c r="T18">
        <f t="shared" si="1"/>
        <v>0</v>
      </c>
      <c r="U18">
        <f t="shared" si="2"/>
        <v>53</v>
      </c>
      <c r="V18" s="1" t="str">
        <f t="shared" si="3"/>
        <v>R5</v>
      </c>
      <c r="W18" s="2">
        <f t="shared" si="4"/>
        <v>351.1132075471698</v>
      </c>
      <c r="X18" s="2">
        <f t="shared" si="11"/>
        <v>0</v>
      </c>
      <c r="Y18" s="18">
        <f t="shared" si="5"/>
        <v>1.0256986084489226</v>
      </c>
      <c r="Z18" s="18">
        <f t="shared" si="6"/>
        <v>0</v>
      </c>
      <c r="AA18" s="2">
        <f t="shared" si="12"/>
        <v>360.1363283891698</v>
      </c>
    </row>
    <row r="19" spans="1:27" ht="12.75">
      <c r="A19">
        <v>1953</v>
      </c>
      <c r="C19" s="35">
        <f t="shared" si="7"/>
        <v>349690</v>
      </c>
      <c r="D19" s="35">
        <v>0</v>
      </c>
      <c r="E19" s="35">
        <v>12981</v>
      </c>
      <c r="F19" s="35">
        <v>0</v>
      </c>
      <c r="G19" s="35">
        <f t="shared" si="8"/>
        <v>362671</v>
      </c>
      <c r="H19" s="28">
        <v>67.5</v>
      </c>
      <c r="I19" s="29">
        <v>0</v>
      </c>
      <c r="J19" s="29">
        <f t="shared" si="9"/>
        <v>0</v>
      </c>
      <c r="R19" s="21">
        <f t="shared" si="10"/>
        <v>1953</v>
      </c>
      <c r="S19" s="4">
        <f t="shared" si="0"/>
        <v>12981</v>
      </c>
      <c r="T19">
        <f t="shared" si="1"/>
        <v>0</v>
      </c>
      <c r="U19">
        <f t="shared" si="2"/>
        <v>53</v>
      </c>
      <c r="V19" s="1" t="str">
        <f t="shared" si="3"/>
        <v>R5</v>
      </c>
      <c r="W19" s="2">
        <f t="shared" si="4"/>
        <v>244.9245283018868</v>
      </c>
      <c r="X19" s="2">
        <f t="shared" si="11"/>
        <v>0</v>
      </c>
      <c r="Y19" s="18">
        <f t="shared" si="5"/>
        <v>1.2613953999424083</v>
      </c>
      <c r="Z19" s="18">
        <f t="shared" si="6"/>
        <v>0</v>
      </c>
      <c r="AA19" s="2">
        <f t="shared" si="12"/>
        <v>308.9466733330642</v>
      </c>
    </row>
    <row r="20" spans="1:27" ht="12.75">
      <c r="A20">
        <v>1954</v>
      </c>
      <c r="C20" s="35">
        <f t="shared" si="7"/>
        <v>362671</v>
      </c>
      <c r="D20" s="35">
        <v>0</v>
      </c>
      <c r="E20" s="35">
        <v>47353</v>
      </c>
      <c r="F20" s="35">
        <v>0</v>
      </c>
      <c r="G20" s="35">
        <f t="shared" si="8"/>
        <v>410024</v>
      </c>
      <c r="H20" s="28">
        <v>66.5</v>
      </c>
      <c r="I20" s="29">
        <v>0</v>
      </c>
      <c r="J20" s="29">
        <f t="shared" si="9"/>
        <v>0</v>
      </c>
      <c r="R20" s="21">
        <f t="shared" si="10"/>
        <v>1954</v>
      </c>
      <c r="S20" s="4">
        <f t="shared" si="0"/>
        <v>47353</v>
      </c>
      <c r="T20">
        <f t="shared" si="1"/>
        <v>0</v>
      </c>
      <c r="U20">
        <f t="shared" si="2"/>
        <v>53</v>
      </c>
      <c r="V20" s="1" t="str">
        <f t="shared" si="3"/>
        <v>R5</v>
      </c>
      <c r="W20" s="2">
        <f t="shared" si="4"/>
        <v>893.4528301886793</v>
      </c>
      <c r="X20" s="2">
        <f t="shared" si="11"/>
        <v>0</v>
      </c>
      <c r="Y20" s="18">
        <f t="shared" si="5"/>
        <v>1.506266304186932</v>
      </c>
      <c r="Z20" s="18">
        <f t="shared" si="6"/>
        <v>0</v>
      </c>
      <c r="AA20" s="2">
        <f t="shared" si="12"/>
        <v>1345.7778924936565</v>
      </c>
    </row>
    <row r="21" spans="1:27" ht="12.75">
      <c r="A21">
        <v>1955</v>
      </c>
      <c r="C21" s="35">
        <f t="shared" si="7"/>
        <v>410024</v>
      </c>
      <c r="D21" s="35">
        <v>0</v>
      </c>
      <c r="E21" s="35">
        <v>148499</v>
      </c>
      <c r="F21" s="35">
        <v>0</v>
      </c>
      <c r="G21" s="35">
        <f t="shared" si="8"/>
        <v>558523</v>
      </c>
      <c r="H21" s="28">
        <v>65.5</v>
      </c>
      <c r="I21" s="29">
        <v>0</v>
      </c>
      <c r="J21" s="29">
        <f t="shared" si="9"/>
        <v>0</v>
      </c>
      <c r="R21" s="21">
        <f t="shared" si="10"/>
        <v>1955</v>
      </c>
      <c r="S21" s="4">
        <f t="shared" si="0"/>
        <v>148499</v>
      </c>
      <c r="T21">
        <f t="shared" si="1"/>
        <v>0</v>
      </c>
      <c r="U21">
        <f t="shared" si="2"/>
        <v>53</v>
      </c>
      <c r="V21" s="1" t="str">
        <f t="shared" si="3"/>
        <v>R5</v>
      </c>
      <c r="W21" s="2">
        <f t="shared" si="4"/>
        <v>2801.867924528302</v>
      </c>
      <c r="X21" s="2">
        <f t="shared" si="11"/>
        <v>0</v>
      </c>
      <c r="Y21" s="18">
        <f t="shared" si="5"/>
        <v>1.752283325794592</v>
      </c>
      <c r="Z21" s="18">
        <f t="shared" si="6"/>
        <v>0</v>
      </c>
      <c r="AA21" s="2">
        <f t="shared" si="12"/>
        <v>4909.666445229644</v>
      </c>
    </row>
    <row r="22" spans="1:27" ht="12.75">
      <c r="A22">
        <v>1956</v>
      </c>
      <c r="C22" s="35">
        <f t="shared" si="7"/>
        <v>558523</v>
      </c>
      <c r="D22" s="35">
        <v>0</v>
      </c>
      <c r="E22" s="35">
        <v>143937</v>
      </c>
      <c r="F22" s="35">
        <v>0</v>
      </c>
      <c r="G22" s="35">
        <f t="shared" si="8"/>
        <v>702460</v>
      </c>
      <c r="H22" s="28">
        <v>64.5</v>
      </c>
      <c r="I22" s="29">
        <v>0</v>
      </c>
      <c r="J22" s="29">
        <f t="shared" si="9"/>
        <v>0</v>
      </c>
      <c r="R22" s="21">
        <f t="shared" si="10"/>
        <v>1956</v>
      </c>
      <c r="S22" s="4">
        <f t="shared" si="0"/>
        <v>143937</v>
      </c>
      <c r="T22">
        <f t="shared" si="1"/>
        <v>0</v>
      </c>
      <c r="U22">
        <f t="shared" si="2"/>
        <v>53</v>
      </c>
      <c r="V22" s="1" t="str">
        <f t="shared" si="3"/>
        <v>R5</v>
      </c>
      <c r="W22" s="2">
        <f t="shared" si="4"/>
        <v>2715.7924528301887</v>
      </c>
      <c r="X22" s="2">
        <f t="shared" si="11"/>
        <v>0</v>
      </c>
      <c r="Y22" s="18">
        <f t="shared" si="5"/>
        <v>1.9774923243171911</v>
      </c>
      <c r="Z22" s="18">
        <f t="shared" si="6"/>
        <v>0</v>
      </c>
      <c r="AA22" s="2">
        <f t="shared" si="12"/>
        <v>5370.458729910256</v>
      </c>
    </row>
    <row r="23" spans="1:27" ht="12.75">
      <c r="A23">
        <v>1957</v>
      </c>
      <c r="C23" s="35">
        <f t="shared" si="7"/>
        <v>702460</v>
      </c>
      <c r="D23" s="35">
        <v>0</v>
      </c>
      <c r="E23" s="35">
        <v>39727</v>
      </c>
      <c r="F23" s="35">
        <v>0</v>
      </c>
      <c r="G23" s="35">
        <f t="shared" si="8"/>
        <v>742187</v>
      </c>
      <c r="H23" s="28">
        <v>63.5</v>
      </c>
      <c r="I23" s="29">
        <v>0</v>
      </c>
      <c r="J23" s="29">
        <f t="shared" si="9"/>
        <v>0</v>
      </c>
      <c r="R23" s="21">
        <f t="shared" si="10"/>
        <v>1957</v>
      </c>
      <c r="S23" s="4">
        <f t="shared" si="0"/>
        <v>39727</v>
      </c>
      <c r="T23">
        <f t="shared" si="1"/>
        <v>0</v>
      </c>
      <c r="U23">
        <f t="shared" si="2"/>
        <v>53</v>
      </c>
      <c r="V23" s="1" t="str">
        <f t="shared" si="3"/>
        <v>R5</v>
      </c>
      <c r="W23" s="2">
        <f t="shared" si="4"/>
        <v>749.566037735849</v>
      </c>
      <c r="X23" s="2">
        <f t="shared" si="11"/>
        <v>0</v>
      </c>
      <c r="Y23" s="18">
        <f t="shared" si="5"/>
        <v>2.1790969927295976</v>
      </c>
      <c r="Z23" s="18">
        <f t="shared" si="6"/>
        <v>0</v>
      </c>
      <c r="AA23" s="2">
        <f t="shared" si="12"/>
        <v>1633.3770986824286</v>
      </c>
    </row>
    <row r="24" spans="1:27" ht="12.75">
      <c r="A24">
        <v>1958</v>
      </c>
      <c r="C24" s="35">
        <f t="shared" si="7"/>
        <v>742187</v>
      </c>
      <c r="D24" s="35">
        <v>0</v>
      </c>
      <c r="E24" s="35">
        <v>34326</v>
      </c>
      <c r="F24" s="35">
        <v>0</v>
      </c>
      <c r="G24" s="35">
        <f t="shared" si="8"/>
        <v>776513</v>
      </c>
      <c r="H24" s="28">
        <v>62.5</v>
      </c>
      <c r="I24" s="29">
        <v>0</v>
      </c>
      <c r="J24" s="29">
        <f t="shared" si="9"/>
        <v>0</v>
      </c>
      <c r="R24" s="21">
        <f t="shared" si="10"/>
        <v>1958</v>
      </c>
      <c r="S24" s="4">
        <f t="shared" si="0"/>
        <v>34326</v>
      </c>
      <c r="T24">
        <f t="shared" si="1"/>
        <v>0</v>
      </c>
      <c r="U24">
        <f t="shared" si="2"/>
        <v>53</v>
      </c>
      <c r="V24" s="1" t="str">
        <f t="shared" si="3"/>
        <v>R5</v>
      </c>
      <c r="W24" s="2">
        <f t="shared" si="4"/>
        <v>647.6603773584906</v>
      </c>
      <c r="X24" s="2">
        <f t="shared" si="11"/>
        <v>0</v>
      </c>
      <c r="Y24" s="18">
        <f t="shared" si="5"/>
        <v>2.370877400452446</v>
      </c>
      <c r="Z24" s="18">
        <f t="shared" si="6"/>
        <v>0</v>
      </c>
      <c r="AA24" s="2">
        <f t="shared" si="12"/>
        <v>1535.5233518477482</v>
      </c>
    </row>
    <row r="25" spans="1:27" ht="12.75">
      <c r="A25">
        <v>1959</v>
      </c>
      <c r="C25" s="35">
        <f t="shared" si="7"/>
        <v>776513</v>
      </c>
      <c r="D25" s="35">
        <v>0</v>
      </c>
      <c r="E25" s="35">
        <v>106509</v>
      </c>
      <c r="F25" s="35">
        <v>0</v>
      </c>
      <c r="G25" s="35">
        <f aca="true" t="shared" si="13" ref="G25:G40">C25+D25+E25-F25</f>
        <v>883022</v>
      </c>
      <c r="H25" s="28">
        <v>61.5</v>
      </c>
      <c r="I25" s="29">
        <v>0</v>
      </c>
      <c r="J25" s="29">
        <f aca="true" t="shared" si="14" ref="J25:J40">IF(I25=0,0,ROUND((I25/D25/$G$94)+H25,1))</f>
        <v>0</v>
      </c>
      <c r="R25" s="21">
        <f t="shared" si="10"/>
        <v>1959</v>
      </c>
      <c r="S25" s="4">
        <f t="shared" si="0"/>
        <v>106509</v>
      </c>
      <c r="T25">
        <f t="shared" si="1"/>
        <v>0</v>
      </c>
      <c r="U25">
        <f t="shared" si="2"/>
        <v>53</v>
      </c>
      <c r="V25" s="1" t="str">
        <f t="shared" si="3"/>
        <v>R5</v>
      </c>
      <c r="W25" s="2">
        <f t="shared" si="4"/>
        <v>2009.6037735849056</v>
      </c>
      <c r="X25" s="2">
        <f t="shared" si="11"/>
        <v>0</v>
      </c>
      <c r="Y25" s="18">
        <f t="shared" si="5"/>
        <v>2.5685388653202024</v>
      </c>
      <c r="Z25" s="18">
        <f t="shared" si="6"/>
        <v>0</v>
      </c>
      <c r="AA25" s="2">
        <f t="shared" si="12"/>
        <v>5161.745396346971</v>
      </c>
    </row>
    <row r="26" spans="1:27" ht="12.75">
      <c r="A26">
        <v>1960</v>
      </c>
      <c r="C26" s="35">
        <f t="shared" si="7"/>
        <v>883022</v>
      </c>
      <c r="D26" s="35">
        <v>0</v>
      </c>
      <c r="E26" s="35">
        <v>69660</v>
      </c>
      <c r="F26" s="35">
        <v>0</v>
      </c>
      <c r="G26" s="35">
        <f t="shared" si="13"/>
        <v>952682</v>
      </c>
      <c r="H26" s="28">
        <v>60.5</v>
      </c>
      <c r="I26" s="29">
        <v>0</v>
      </c>
      <c r="J26" s="29">
        <f t="shared" si="14"/>
        <v>0</v>
      </c>
      <c r="R26" s="21">
        <f t="shared" si="10"/>
        <v>1960</v>
      </c>
      <c r="S26" s="4">
        <f t="shared" si="0"/>
        <v>69660</v>
      </c>
      <c r="T26">
        <f t="shared" si="1"/>
        <v>0</v>
      </c>
      <c r="U26">
        <f t="shared" si="2"/>
        <v>53</v>
      </c>
      <c r="V26" s="1" t="str">
        <f t="shared" si="3"/>
        <v>R5</v>
      </c>
      <c r="W26" s="2">
        <f t="shared" si="4"/>
        <v>1314.3396226415093</v>
      </c>
      <c r="X26" s="2">
        <f t="shared" si="11"/>
        <v>0</v>
      </c>
      <c r="Y26" s="18">
        <f t="shared" si="5"/>
        <v>2.783191378158952</v>
      </c>
      <c r="Z26" s="18">
        <f t="shared" si="6"/>
        <v>0</v>
      </c>
      <c r="AA26" s="2">
        <f t="shared" si="12"/>
        <v>3658.0587057085395</v>
      </c>
    </row>
    <row r="27" spans="1:27" ht="12.75">
      <c r="A27">
        <v>1961</v>
      </c>
      <c r="C27" s="35">
        <f t="shared" si="7"/>
        <v>952682</v>
      </c>
      <c r="D27" s="35">
        <v>0</v>
      </c>
      <c r="E27" s="35">
        <v>110606</v>
      </c>
      <c r="F27" s="35">
        <v>0</v>
      </c>
      <c r="G27" s="35">
        <f t="shared" si="13"/>
        <v>1063288</v>
      </c>
      <c r="H27" s="28">
        <v>59.5</v>
      </c>
      <c r="I27" s="29">
        <v>0</v>
      </c>
      <c r="J27" s="29">
        <f t="shared" si="14"/>
        <v>0</v>
      </c>
      <c r="R27" s="21">
        <f t="shared" si="10"/>
        <v>1961</v>
      </c>
      <c r="S27" s="4">
        <f t="shared" si="0"/>
        <v>110606</v>
      </c>
      <c r="T27">
        <f t="shared" si="1"/>
        <v>0</v>
      </c>
      <c r="U27">
        <f t="shared" si="2"/>
        <v>53</v>
      </c>
      <c r="V27" s="1" t="str">
        <f t="shared" si="3"/>
        <v>R5</v>
      </c>
      <c r="W27" s="2">
        <f t="shared" si="4"/>
        <v>2086.9056603773583</v>
      </c>
      <c r="X27" s="2">
        <f t="shared" si="11"/>
        <v>0</v>
      </c>
      <c r="Y27" s="18">
        <f t="shared" si="5"/>
        <v>3.0211697634234267</v>
      </c>
      <c r="Z27" s="18">
        <f t="shared" si="6"/>
        <v>0</v>
      </c>
      <c r="AA27" s="2">
        <f t="shared" si="12"/>
        <v>6304.896280249273</v>
      </c>
    </row>
    <row r="28" spans="1:27" ht="12.75">
      <c r="A28">
        <v>1962</v>
      </c>
      <c r="C28" s="35">
        <f t="shared" si="7"/>
        <v>1063288</v>
      </c>
      <c r="D28" s="35">
        <v>0</v>
      </c>
      <c r="E28" s="35">
        <v>71538</v>
      </c>
      <c r="F28" s="35">
        <v>0</v>
      </c>
      <c r="G28" s="35">
        <f t="shared" si="13"/>
        <v>1134826</v>
      </c>
      <c r="H28" s="28">
        <v>58.5</v>
      </c>
      <c r="I28" s="29">
        <v>0</v>
      </c>
      <c r="J28" s="29">
        <f t="shared" si="14"/>
        <v>0</v>
      </c>
      <c r="R28" s="21">
        <f t="shared" si="10"/>
        <v>1962</v>
      </c>
      <c r="S28" s="4">
        <f t="shared" si="0"/>
        <v>71538</v>
      </c>
      <c r="T28">
        <f t="shared" si="1"/>
        <v>0</v>
      </c>
      <c r="U28">
        <f t="shared" si="2"/>
        <v>53</v>
      </c>
      <c r="V28" s="1" t="str">
        <f t="shared" si="3"/>
        <v>R5</v>
      </c>
      <c r="W28" s="2">
        <f t="shared" si="4"/>
        <v>1349.7735849056603</v>
      </c>
      <c r="X28" s="2">
        <f t="shared" si="11"/>
        <v>0</v>
      </c>
      <c r="Y28" s="18">
        <f t="shared" si="5"/>
        <v>3.2857274049094816</v>
      </c>
      <c r="Z28" s="18">
        <f t="shared" si="6"/>
        <v>0</v>
      </c>
      <c r="AA28" s="2">
        <f t="shared" si="12"/>
        <v>4434.988058347443</v>
      </c>
    </row>
    <row r="29" spans="1:27" ht="12.75">
      <c r="A29">
        <v>1963</v>
      </c>
      <c r="C29" s="35">
        <f t="shared" si="7"/>
        <v>1134826</v>
      </c>
      <c r="D29" s="35">
        <v>0</v>
      </c>
      <c r="E29" s="35">
        <v>86884</v>
      </c>
      <c r="F29" s="35">
        <v>9832</v>
      </c>
      <c r="G29" s="35">
        <f t="shared" si="13"/>
        <v>1211878</v>
      </c>
      <c r="H29" s="28">
        <v>57.5</v>
      </c>
      <c r="I29" s="29">
        <v>0</v>
      </c>
      <c r="J29" s="29">
        <f t="shared" si="14"/>
        <v>0</v>
      </c>
      <c r="R29" s="21">
        <f t="shared" si="10"/>
        <v>1963</v>
      </c>
      <c r="S29" s="4">
        <f t="shared" si="0"/>
        <v>86884</v>
      </c>
      <c r="T29">
        <f t="shared" si="1"/>
        <v>0</v>
      </c>
      <c r="U29">
        <f t="shared" si="2"/>
        <v>53</v>
      </c>
      <c r="V29" s="1" t="str">
        <f t="shared" si="3"/>
        <v>R5</v>
      </c>
      <c r="W29" s="2">
        <f t="shared" si="4"/>
        <v>1639.3207547169811</v>
      </c>
      <c r="X29" s="2">
        <f t="shared" si="11"/>
        <v>0</v>
      </c>
      <c r="Y29" s="18">
        <f t="shared" si="5"/>
        <v>3.578536874083613</v>
      </c>
      <c r="Z29" s="18">
        <f t="shared" si="6"/>
        <v>0</v>
      </c>
      <c r="AA29" s="2">
        <f t="shared" si="12"/>
        <v>5866.369769205296</v>
      </c>
    </row>
    <row r="30" spans="1:27" ht="12.75">
      <c r="A30">
        <v>1964</v>
      </c>
      <c r="C30" s="35">
        <f t="shared" si="7"/>
        <v>1211878</v>
      </c>
      <c r="D30" s="35">
        <v>0</v>
      </c>
      <c r="E30" s="35">
        <v>89514</v>
      </c>
      <c r="F30" s="35">
        <v>5084</v>
      </c>
      <c r="G30" s="35">
        <f t="shared" si="13"/>
        <v>1296308</v>
      </c>
      <c r="H30" s="28">
        <v>56.5</v>
      </c>
      <c r="I30" s="29">
        <v>0</v>
      </c>
      <c r="J30" s="29">
        <f t="shared" si="14"/>
        <v>0</v>
      </c>
      <c r="R30" s="21">
        <f t="shared" si="10"/>
        <v>1964</v>
      </c>
      <c r="S30" s="4">
        <f t="shared" si="0"/>
        <v>89514</v>
      </c>
      <c r="T30">
        <f t="shared" si="1"/>
        <v>0</v>
      </c>
      <c r="U30">
        <f t="shared" si="2"/>
        <v>53</v>
      </c>
      <c r="V30" s="1" t="str">
        <f t="shared" si="3"/>
        <v>R5</v>
      </c>
      <c r="W30" s="2">
        <f t="shared" si="4"/>
        <v>1688.9433962264152</v>
      </c>
      <c r="X30" s="2">
        <f t="shared" si="11"/>
        <v>0</v>
      </c>
      <c r="Y30" s="18">
        <f t="shared" si="5"/>
        <v>3.900603865224765</v>
      </c>
      <c r="Z30" s="18">
        <f t="shared" si="6"/>
        <v>0</v>
      </c>
      <c r="AA30" s="2">
        <f t="shared" si="12"/>
        <v>6587.899139466597</v>
      </c>
    </row>
    <row r="31" spans="1:27" ht="12.75">
      <c r="A31">
        <v>1965</v>
      </c>
      <c r="C31" s="35">
        <f t="shared" si="7"/>
        <v>1296308</v>
      </c>
      <c r="D31" s="35">
        <v>0</v>
      </c>
      <c r="E31" s="35">
        <v>123728</v>
      </c>
      <c r="F31" s="35">
        <v>7814</v>
      </c>
      <c r="G31" s="35">
        <f t="shared" si="13"/>
        <v>1412222</v>
      </c>
      <c r="H31" s="28">
        <v>55.5</v>
      </c>
      <c r="I31" s="29">
        <v>0</v>
      </c>
      <c r="J31" s="29">
        <f t="shared" si="14"/>
        <v>0</v>
      </c>
      <c r="R31" s="21">
        <f t="shared" si="10"/>
        <v>1965</v>
      </c>
      <c r="S31" s="4">
        <f t="shared" si="0"/>
        <v>123728</v>
      </c>
      <c r="T31">
        <f t="shared" si="1"/>
        <v>0</v>
      </c>
      <c r="U31">
        <f t="shared" si="2"/>
        <v>53</v>
      </c>
      <c r="V31" s="1" t="str">
        <f t="shared" si="3"/>
        <v>R5</v>
      </c>
      <c r="W31" s="2">
        <f t="shared" si="4"/>
        <v>2334.490566037736</v>
      </c>
      <c r="X31" s="2">
        <f t="shared" si="11"/>
        <v>0</v>
      </c>
      <c r="Y31" s="18">
        <f t="shared" si="5"/>
        <v>4.252729143672116</v>
      </c>
      <c r="Z31" s="18">
        <f t="shared" si="6"/>
        <v>0</v>
      </c>
      <c r="AA31" s="2">
        <f t="shared" si="12"/>
        <v>9927.956065816294</v>
      </c>
    </row>
    <row r="32" spans="1:27" ht="12.75">
      <c r="A32">
        <v>1966</v>
      </c>
      <c r="C32" s="35">
        <f t="shared" si="7"/>
        <v>1412222</v>
      </c>
      <c r="D32" s="35">
        <v>0</v>
      </c>
      <c r="E32" s="35">
        <v>135264</v>
      </c>
      <c r="F32" s="35">
        <v>5133</v>
      </c>
      <c r="G32" s="35">
        <f t="shared" si="13"/>
        <v>1542353</v>
      </c>
      <c r="H32" s="28">
        <v>54.5</v>
      </c>
      <c r="I32" s="29">
        <v>0</v>
      </c>
      <c r="J32" s="29">
        <f t="shared" si="14"/>
        <v>0</v>
      </c>
      <c r="R32" s="21">
        <f t="shared" si="10"/>
        <v>1966</v>
      </c>
      <c r="S32" s="4">
        <f t="shared" si="0"/>
        <v>135264</v>
      </c>
      <c r="T32">
        <f t="shared" si="1"/>
        <v>0</v>
      </c>
      <c r="U32">
        <f t="shared" si="2"/>
        <v>53</v>
      </c>
      <c r="V32" s="1" t="str">
        <f t="shared" si="3"/>
        <v>R5</v>
      </c>
      <c r="W32" s="2">
        <f t="shared" si="4"/>
        <v>2552.1509433962265</v>
      </c>
      <c r="X32" s="2">
        <f t="shared" si="11"/>
        <v>0</v>
      </c>
      <c r="Y32" s="18">
        <f t="shared" si="5"/>
        <v>4.6357021339674365</v>
      </c>
      <c r="Z32" s="18">
        <f t="shared" si="6"/>
        <v>0</v>
      </c>
      <c r="AA32" s="2">
        <f t="shared" si="12"/>
        <v>11831.011574508893</v>
      </c>
    </row>
    <row r="33" spans="1:27" ht="12.75">
      <c r="A33">
        <v>1967</v>
      </c>
      <c r="C33" s="35">
        <f t="shared" si="7"/>
        <v>1542353</v>
      </c>
      <c r="D33" s="35">
        <v>0</v>
      </c>
      <c r="E33" s="35">
        <v>317430</v>
      </c>
      <c r="F33" s="35">
        <v>7612</v>
      </c>
      <c r="G33" s="35">
        <f t="shared" si="13"/>
        <v>1852171</v>
      </c>
      <c r="H33" s="28">
        <v>53.5</v>
      </c>
      <c r="I33" s="29">
        <v>0</v>
      </c>
      <c r="J33" s="29">
        <f t="shared" si="14"/>
        <v>0</v>
      </c>
      <c r="R33" s="21">
        <f t="shared" si="10"/>
        <v>1967</v>
      </c>
      <c r="S33" s="4">
        <f t="shared" si="0"/>
        <v>317430</v>
      </c>
      <c r="T33">
        <f t="shared" si="1"/>
        <v>0</v>
      </c>
      <c r="U33">
        <f t="shared" si="2"/>
        <v>53</v>
      </c>
      <c r="V33" s="1" t="str">
        <f t="shared" si="3"/>
        <v>R5</v>
      </c>
      <c r="W33" s="2">
        <f t="shared" si="4"/>
        <v>5989.245283018868</v>
      </c>
      <c r="X33" s="2">
        <f t="shared" si="11"/>
        <v>0</v>
      </c>
      <c r="Y33" s="18">
        <f t="shared" si="5"/>
        <v>5.050350836504234</v>
      </c>
      <c r="Z33" s="18">
        <f t="shared" si="6"/>
        <v>0</v>
      </c>
      <c r="AA33" s="2">
        <f t="shared" si="12"/>
        <v>30247.789925123376</v>
      </c>
    </row>
    <row r="34" spans="1:27" ht="12.75">
      <c r="A34">
        <v>1968</v>
      </c>
      <c r="C34" s="35">
        <f t="shared" si="7"/>
        <v>1852171</v>
      </c>
      <c r="D34" s="35">
        <v>0</v>
      </c>
      <c r="E34" s="35">
        <v>182038</v>
      </c>
      <c r="F34" s="35">
        <v>13540</v>
      </c>
      <c r="G34" s="35">
        <f t="shared" si="13"/>
        <v>2020669</v>
      </c>
      <c r="H34" s="28">
        <v>52.5</v>
      </c>
      <c r="I34" s="29">
        <v>0</v>
      </c>
      <c r="J34" s="29">
        <f t="shared" si="14"/>
        <v>0</v>
      </c>
      <c r="R34" s="21">
        <f t="shared" si="10"/>
        <v>1968</v>
      </c>
      <c r="S34" s="4">
        <f t="shared" si="0"/>
        <v>182038</v>
      </c>
      <c r="T34">
        <f t="shared" si="1"/>
        <v>0</v>
      </c>
      <c r="U34">
        <f t="shared" si="2"/>
        <v>53</v>
      </c>
      <c r="V34" s="1" t="str">
        <f t="shared" si="3"/>
        <v>R5</v>
      </c>
      <c r="W34" s="2">
        <f t="shared" si="4"/>
        <v>3434.6792452830186</v>
      </c>
      <c r="X34" s="2">
        <f t="shared" si="11"/>
        <v>0</v>
      </c>
      <c r="Y34" s="18">
        <f t="shared" si="5"/>
        <v>5.497518173640844</v>
      </c>
      <c r="Z34" s="18">
        <f t="shared" si="6"/>
        <v>0</v>
      </c>
      <c r="AA34" s="2">
        <f t="shared" si="12"/>
        <v>18882.211571570413</v>
      </c>
    </row>
    <row r="35" spans="1:27" ht="12.75">
      <c r="A35">
        <v>1969</v>
      </c>
      <c r="C35" s="35">
        <f t="shared" si="7"/>
        <v>2020669</v>
      </c>
      <c r="D35" s="35">
        <v>0</v>
      </c>
      <c r="E35" s="35">
        <v>582335</v>
      </c>
      <c r="F35" s="35">
        <v>11971</v>
      </c>
      <c r="G35" s="35">
        <f t="shared" si="13"/>
        <v>2591033</v>
      </c>
      <c r="H35" s="28">
        <v>51.5</v>
      </c>
      <c r="I35" s="29">
        <v>0</v>
      </c>
      <c r="J35" s="29">
        <f t="shared" si="14"/>
        <v>0</v>
      </c>
      <c r="R35" s="21">
        <f t="shared" si="10"/>
        <v>1969</v>
      </c>
      <c r="S35" s="4">
        <f t="shared" si="0"/>
        <v>582335</v>
      </c>
      <c r="T35">
        <f t="shared" si="1"/>
        <v>0</v>
      </c>
      <c r="U35">
        <f t="shared" si="2"/>
        <v>53</v>
      </c>
      <c r="V35" s="1" t="str">
        <f t="shared" si="3"/>
        <v>R5</v>
      </c>
      <c r="W35" s="2">
        <f t="shared" si="4"/>
        <v>10987.452830188678</v>
      </c>
      <c r="X35" s="2">
        <f t="shared" si="11"/>
        <v>0</v>
      </c>
      <c r="Y35" s="18">
        <f t="shared" si="5"/>
        <v>5.978001583070095</v>
      </c>
      <c r="Z35" s="18">
        <f t="shared" si="6"/>
        <v>0</v>
      </c>
      <c r="AA35" s="2">
        <f t="shared" si="12"/>
        <v>65683.01041277591</v>
      </c>
    </row>
    <row r="36" spans="1:27" ht="12.75">
      <c r="A36">
        <v>1970</v>
      </c>
      <c r="C36" s="35">
        <f t="shared" si="7"/>
        <v>2591033</v>
      </c>
      <c r="D36" s="35">
        <v>0</v>
      </c>
      <c r="E36" s="35">
        <v>1455571</v>
      </c>
      <c r="F36" s="35">
        <v>8116</v>
      </c>
      <c r="G36" s="35">
        <f t="shared" si="13"/>
        <v>4038488</v>
      </c>
      <c r="H36" s="28">
        <v>50.5</v>
      </c>
      <c r="I36" s="29">
        <v>0</v>
      </c>
      <c r="J36" s="29">
        <f t="shared" si="14"/>
        <v>0</v>
      </c>
      <c r="R36" s="21">
        <f t="shared" si="10"/>
        <v>1970</v>
      </c>
      <c r="S36" s="4">
        <f t="shared" si="0"/>
        <v>1455571</v>
      </c>
      <c r="T36">
        <f t="shared" si="1"/>
        <v>0</v>
      </c>
      <c r="U36">
        <f t="shared" si="2"/>
        <v>53</v>
      </c>
      <c r="V36" s="1" t="str">
        <f t="shared" si="3"/>
        <v>R5</v>
      </c>
      <c r="W36" s="2">
        <f t="shared" si="4"/>
        <v>27463.603773584906</v>
      </c>
      <c r="X36" s="2">
        <f t="shared" si="11"/>
        <v>0</v>
      </c>
      <c r="Y36" s="18">
        <f t="shared" si="5"/>
        <v>6.4924754708109695</v>
      </c>
      <c r="Z36" s="18">
        <f t="shared" si="6"/>
        <v>0</v>
      </c>
      <c r="AA36" s="2">
        <f t="shared" si="12"/>
        <v>178306.77384007158</v>
      </c>
    </row>
    <row r="37" spans="1:27" ht="12.75">
      <c r="A37">
        <v>1971</v>
      </c>
      <c r="C37" s="35">
        <f t="shared" si="7"/>
        <v>4038488</v>
      </c>
      <c r="D37" s="35">
        <v>0</v>
      </c>
      <c r="E37" s="35">
        <v>1074050</v>
      </c>
      <c r="F37" s="35">
        <v>109721</v>
      </c>
      <c r="G37" s="35">
        <f t="shared" si="13"/>
        <v>5002817</v>
      </c>
      <c r="H37" s="28">
        <v>49.5</v>
      </c>
      <c r="I37" s="29">
        <v>0</v>
      </c>
      <c r="J37" s="29">
        <f t="shared" si="14"/>
        <v>0</v>
      </c>
      <c r="R37" s="21">
        <f t="shared" si="10"/>
        <v>1971</v>
      </c>
      <c r="S37" s="4">
        <f t="shared" si="0"/>
        <v>1074050</v>
      </c>
      <c r="T37">
        <f t="shared" si="1"/>
        <v>0</v>
      </c>
      <c r="U37">
        <f t="shared" si="2"/>
        <v>53</v>
      </c>
      <c r="V37" s="1" t="str">
        <f t="shared" si="3"/>
        <v>R5</v>
      </c>
      <c r="W37" s="2">
        <f t="shared" si="4"/>
        <v>20265.094339622643</v>
      </c>
      <c r="X37" s="2">
        <f t="shared" si="11"/>
        <v>0</v>
      </c>
      <c r="Y37" s="18">
        <f t="shared" si="5"/>
        <v>7.04140834432909</v>
      </c>
      <c r="Z37" s="18">
        <f t="shared" si="6"/>
        <v>0</v>
      </c>
      <c r="AA37" s="2">
        <f t="shared" si="12"/>
        <v>142694.8043816351</v>
      </c>
    </row>
    <row r="38" spans="1:27" ht="12.75">
      <c r="A38">
        <v>1972</v>
      </c>
      <c r="C38" s="35">
        <f t="shared" si="7"/>
        <v>5002817</v>
      </c>
      <c r="D38" s="35">
        <v>0</v>
      </c>
      <c r="E38" s="35">
        <v>324850</v>
      </c>
      <c r="F38" s="35">
        <v>26975</v>
      </c>
      <c r="G38" s="35">
        <f t="shared" si="13"/>
        <v>5300692</v>
      </c>
      <c r="H38" s="28">
        <v>48.5</v>
      </c>
      <c r="I38" s="29">
        <v>0</v>
      </c>
      <c r="J38" s="29">
        <f t="shared" si="14"/>
        <v>0</v>
      </c>
      <c r="R38" s="21">
        <f t="shared" si="10"/>
        <v>1972</v>
      </c>
      <c r="S38" s="4">
        <f aca="true" t="shared" si="15" ref="S38:S68">E38</f>
        <v>324850</v>
      </c>
      <c r="T38">
        <f aca="true" t="shared" si="16" ref="T38:T68">IF(D38&gt;0,IF(J38&gt;0,D38,0),0)</f>
        <v>0</v>
      </c>
      <c r="U38">
        <f aca="true" t="shared" si="17" ref="U38:U86">$V$94</f>
        <v>53</v>
      </c>
      <c r="V38" s="1" t="str">
        <f aca="true" t="shared" si="18" ref="V38:V86">$V$93</f>
        <v>R5</v>
      </c>
      <c r="W38" s="2">
        <f aca="true" t="shared" si="19" ref="W38:W68">S38/U38</f>
        <v>6129.245283018868</v>
      </c>
      <c r="X38" s="2">
        <f t="shared" si="11"/>
        <v>0</v>
      </c>
      <c r="Y38" s="18">
        <f aca="true" t="shared" si="20" ref="Y38:Y66">Prob_life(V38,H38,U38)</f>
        <v>7.624983574813625</v>
      </c>
      <c r="Z38" s="18">
        <f aca="true" t="shared" si="21" ref="Z38:Z68">IF(J38&gt;0,Prob_life(V38,J38+0.5,U38),0)</f>
        <v>0</v>
      </c>
      <c r="AA38" s="2">
        <f t="shared" si="12"/>
        <v>46735.394609022755</v>
      </c>
    </row>
    <row r="39" spans="1:27" ht="12.75">
      <c r="A39">
        <v>1973</v>
      </c>
      <c r="C39" s="35">
        <f t="shared" si="7"/>
        <v>5300692</v>
      </c>
      <c r="D39" s="35">
        <v>0</v>
      </c>
      <c r="E39" s="35">
        <v>448840</v>
      </c>
      <c r="F39" s="35">
        <v>12035</v>
      </c>
      <c r="G39" s="35">
        <f t="shared" si="13"/>
        <v>5737497</v>
      </c>
      <c r="H39" s="28">
        <v>47.5</v>
      </c>
      <c r="I39" s="29">
        <v>0</v>
      </c>
      <c r="J39" s="29">
        <f t="shared" si="14"/>
        <v>0</v>
      </c>
      <c r="R39" s="21">
        <f t="shared" si="10"/>
        <v>1973</v>
      </c>
      <c r="S39" s="4">
        <f t="shared" si="15"/>
        <v>448840</v>
      </c>
      <c r="T39">
        <f t="shared" si="16"/>
        <v>0</v>
      </c>
      <c r="U39">
        <f t="shared" si="17"/>
        <v>53</v>
      </c>
      <c r="V39" s="1" t="str">
        <f t="shared" si="18"/>
        <v>R5</v>
      </c>
      <c r="W39" s="2">
        <f t="shared" si="19"/>
        <v>8468.67924528302</v>
      </c>
      <c r="X39" s="2">
        <f t="shared" si="11"/>
        <v>0</v>
      </c>
      <c r="Y39" s="18">
        <f t="shared" si="20"/>
        <v>8.243032099094165</v>
      </c>
      <c r="Z39" s="18">
        <f t="shared" si="21"/>
        <v>0</v>
      </c>
      <c r="AA39" s="2">
        <f t="shared" si="12"/>
        <v>69807.59485580047</v>
      </c>
    </row>
    <row r="40" spans="1:27" ht="12.75">
      <c r="A40">
        <v>1974</v>
      </c>
      <c r="C40" s="35">
        <f t="shared" si="7"/>
        <v>5737497</v>
      </c>
      <c r="D40" s="35">
        <v>0</v>
      </c>
      <c r="E40" s="35">
        <v>294232</v>
      </c>
      <c r="F40" s="35">
        <v>42315</v>
      </c>
      <c r="G40" s="35">
        <f t="shared" si="13"/>
        <v>5989414</v>
      </c>
      <c r="H40" s="28">
        <v>46.5</v>
      </c>
      <c r="I40" s="29">
        <v>0</v>
      </c>
      <c r="J40" s="29">
        <f t="shared" si="14"/>
        <v>0</v>
      </c>
      <c r="R40" s="21">
        <f t="shared" si="10"/>
        <v>1974</v>
      </c>
      <c r="S40" s="4">
        <f t="shared" si="15"/>
        <v>294232</v>
      </c>
      <c r="T40">
        <f t="shared" si="16"/>
        <v>0</v>
      </c>
      <c r="U40">
        <f t="shared" si="17"/>
        <v>53</v>
      </c>
      <c r="V40" s="1" t="str">
        <f t="shared" si="18"/>
        <v>R5</v>
      </c>
      <c r="W40" s="2">
        <f t="shared" si="19"/>
        <v>5551.547169811321</v>
      </c>
      <c r="X40" s="2">
        <f t="shared" si="11"/>
        <v>0</v>
      </c>
      <c r="Y40" s="18">
        <f t="shared" si="20"/>
        <v>8.894985315501092</v>
      </c>
      <c r="Z40" s="18">
        <f t="shared" si="21"/>
        <v>0</v>
      </c>
      <c r="AA40" s="2">
        <f t="shared" si="12"/>
        <v>49380.93055378334</v>
      </c>
    </row>
    <row r="41" spans="1:27" ht="12.75">
      <c r="A41">
        <v>1975</v>
      </c>
      <c r="C41" s="35">
        <f t="shared" si="7"/>
        <v>5989414</v>
      </c>
      <c r="D41" s="35">
        <v>0</v>
      </c>
      <c r="E41" s="35">
        <v>409344</v>
      </c>
      <c r="F41" s="35">
        <v>47820</v>
      </c>
      <c r="G41" s="35">
        <f aca="true" t="shared" si="22" ref="G41:G51">C41+D41+E41-F41</f>
        <v>6350938</v>
      </c>
      <c r="H41" s="28">
        <v>45.5</v>
      </c>
      <c r="I41" s="29">
        <v>0</v>
      </c>
      <c r="J41" s="29">
        <f aca="true" t="shared" si="23" ref="J41:J51">IF(I41=0,0,ROUND((I41/D41/$G$94)+H41,1))</f>
        <v>0</v>
      </c>
      <c r="R41" s="21">
        <f t="shared" si="10"/>
        <v>1975</v>
      </c>
      <c r="S41" s="4">
        <f t="shared" si="15"/>
        <v>409344</v>
      </c>
      <c r="T41">
        <f t="shared" si="16"/>
        <v>0</v>
      </c>
      <c r="U41">
        <f t="shared" si="17"/>
        <v>53</v>
      </c>
      <c r="V41" s="1" t="str">
        <f t="shared" si="18"/>
        <v>R5</v>
      </c>
      <c r="W41" s="2">
        <f t="shared" si="19"/>
        <v>7723.471698113208</v>
      </c>
      <c r="X41" s="2">
        <f t="shared" si="11"/>
        <v>0</v>
      </c>
      <c r="Y41" s="18">
        <f t="shared" si="20"/>
        <v>9.57985585647624</v>
      </c>
      <c r="Z41" s="18">
        <f t="shared" si="21"/>
        <v>0</v>
      </c>
      <c r="AA41" s="2">
        <f t="shared" si="12"/>
        <v>73989.7455794983</v>
      </c>
    </row>
    <row r="42" spans="1:27" ht="12.75">
      <c r="A42">
        <v>1976</v>
      </c>
      <c r="C42" s="35">
        <f t="shared" si="7"/>
        <v>6350938</v>
      </c>
      <c r="D42" s="35">
        <v>0</v>
      </c>
      <c r="E42" s="35">
        <v>201118</v>
      </c>
      <c r="F42" s="35">
        <v>19238</v>
      </c>
      <c r="G42" s="35">
        <f t="shared" si="22"/>
        <v>6532818</v>
      </c>
      <c r="H42" s="28">
        <v>44.5</v>
      </c>
      <c r="I42" s="29">
        <v>0</v>
      </c>
      <c r="J42" s="29">
        <f t="shared" si="23"/>
        <v>0</v>
      </c>
      <c r="R42" s="21">
        <f t="shared" si="10"/>
        <v>1976</v>
      </c>
      <c r="S42" s="4">
        <f t="shared" si="15"/>
        <v>201118</v>
      </c>
      <c r="T42">
        <f t="shared" si="16"/>
        <v>0</v>
      </c>
      <c r="U42">
        <f t="shared" si="17"/>
        <v>53</v>
      </c>
      <c r="V42" s="1" t="str">
        <f t="shared" si="18"/>
        <v>R5</v>
      </c>
      <c r="W42" s="2">
        <f t="shared" si="19"/>
        <v>3794.6792452830186</v>
      </c>
      <c r="X42" s="2">
        <f t="shared" si="11"/>
        <v>0</v>
      </c>
      <c r="Y42" s="18">
        <f t="shared" si="20"/>
        <v>10.2962521025824</v>
      </c>
      <c r="Z42" s="18">
        <f t="shared" si="21"/>
        <v>0</v>
      </c>
      <c r="AA42" s="2">
        <f t="shared" si="12"/>
        <v>39070.974157871075</v>
      </c>
    </row>
    <row r="43" spans="1:27" ht="12.75">
      <c r="A43">
        <v>1977</v>
      </c>
      <c r="C43" s="35">
        <f t="shared" si="7"/>
        <v>6532818</v>
      </c>
      <c r="D43" s="35">
        <v>0</v>
      </c>
      <c r="E43" s="35">
        <v>215318</v>
      </c>
      <c r="F43" s="35">
        <v>19383</v>
      </c>
      <c r="G43" s="35">
        <f t="shared" si="22"/>
        <v>6728753</v>
      </c>
      <c r="H43" s="28">
        <v>43.5</v>
      </c>
      <c r="I43" s="29">
        <v>0</v>
      </c>
      <c r="J43" s="29">
        <f t="shared" si="23"/>
        <v>0</v>
      </c>
      <c r="R43" s="21">
        <f t="shared" si="10"/>
        <v>1977</v>
      </c>
      <c r="S43" s="4">
        <f t="shared" si="15"/>
        <v>215318</v>
      </c>
      <c r="T43">
        <f t="shared" si="16"/>
        <v>0</v>
      </c>
      <c r="U43">
        <f t="shared" si="17"/>
        <v>53</v>
      </c>
      <c r="V43" s="1" t="str">
        <f t="shared" si="18"/>
        <v>R5</v>
      </c>
      <c r="W43" s="2">
        <f t="shared" si="19"/>
        <v>4062.603773584906</v>
      </c>
      <c r="X43" s="2">
        <f t="shared" si="11"/>
        <v>0</v>
      </c>
      <c r="Y43" s="18">
        <f t="shared" si="20"/>
        <v>11.042428882979427</v>
      </c>
      <c r="Z43" s="18">
        <f t="shared" si="21"/>
        <v>0</v>
      </c>
      <c r="AA43" s="2">
        <f t="shared" si="12"/>
        <v>44861.01324953518</v>
      </c>
    </row>
    <row r="44" spans="1:27" ht="12.75">
      <c r="A44">
        <v>1978</v>
      </c>
      <c r="C44" s="35">
        <f t="shared" si="7"/>
        <v>6728753</v>
      </c>
      <c r="D44" s="35">
        <v>0</v>
      </c>
      <c r="E44" s="35">
        <v>316671</v>
      </c>
      <c r="F44" s="35">
        <v>46128</v>
      </c>
      <c r="G44" s="35">
        <f t="shared" si="22"/>
        <v>6999296</v>
      </c>
      <c r="H44" s="28">
        <v>42.5</v>
      </c>
      <c r="I44" s="29">
        <v>0</v>
      </c>
      <c r="J44" s="29">
        <f t="shared" si="23"/>
        <v>0</v>
      </c>
      <c r="R44" s="21">
        <f t="shared" si="10"/>
        <v>1978</v>
      </c>
      <c r="S44" s="4">
        <f t="shared" si="15"/>
        <v>316671</v>
      </c>
      <c r="T44">
        <f t="shared" si="16"/>
        <v>0</v>
      </c>
      <c r="U44">
        <f t="shared" si="17"/>
        <v>53</v>
      </c>
      <c r="V44" s="1" t="str">
        <f t="shared" si="18"/>
        <v>R5</v>
      </c>
      <c r="W44" s="2">
        <f t="shared" si="19"/>
        <v>5974.924528301887</v>
      </c>
      <c r="X44" s="2">
        <f t="shared" si="11"/>
        <v>0</v>
      </c>
      <c r="Y44" s="18">
        <f t="shared" si="20"/>
        <v>11.816371904058</v>
      </c>
      <c r="Z44" s="18">
        <f t="shared" si="21"/>
        <v>0</v>
      </c>
      <c r="AA44" s="2">
        <f t="shared" si="12"/>
        <v>70601.93032509342</v>
      </c>
    </row>
    <row r="45" spans="1:27" ht="12.75">
      <c r="A45">
        <v>1979</v>
      </c>
      <c r="C45" s="35">
        <f t="shared" si="7"/>
        <v>6999296</v>
      </c>
      <c r="D45" s="35">
        <v>0</v>
      </c>
      <c r="E45" s="35">
        <v>723822</v>
      </c>
      <c r="F45" s="35">
        <v>90065</v>
      </c>
      <c r="G45" s="35">
        <f t="shared" si="22"/>
        <v>7633053</v>
      </c>
      <c r="H45" s="28">
        <v>41.5</v>
      </c>
      <c r="I45" s="29">
        <v>0</v>
      </c>
      <c r="J45" s="29">
        <f t="shared" si="23"/>
        <v>0</v>
      </c>
      <c r="R45" s="21">
        <f t="shared" si="10"/>
        <v>1979</v>
      </c>
      <c r="S45" s="4">
        <f t="shared" si="15"/>
        <v>723822</v>
      </c>
      <c r="T45">
        <f t="shared" si="16"/>
        <v>0</v>
      </c>
      <c r="U45">
        <f t="shared" si="17"/>
        <v>53</v>
      </c>
      <c r="V45" s="1" t="str">
        <f t="shared" si="18"/>
        <v>R5</v>
      </c>
      <c r="W45" s="2">
        <f t="shared" si="19"/>
        <v>13657.018867924528</v>
      </c>
      <c r="X45" s="2">
        <f t="shared" si="11"/>
        <v>0</v>
      </c>
      <c r="Y45" s="18">
        <f t="shared" si="20"/>
        <v>12.615907719869057</v>
      </c>
      <c r="Z45" s="18">
        <f t="shared" si="21"/>
        <v>0</v>
      </c>
      <c r="AA45" s="2">
        <f t="shared" si="12"/>
        <v>172295.68976624642</v>
      </c>
    </row>
    <row r="46" spans="1:27" ht="12.75">
      <c r="A46">
        <v>1980</v>
      </c>
      <c r="C46" s="35">
        <f t="shared" si="7"/>
        <v>7633053</v>
      </c>
      <c r="D46" s="35">
        <v>0</v>
      </c>
      <c r="E46" s="35">
        <v>646465</v>
      </c>
      <c r="F46" s="35">
        <v>46371</v>
      </c>
      <c r="G46" s="35">
        <f t="shared" si="22"/>
        <v>8233147</v>
      </c>
      <c r="H46" s="28">
        <v>40.5</v>
      </c>
      <c r="I46" s="29">
        <v>0</v>
      </c>
      <c r="J46" s="29">
        <f t="shared" si="23"/>
        <v>0</v>
      </c>
      <c r="R46" s="21">
        <f t="shared" si="10"/>
        <v>1980</v>
      </c>
      <c r="S46" s="4">
        <f t="shared" si="15"/>
        <v>646465</v>
      </c>
      <c r="T46">
        <f t="shared" si="16"/>
        <v>0</v>
      </c>
      <c r="U46">
        <f t="shared" si="17"/>
        <v>53</v>
      </c>
      <c r="V46" s="1" t="str">
        <f t="shared" si="18"/>
        <v>R5</v>
      </c>
      <c r="W46" s="2">
        <f t="shared" si="19"/>
        <v>12197.452830188678</v>
      </c>
      <c r="X46" s="2">
        <f t="shared" si="11"/>
        <v>0</v>
      </c>
      <c r="Y46" s="18">
        <f t="shared" si="20"/>
        <v>13.438825649873683</v>
      </c>
      <c r="Z46" s="18">
        <f t="shared" si="21"/>
        <v>0</v>
      </c>
      <c r="AA46" s="2">
        <f t="shared" si="12"/>
        <v>163919.44195746398</v>
      </c>
    </row>
    <row r="47" spans="1:27" ht="12.75">
      <c r="A47">
        <v>1981</v>
      </c>
      <c r="C47" s="35">
        <f t="shared" si="7"/>
        <v>8233147</v>
      </c>
      <c r="D47" s="35">
        <v>0</v>
      </c>
      <c r="E47" s="35">
        <v>1960024</v>
      </c>
      <c r="F47" s="35">
        <v>104484</v>
      </c>
      <c r="G47" s="35">
        <f t="shared" si="22"/>
        <v>10088687</v>
      </c>
      <c r="H47" s="28">
        <v>39.5</v>
      </c>
      <c r="I47" s="29">
        <v>0</v>
      </c>
      <c r="J47" s="29">
        <f t="shared" si="23"/>
        <v>0</v>
      </c>
      <c r="R47" s="21">
        <f t="shared" si="10"/>
        <v>1981</v>
      </c>
      <c r="S47" s="4">
        <f t="shared" si="15"/>
        <v>1960024</v>
      </c>
      <c r="T47">
        <f t="shared" si="16"/>
        <v>0</v>
      </c>
      <c r="U47">
        <f t="shared" si="17"/>
        <v>53</v>
      </c>
      <c r="V47" s="1" t="str">
        <f t="shared" si="18"/>
        <v>R5</v>
      </c>
      <c r="W47" s="2">
        <f t="shared" si="19"/>
        <v>36981.58490566038</v>
      </c>
      <c r="X47" s="2">
        <f t="shared" si="11"/>
        <v>0</v>
      </c>
      <c r="Y47" s="18">
        <f t="shared" si="20"/>
        <v>14.282994360016644</v>
      </c>
      <c r="Z47" s="18">
        <f t="shared" si="21"/>
        <v>0</v>
      </c>
      <c r="AA47" s="2">
        <f t="shared" si="12"/>
        <v>528207.7686320238</v>
      </c>
    </row>
    <row r="48" spans="1:27" ht="12.75">
      <c r="A48">
        <v>1982</v>
      </c>
      <c r="C48" s="35">
        <f t="shared" si="7"/>
        <v>10088687</v>
      </c>
      <c r="D48" s="35">
        <v>0</v>
      </c>
      <c r="E48" s="35">
        <v>1666448</v>
      </c>
      <c r="F48" s="35">
        <v>145027</v>
      </c>
      <c r="G48" s="35">
        <f t="shared" si="22"/>
        <v>11610108</v>
      </c>
      <c r="H48" s="28">
        <v>38.5</v>
      </c>
      <c r="I48" s="29">
        <v>0</v>
      </c>
      <c r="J48" s="29">
        <f t="shared" si="23"/>
        <v>0</v>
      </c>
      <c r="R48" s="21">
        <f t="shared" si="10"/>
        <v>1982</v>
      </c>
      <c r="S48" s="4">
        <f t="shared" si="15"/>
        <v>1666448</v>
      </c>
      <c r="T48">
        <f t="shared" si="16"/>
        <v>0</v>
      </c>
      <c r="U48">
        <f t="shared" si="17"/>
        <v>53</v>
      </c>
      <c r="V48" s="1" t="str">
        <f t="shared" si="18"/>
        <v>R5</v>
      </c>
      <c r="W48" s="2">
        <f t="shared" si="19"/>
        <v>31442.415094339623</v>
      </c>
      <c r="X48" s="2">
        <f t="shared" si="11"/>
        <v>0</v>
      </c>
      <c r="Y48" s="18">
        <f t="shared" si="20"/>
        <v>15.146455128797669</v>
      </c>
      <c r="Z48" s="18">
        <f t="shared" si="21"/>
        <v>0</v>
      </c>
      <c r="AA48" s="2">
        <f t="shared" si="12"/>
        <v>476241.12936744565</v>
      </c>
    </row>
    <row r="49" spans="1:27" ht="12.75">
      <c r="A49">
        <v>1983</v>
      </c>
      <c r="C49" s="35">
        <f t="shared" si="7"/>
        <v>11610108</v>
      </c>
      <c r="D49" s="35">
        <v>0</v>
      </c>
      <c r="E49" s="35">
        <v>1579871</v>
      </c>
      <c r="F49" s="35">
        <v>121613</v>
      </c>
      <c r="G49" s="35">
        <f t="shared" si="22"/>
        <v>13068366</v>
      </c>
      <c r="H49" s="28">
        <v>37.5</v>
      </c>
      <c r="I49" s="29">
        <v>0</v>
      </c>
      <c r="J49" s="29">
        <f t="shared" si="23"/>
        <v>0</v>
      </c>
      <c r="R49" s="21">
        <f t="shared" si="10"/>
        <v>1983</v>
      </c>
      <c r="S49" s="4">
        <f t="shared" si="15"/>
        <v>1579871</v>
      </c>
      <c r="T49">
        <f t="shared" si="16"/>
        <v>0</v>
      </c>
      <c r="U49">
        <f t="shared" si="17"/>
        <v>53</v>
      </c>
      <c r="V49" s="1" t="str">
        <f t="shared" si="18"/>
        <v>R5</v>
      </c>
      <c r="W49" s="2">
        <f t="shared" si="19"/>
        <v>29808.88679245283</v>
      </c>
      <c r="X49" s="2">
        <f t="shared" si="11"/>
        <v>0</v>
      </c>
      <c r="Y49" s="18">
        <f t="shared" si="20"/>
        <v>16.027476867488268</v>
      </c>
      <c r="Z49" s="18">
        <f t="shared" si="21"/>
        <v>0</v>
      </c>
      <c r="AA49" s="2">
        <f t="shared" si="12"/>
        <v>477761.24351161433</v>
      </c>
    </row>
    <row r="50" spans="1:27" ht="12.75">
      <c r="A50">
        <v>1984</v>
      </c>
      <c r="C50" s="35">
        <f t="shared" si="7"/>
        <v>13068366</v>
      </c>
      <c r="D50" s="35">
        <v>0</v>
      </c>
      <c r="E50" s="35">
        <v>1436971</v>
      </c>
      <c r="F50" s="35">
        <v>129563</v>
      </c>
      <c r="G50" s="35">
        <f t="shared" si="22"/>
        <v>14375774</v>
      </c>
      <c r="H50" s="28">
        <v>36.5</v>
      </c>
      <c r="I50" s="29">
        <v>0</v>
      </c>
      <c r="J50" s="29">
        <f t="shared" si="23"/>
        <v>0</v>
      </c>
      <c r="R50" s="21">
        <f t="shared" si="10"/>
        <v>1984</v>
      </c>
      <c r="S50" s="4">
        <f t="shared" si="15"/>
        <v>1436971</v>
      </c>
      <c r="T50">
        <f t="shared" si="16"/>
        <v>0</v>
      </c>
      <c r="U50">
        <f t="shared" si="17"/>
        <v>53</v>
      </c>
      <c r="V50" s="1" t="str">
        <f t="shared" si="18"/>
        <v>R5</v>
      </c>
      <c r="W50" s="2">
        <f t="shared" si="19"/>
        <v>27112.66037735849</v>
      </c>
      <c r="X50" s="2">
        <f t="shared" si="11"/>
        <v>0</v>
      </c>
      <c r="Y50" s="18">
        <f t="shared" si="20"/>
        <v>16.92456467556064</v>
      </c>
      <c r="Z50" s="18">
        <f t="shared" si="21"/>
        <v>0</v>
      </c>
      <c r="AA50" s="2">
        <f t="shared" si="12"/>
        <v>458869.97408311407</v>
      </c>
    </row>
    <row r="51" spans="1:27" ht="12.75">
      <c r="A51">
        <v>1985</v>
      </c>
      <c r="C51" s="35">
        <f t="shared" si="7"/>
        <v>14375774</v>
      </c>
      <c r="D51" s="35">
        <v>0</v>
      </c>
      <c r="E51" s="35">
        <v>1581605</v>
      </c>
      <c r="F51" s="35">
        <v>169907</v>
      </c>
      <c r="G51" s="35">
        <f t="shared" si="22"/>
        <v>15787472</v>
      </c>
      <c r="H51" s="28">
        <v>35.5</v>
      </c>
      <c r="I51" s="29">
        <v>0</v>
      </c>
      <c r="J51" s="29">
        <f t="shared" si="23"/>
        <v>0</v>
      </c>
      <c r="R51" s="21">
        <f t="shared" si="10"/>
        <v>1985</v>
      </c>
      <c r="S51" s="4">
        <f t="shared" si="15"/>
        <v>1581605</v>
      </c>
      <c r="T51">
        <f t="shared" si="16"/>
        <v>0</v>
      </c>
      <c r="U51">
        <f t="shared" si="17"/>
        <v>53</v>
      </c>
      <c r="V51" s="1" t="str">
        <f t="shared" si="18"/>
        <v>R5</v>
      </c>
      <c r="W51" s="2">
        <f t="shared" si="19"/>
        <v>29841.603773584906</v>
      </c>
      <c r="X51" s="2">
        <f t="shared" si="11"/>
        <v>0</v>
      </c>
      <c r="Y51" s="18">
        <f t="shared" si="20"/>
        <v>17.836423106316424</v>
      </c>
      <c r="Z51" s="18">
        <f t="shared" si="21"/>
        <v>0</v>
      </c>
      <c r="AA51" s="2">
        <f t="shared" si="12"/>
        <v>532267.4710767092</v>
      </c>
    </row>
    <row r="52" spans="1:27" ht="12.75">
      <c r="A52">
        <v>1986</v>
      </c>
      <c r="C52" s="35">
        <f t="shared" si="7"/>
        <v>15787472</v>
      </c>
      <c r="D52" s="35">
        <v>-27191</v>
      </c>
      <c r="E52" s="35">
        <f>1716473-1082763+1206913</f>
        <v>1840623</v>
      </c>
      <c r="F52" s="35">
        <f>195717-93665+100927</f>
        <v>202979</v>
      </c>
      <c r="G52" s="35">
        <f aca="true" t="shared" si="24" ref="G52:G68">C52+D52+E52-F52</f>
        <v>17397925</v>
      </c>
      <c r="H52" s="28">
        <v>34.5</v>
      </c>
      <c r="I52" s="29">
        <v>0</v>
      </c>
      <c r="J52" s="29">
        <f>IF(I52=0,0,ROUND((I52/D52/$G$94)+H52,1))</f>
        <v>0</v>
      </c>
      <c r="R52" s="21">
        <f t="shared" si="10"/>
        <v>1986</v>
      </c>
      <c r="S52" s="4">
        <f t="shared" si="15"/>
        <v>1840623</v>
      </c>
      <c r="T52">
        <f t="shared" si="16"/>
        <v>0</v>
      </c>
      <c r="U52">
        <f t="shared" si="17"/>
        <v>53</v>
      </c>
      <c r="V52" s="1" t="str">
        <f t="shared" si="18"/>
        <v>R5</v>
      </c>
      <c r="W52" s="2">
        <f t="shared" si="19"/>
        <v>34728.735849056604</v>
      </c>
      <c r="X52" s="2">
        <f t="shared" si="11"/>
        <v>0</v>
      </c>
      <c r="Y52" s="18">
        <f t="shared" si="20"/>
        <v>18.761885628753397</v>
      </c>
      <c r="Z52" s="18">
        <f t="shared" si="21"/>
        <v>0</v>
      </c>
      <c r="AA52" s="2">
        <f t="shared" si="12"/>
        <v>651576.570031188</v>
      </c>
    </row>
    <row r="53" spans="1:27" ht="12.75">
      <c r="A53">
        <v>1987</v>
      </c>
      <c r="C53" s="35">
        <f aca="true" t="shared" si="25" ref="C53:C68">G52</f>
        <v>17397925</v>
      </c>
      <c r="D53" s="35">
        <v>-9731</v>
      </c>
      <c r="E53" s="35">
        <f>1979040-1206913+1166507</f>
        <v>1938634</v>
      </c>
      <c r="F53" s="35">
        <f>153268-100927+79411</f>
        <v>131752</v>
      </c>
      <c r="G53" s="35">
        <f t="shared" si="24"/>
        <v>19195076</v>
      </c>
      <c r="H53" s="28">
        <v>33.5</v>
      </c>
      <c r="I53" s="29">
        <v>0</v>
      </c>
      <c r="J53" s="29">
        <f aca="true" t="shared" si="26" ref="J53:J68">IF(I53=0,0,ROUND((I53/D53/$G$94)+H53,1))</f>
        <v>0</v>
      </c>
      <c r="R53" s="21">
        <f t="shared" si="10"/>
        <v>1987</v>
      </c>
      <c r="S53" s="4">
        <f t="shared" si="15"/>
        <v>1938634</v>
      </c>
      <c r="T53">
        <f t="shared" si="16"/>
        <v>0</v>
      </c>
      <c r="U53">
        <f t="shared" si="17"/>
        <v>53</v>
      </c>
      <c r="V53" s="1" t="str">
        <f t="shared" si="18"/>
        <v>R5</v>
      </c>
      <c r="W53" s="2">
        <f t="shared" si="19"/>
        <v>36578</v>
      </c>
      <c r="X53" s="2">
        <f t="shared" si="11"/>
        <v>0</v>
      </c>
      <c r="Y53" s="18">
        <f t="shared" si="20"/>
        <v>19.69983066732918</v>
      </c>
      <c r="Z53" s="18">
        <f t="shared" si="21"/>
        <v>0</v>
      </c>
      <c r="AA53" s="2">
        <f t="shared" si="12"/>
        <v>720580.4061495668</v>
      </c>
    </row>
    <row r="54" spans="1:27" ht="12.75">
      <c r="A54">
        <v>1988</v>
      </c>
      <c r="C54" s="35">
        <f t="shared" si="25"/>
        <v>19195076</v>
      </c>
      <c r="D54" s="35">
        <f>-7231+9731</f>
        <v>2500</v>
      </c>
      <c r="E54" s="35">
        <f>1809488-1166507+1749266</f>
        <v>2392247</v>
      </c>
      <c r="F54" s="35">
        <f>102690-79411+51894</f>
        <v>75173</v>
      </c>
      <c r="G54" s="35">
        <f t="shared" si="24"/>
        <v>21514650</v>
      </c>
      <c r="H54" s="28">
        <v>32.5</v>
      </c>
      <c r="I54" s="9">
        <v>0</v>
      </c>
      <c r="J54" s="29">
        <f t="shared" si="26"/>
        <v>0</v>
      </c>
      <c r="R54" s="21">
        <f t="shared" si="10"/>
        <v>1988</v>
      </c>
      <c r="S54" s="4">
        <f t="shared" si="15"/>
        <v>2392247</v>
      </c>
      <c r="T54">
        <f t="shared" si="16"/>
        <v>0</v>
      </c>
      <c r="U54">
        <f t="shared" si="17"/>
        <v>53</v>
      </c>
      <c r="V54" s="1" t="str">
        <f t="shared" si="18"/>
        <v>R5</v>
      </c>
      <c r="W54" s="2">
        <f t="shared" si="19"/>
        <v>45136.735849056604</v>
      </c>
      <c r="X54" s="2">
        <f t="shared" si="11"/>
        <v>0</v>
      </c>
      <c r="Y54" s="18">
        <f t="shared" si="20"/>
        <v>20.649109352645056</v>
      </c>
      <c r="Z54" s="18">
        <f t="shared" si="21"/>
        <v>0</v>
      </c>
      <c r="AA54" s="2">
        <f t="shared" si="12"/>
        <v>932033.3943686241</v>
      </c>
    </row>
    <row r="55" spans="1:27" ht="12.75">
      <c r="A55">
        <v>1989</v>
      </c>
      <c r="C55" s="35">
        <f t="shared" si="25"/>
        <v>21514650</v>
      </c>
      <c r="D55" s="35">
        <f>-3455-1692139</f>
        <v>-1695594</v>
      </c>
      <c r="E55" s="35">
        <f>2636613-1749266+1632201</f>
        <v>2519548</v>
      </c>
      <c r="F55" s="35">
        <f>96323-51894+22763</f>
        <v>67192</v>
      </c>
      <c r="G55" s="35">
        <f t="shared" si="24"/>
        <v>22271412</v>
      </c>
      <c r="H55" s="28">
        <v>31.5</v>
      </c>
      <c r="I55" s="29">
        <v>0</v>
      </c>
      <c r="J55" s="29">
        <f t="shared" si="26"/>
        <v>0</v>
      </c>
      <c r="R55" s="21">
        <f t="shared" si="10"/>
        <v>1989</v>
      </c>
      <c r="S55" s="4">
        <f t="shared" si="15"/>
        <v>2519548</v>
      </c>
      <c r="T55">
        <f t="shared" si="16"/>
        <v>0</v>
      </c>
      <c r="U55">
        <f t="shared" si="17"/>
        <v>53</v>
      </c>
      <c r="V55" s="1" t="str">
        <f t="shared" si="18"/>
        <v>R5</v>
      </c>
      <c r="W55" s="2">
        <f t="shared" si="19"/>
        <v>47538.64150943396</v>
      </c>
      <c r="X55" s="2">
        <f t="shared" si="11"/>
        <v>0</v>
      </c>
      <c r="Y55" s="18">
        <f t="shared" si="20"/>
        <v>21.608507677824402</v>
      </c>
      <c r="Z55" s="18">
        <f t="shared" si="21"/>
        <v>0</v>
      </c>
      <c r="AA55" s="2">
        <f t="shared" si="12"/>
        <v>1027239.1000499455</v>
      </c>
    </row>
    <row r="56" spans="1:27" ht="12.75">
      <c r="A56">
        <v>1990</v>
      </c>
      <c r="C56" s="35">
        <f t="shared" si="25"/>
        <v>22271412</v>
      </c>
      <c r="D56" s="35">
        <f>-1549594+1692139-13409</f>
        <v>129136</v>
      </c>
      <c r="E56" s="35">
        <f>2849031-1632201+1247666</f>
        <v>2464496</v>
      </c>
      <c r="F56" s="35">
        <f>95190-22763+139965</f>
        <v>212392</v>
      </c>
      <c r="G56" s="35">
        <f t="shared" si="24"/>
        <v>24652652</v>
      </c>
      <c r="H56" s="28">
        <v>30.5</v>
      </c>
      <c r="I56" s="29">
        <v>0</v>
      </c>
      <c r="J56" s="29">
        <f t="shared" si="26"/>
        <v>0</v>
      </c>
      <c r="R56" s="21">
        <f t="shared" si="10"/>
        <v>1990</v>
      </c>
      <c r="S56" s="4">
        <f t="shared" si="15"/>
        <v>2464496</v>
      </c>
      <c r="T56">
        <f t="shared" si="16"/>
        <v>0</v>
      </c>
      <c r="U56">
        <f t="shared" si="17"/>
        <v>53</v>
      </c>
      <c r="V56" s="1" t="str">
        <f t="shared" si="18"/>
        <v>R5</v>
      </c>
      <c r="W56" s="2">
        <f t="shared" si="19"/>
        <v>46499.92452830189</v>
      </c>
      <c r="X56" s="2">
        <f t="shared" si="11"/>
        <v>0</v>
      </c>
      <c r="Y56" s="18">
        <f t="shared" si="20"/>
        <v>22.57675295021907</v>
      </c>
      <c r="Z56" s="18">
        <f t="shared" si="21"/>
        <v>0</v>
      </c>
      <c r="AA56" s="2">
        <f t="shared" si="12"/>
        <v>1049817.3082793038</v>
      </c>
    </row>
    <row r="57" spans="1:27" ht="12.75">
      <c r="A57">
        <v>1991</v>
      </c>
      <c r="C57" s="35">
        <f t="shared" si="25"/>
        <v>24652652</v>
      </c>
      <c r="D57" s="35">
        <f>-126111+13409-5191</f>
        <v>-117893</v>
      </c>
      <c r="E57" s="35">
        <f>2769635-1247666+1602386</f>
        <v>3124355</v>
      </c>
      <c r="F57" s="35">
        <f>154415-139965+76951</f>
        <v>91401</v>
      </c>
      <c r="G57" s="35">
        <f t="shared" si="24"/>
        <v>27567713</v>
      </c>
      <c r="H57" s="28">
        <v>29.5</v>
      </c>
      <c r="I57" s="29">
        <v>0</v>
      </c>
      <c r="J57" s="29">
        <f t="shared" si="26"/>
        <v>0</v>
      </c>
      <c r="R57" s="21">
        <f t="shared" si="10"/>
        <v>1991</v>
      </c>
      <c r="S57" s="4">
        <f t="shared" si="15"/>
        <v>3124355</v>
      </c>
      <c r="T57">
        <f t="shared" si="16"/>
        <v>0</v>
      </c>
      <c r="U57">
        <f t="shared" si="17"/>
        <v>53</v>
      </c>
      <c r="V57" s="1" t="str">
        <f t="shared" si="18"/>
        <v>R5</v>
      </c>
      <c r="W57" s="2">
        <f t="shared" si="19"/>
        <v>58950.09433962264</v>
      </c>
      <c r="X57" s="2">
        <f t="shared" si="11"/>
        <v>0</v>
      </c>
      <c r="Y57" s="18">
        <f t="shared" si="20"/>
        <v>23.552551795109192</v>
      </c>
      <c r="Z57" s="18">
        <f t="shared" si="21"/>
        <v>0</v>
      </c>
      <c r="AA57" s="2">
        <f t="shared" si="12"/>
        <v>1388425.1502605355</v>
      </c>
    </row>
    <row r="58" spans="1:27" ht="12.75">
      <c r="A58">
        <v>1992</v>
      </c>
      <c r="C58" s="35">
        <f t="shared" si="25"/>
        <v>27567713</v>
      </c>
      <c r="D58" s="35">
        <f>-66868+5191</f>
        <v>-61677</v>
      </c>
      <c r="E58" s="35">
        <f>2337101-1602386+1418919</f>
        <v>2153634</v>
      </c>
      <c r="F58" s="35">
        <f>108003-76951+58481</f>
        <v>89533</v>
      </c>
      <c r="G58" s="35">
        <f t="shared" si="24"/>
        <v>29570137</v>
      </c>
      <c r="H58" s="28">
        <v>28.5</v>
      </c>
      <c r="I58" s="29"/>
      <c r="J58" s="29">
        <f t="shared" si="26"/>
        <v>0</v>
      </c>
      <c r="R58" s="21">
        <f t="shared" si="10"/>
        <v>1992</v>
      </c>
      <c r="S58" s="4">
        <f t="shared" si="15"/>
        <v>2153634</v>
      </c>
      <c r="T58">
        <f t="shared" si="16"/>
        <v>0</v>
      </c>
      <c r="U58">
        <f t="shared" si="17"/>
        <v>53</v>
      </c>
      <c r="V58" s="1" t="str">
        <f t="shared" si="18"/>
        <v>R5</v>
      </c>
      <c r="W58" s="2">
        <f t="shared" si="19"/>
        <v>40634.6037735849</v>
      </c>
      <c r="X58" s="2">
        <f t="shared" si="11"/>
        <v>0</v>
      </c>
      <c r="Y58" s="18">
        <f t="shared" si="20"/>
        <v>24.534635549448847</v>
      </c>
      <c r="Z58" s="18">
        <f t="shared" si="21"/>
        <v>0</v>
      </c>
      <c r="AA58" s="2">
        <f t="shared" si="12"/>
        <v>996955.1942811644</v>
      </c>
    </row>
    <row r="59" spans="1:27" ht="12.75">
      <c r="A59">
        <v>1993</v>
      </c>
      <c r="C59" s="35">
        <f t="shared" si="25"/>
        <v>29570137</v>
      </c>
      <c r="D59" s="35">
        <v>-4340</v>
      </c>
      <c r="E59" s="35">
        <f>2319227-1418919+1618663</f>
        <v>2518971</v>
      </c>
      <c r="F59" s="35">
        <f>97251-58481+24426</f>
        <v>63196</v>
      </c>
      <c r="G59" s="35">
        <f t="shared" si="24"/>
        <v>32021572</v>
      </c>
      <c r="H59" s="28">
        <v>27.5</v>
      </c>
      <c r="I59" s="29"/>
      <c r="J59" s="29">
        <f t="shared" si="26"/>
        <v>0</v>
      </c>
      <c r="R59" s="21">
        <f t="shared" si="10"/>
        <v>1993</v>
      </c>
      <c r="S59" s="4">
        <f t="shared" si="15"/>
        <v>2518971</v>
      </c>
      <c r="T59">
        <f t="shared" si="16"/>
        <v>0</v>
      </c>
      <c r="U59">
        <f t="shared" si="17"/>
        <v>53</v>
      </c>
      <c r="V59" s="1" t="str">
        <f t="shared" si="18"/>
        <v>R5</v>
      </c>
      <c r="W59" s="2">
        <f t="shared" si="19"/>
        <v>47527.75471698113</v>
      </c>
      <c r="X59" s="2">
        <f t="shared" si="11"/>
        <v>0</v>
      </c>
      <c r="Y59" s="18">
        <f t="shared" si="20"/>
        <v>25.521801797672246</v>
      </c>
      <c r="Z59" s="18">
        <f t="shared" si="21"/>
        <v>0</v>
      </c>
      <c r="AA59" s="2">
        <f t="shared" si="12"/>
        <v>1212993.9357751745</v>
      </c>
    </row>
    <row r="60" spans="1:27" ht="12.75">
      <c r="A60">
        <v>1994</v>
      </c>
      <c r="C60" s="35">
        <f t="shared" si="25"/>
        <v>32021572</v>
      </c>
      <c r="D60" s="35">
        <f>-132561</f>
        <v>-132561</v>
      </c>
      <c r="E60" s="35">
        <f>2488490-1618663+1528278</f>
        <v>2398105</v>
      </c>
      <c r="F60" s="35">
        <f>38564-24426+59336</f>
        <v>73474</v>
      </c>
      <c r="G60" s="35">
        <f t="shared" si="24"/>
        <v>34213642</v>
      </c>
      <c r="H60" s="28">
        <v>26.5</v>
      </c>
      <c r="I60" s="29">
        <v>0</v>
      </c>
      <c r="J60" s="29">
        <f t="shared" si="26"/>
        <v>0</v>
      </c>
      <c r="R60" s="21">
        <f t="shared" si="10"/>
        <v>1994</v>
      </c>
      <c r="S60" s="4">
        <f t="shared" si="15"/>
        <v>2398105</v>
      </c>
      <c r="T60">
        <f t="shared" si="16"/>
        <v>0</v>
      </c>
      <c r="U60">
        <f t="shared" si="17"/>
        <v>53</v>
      </c>
      <c r="V60" s="1" t="str">
        <f t="shared" si="18"/>
        <v>R5</v>
      </c>
      <c r="W60" s="2">
        <f t="shared" si="19"/>
        <v>45247.264150943396</v>
      </c>
      <c r="X60" s="2">
        <f t="shared" si="11"/>
        <v>0</v>
      </c>
      <c r="Y60" s="18">
        <f t="shared" si="20"/>
        <v>26.51294931229341</v>
      </c>
      <c r="Z60" s="18">
        <f t="shared" si="21"/>
        <v>0</v>
      </c>
      <c r="AA60" s="2">
        <f t="shared" si="12"/>
        <v>1199638.4209539131</v>
      </c>
    </row>
    <row r="61" spans="1:27" ht="12.75">
      <c r="A61">
        <v>1995</v>
      </c>
      <c r="C61" s="35">
        <f t="shared" si="25"/>
        <v>34213642</v>
      </c>
      <c r="D61" s="35">
        <f>-154868+132561</f>
        <v>-22307</v>
      </c>
      <c r="E61" s="35">
        <f>2729958-1528278+1989419</f>
        <v>3191099</v>
      </c>
      <c r="F61" s="35">
        <f>104902-59336+59803</f>
        <v>105369</v>
      </c>
      <c r="G61" s="35">
        <f t="shared" si="24"/>
        <v>37277065</v>
      </c>
      <c r="H61" s="28">
        <v>25.5</v>
      </c>
      <c r="I61" s="29"/>
      <c r="J61" s="29">
        <f t="shared" si="26"/>
        <v>0</v>
      </c>
      <c r="R61" s="21">
        <f t="shared" si="10"/>
        <v>1995</v>
      </c>
      <c r="S61" s="4">
        <f t="shared" si="15"/>
        <v>3191099</v>
      </c>
      <c r="T61">
        <f t="shared" si="16"/>
        <v>0</v>
      </c>
      <c r="U61">
        <f t="shared" si="17"/>
        <v>53</v>
      </c>
      <c r="V61" s="1" t="str">
        <f t="shared" si="18"/>
        <v>R5</v>
      </c>
      <c r="W61" s="2">
        <f t="shared" si="19"/>
        <v>60209.41509433962</v>
      </c>
      <c r="X61" s="2">
        <f t="shared" si="11"/>
        <v>0</v>
      </c>
      <c r="Y61" s="18">
        <f t="shared" si="20"/>
        <v>27.50710473198731</v>
      </c>
      <c r="Z61" s="18">
        <f t="shared" si="21"/>
        <v>0</v>
      </c>
      <c r="AA61" s="2">
        <f t="shared" si="12"/>
        <v>1656186.6868516977</v>
      </c>
    </row>
    <row r="62" spans="1:27" ht="12.75">
      <c r="A62">
        <v>1996</v>
      </c>
      <c r="C62" s="35">
        <f t="shared" si="25"/>
        <v>37277065</v>
      </c>
      <c r="D62" s="35">
        <v>-11262</v>
      </c>
      <c r="E62" s="35">
        <f>2741032-1989419+1875481</f>
        <v>2627094</v>
      </c>
      <c r="F62" s="35">
        <f>113852-59803+89595</f>
        <v>143644</v>
      </c>
      <c r="G62" s="35">
        <f t="shared" si="24"/>
        <v>39749253</v>
      </c>
      <c r="H62" s="28">
        <v>24.5</v>
      </c>
      <c r="I62" s="29">
        <v>0</v>
      </c>
      <c r="J62" s="29">
        <f t="shared" si="26"/>
        <v>0</v>
      </c>
      <c r="R62" s="21">
        <f t="shared" si="10"/>
        <v>1996</v>
      </c>
      <c r="S62" s="4">
        <f t="shared" si="15"/>
        <v>2627094</v>
      </c>
      <c r="T62">
        <f t="shared" si="16"/>
        <v>0</v>
      </c>
      <c r="U62">
        <f t="shared" si="17"/>
        <v>53</v>
      </c>
      <c r="V62" s="1" t="str">
        <f t="shared" si="18"/>
        <v>R5</v>
      </c>
      <c r="W62" s="2">
        <f t="shared" si="19"/>
        <v>49567.811320754714</v>
      </c>
      <c r="X62" s="2">
        <f t="shared" si="11"/>
        <v>0</v>
      </c>
      <c r="Y62" s="18">
        <f t="shared" si="20"/>
        <v>28.503439829564915</v>
      </c>
      <c r="Z62" s="18">
        <f t="shared" si="21"/>
        <v>0</v>
      </c>
      <c r="AA62" s="2">
        <f t="shared" si="12"/>
        <v>1412853.1274643587</v>
      </c>
    </row>
    <row r="63" spans="1:27" ht="12.75">
      <c r="A63">
        <v>1997</v>
      </c>
      <c r="C63" s="35">
        <f t="shared" si="25"/>
        <v>39749253</v>
      </c>
      <c r="D63" s="35">
        <v>1000</v>
      </c>
      <c r="E63" s="35">
        <v>2772515</v>
      </c>
      <c r="F63" s="35">
        <v>145370</v>
      </c>
      <c r="G63" s="35">
        <f t="shared" si="24"/>
        <v>42377398</v>
      </c>
      <c r="H63" s="28">
        <v>23.5</v>
      </c>
      <c r="I63" s="9">
        <v>638</v>
      </c>
      <c r="J63" s="29">
        <f t="shared" si="26"/>
        <v>49</v>
      </c>
      <c r="R63" s="21">
        <f t="shared" si="10"/>
        <v>1997</v>
      </c>
      <c r="S63" s="4">
        <f t="shared" si="15"/>
        <v>2772515</v>
      </c>
      <c r="T63">
        <f t="shared" si="16"/>
        <v>1000</v>
      </c>
      <c r="U63">
        <f t="shared" si="17"/>
        <v>53</v>
      </c>
      <c r="V63" s="1" t="str">
        <f t="shared" si="18"/>
        <v>R5</v>
      </c>
      <c r="W63" s="2">
        <f t="shared" si="19"/>
        <v>52311.6037735849</v>
      </c>
      <c r="X63" s="2">
        <f t="shared" si="11"/>
        <v>18.867924528301888</v>
      </c>
      <c r="Y63" s="18">
        <f t="shared" si="20"/>
        <v>29.501278872021743</v>
      </c>
      <c r="Z63" s="18">
        <f t="shared" si="21"/>
        <v>7.04140834432909</v>
      </c>
      <c r="AA63" s="2">
        <f t="shared" si="12"/>
        <v>1543392.067928447</v>
      </c>
    </row>
    <row r="64" spans="1:27" ht="12.75">
      <c r="A64">
        <v>1998</v>
      </c>
      <c r="C64" s="35">
        <f t="shared" si="25"/>
        <v>42377398</v>
      </c>
      <c r="D64" s="35">
        <v>0</v>
      </c>
      <c r="E64" s="35">
        <v>4460035</v>
      </c>
      <c r="F64" s="35">
        <v>338435</v>
      </c>
      <c r="G64" s="35">
        <f t="shared" si="24"/>
        <v>46498998</v>
      </c>
      <c r="H64" s="28">
        <v>22.5</v>
      </c>
      <c r="I64" s="29"/>
      <c r="J64" s="29">
        <f t="shared" si="26"/>
        <v>0</v>
      </c>
      <c r="R64" s="21">
        <f t="shared" si="10"/>
        <v>1998</v>
      </c>
      <c r="S64" s="4">
        <f t="shared" si="15"/>
        <v>4460035</v>
      </c>
      <c r="T64">
        <f t="shared" si="16"/>
        <v>0</v>
      </c>
      <c r="U64">
        <f t="shared" si="17"/>
        <v>53</v>
      </c>
      <c r="V64" s="1" t="str">
        <f t="shared" si="18"/>
        <v>R5</v>
      </c>
      <c r="W64" s="2">
        <f t="shared" si="19"/>
        <v>84151.60377358491</v>
      </c>
      <c r="X64" s="2">
        <f t="shared" si="11"/>
        <v>0</v>
      </c>
      <c r="Y64" s="18">
        <f t="shared" si="20"/>
        <v>30.50009630303341</v>
      </c>
      <c r="Z64" s="18">
        <f t="shared" si="21"/>
        <v>0</v>
      </c>
      <c r="AA64" s="2">
        <f t="shared" si="12"/>
        <v>2566632.019149049</v>
      </c>
    </row>
    <row r="65" spans="1:27" ht="12.75">
      <c r="A65">
        <v>1999</v>
      </c>
      <c r="C65" s="35">
        <f t="shared" si="25"/>
        <v>46498998</v>
      </c>
      <c r="D65" s="35">
        <v>-1417</v>
      </c>
      <c r="E65" s="35">
        <v>3295415</v>
      </c>
      <c r="F65" s="35">
        <v>67788</v>
      </c>
      <c r="G65" s="35">
        <f t="shared" si="24"/>
        <v>49725208</v>
      </c>
      <c r="H65" s="28">
        <v>21.5</v>
      </c>
      <c r="I65" s="29">
        <v>0</v>
      </c>
      <c r="J65" s="29">
        <f t="shared" si="26"/>
        <v>0</v>
      </c>
      <c r="R65" s="21">
        <f t="shared" si="10"/>
        <v>1999</v>
      </c>
      <c r="S65" s="4">
        <f t="shared" si="15"/>
        <v>3295415</v>
      </c>
      <c r="T65">
        <f t="shared" si="16"/>
        <v>0</v>
      </c>
      <c r="U65">
        <f t="shared" si="17"/>
        <v>53</v>
      </c>
      <c r="V65" s="1" t="str">
        <f t="shared" si="18"/>
        <v>R5</v>
      </c>
      <c r="W65" s="2">
        <f t="shared" si="19"/>
        <v>62177.64150943396</v>
      </c>
      <c r="X65" s="2">
        <f t="shared" si="11"/>
        <v>0</v>
      </c>
      <c r="Y65" s="18">
        <f t="shared" si="20"/>
        <v>31.499505721952534</v>
      </c>
      <c r="Z65" s="18">
        <f t="shared" si="21"/>
        <v>0</v>
      </c>
      <c r="AA65" s="2">
        <f t="shared" si="12"/>
        <v>1958564.9745039286</v>
      </c>
    </row>
    <row r="66" spans="1:27" ht="12.75">
      <c r="A66">
        <v>2000</v>
      </c>
      <c r="C66" s="35">
        <f t="shared" si="25"/>
        <v>49725208</v>
      </c>
      <c r="D66" s="35">
        <v>-3948</v>
      </c>
      <c r="E66" s="35">
        <v>3191898</v>
      </c>
      <c r="F66" s="35">
        <v>248859</v>
      </c>
      <c r="G66" s="35">
        <f t="shared" si="24"/>
        <v>52664299</v>
      </c>
      <c r="H66" s="28">
        <v>20.5</v>
      </c>
      <c r="I66" s="29"/>
      <c r="J66" s="29">
        <f t="shared" si="26"/>
        <v>0</v>
      </c>
      <c r="R66" s="21">
        <f t="shared" si="10"/>
        <v>2000</v>
      </c>
      <c r="S66" s="4">
        <f t="shared" si="15"/>
        <v>3191898</v>
      </c>
      <c r="T66">
        <f t="shared" si="16"/>
        <v>0</v>
      </c>
      <c r="U66">
        <f t="shared" si="17"/>
        <v>53</v>
      </c>
      <c r="V66" s="1" t="str">
        <f t="shared" si="18"/>
        <v>R5</v>
      </c>
      <c r="W66" s="2">
        <f t="shared" si="19"/>
        <v>60224.49056603773</v>
      </c>
      <c r="X66" s="2">
        <f t="shared" si="11"/>
        <v>0</v>
      </c>
      <c r="Y66" s="18">
        <f t="shared" si="20"/>
        <v>32.49924182718671</v>
      </c>
      <c r="Z66" s="18">
        <f t="shared" si="21"/>
        <v>0</v>
      </c>
      <c r="AA66" s="2">
        <f t="shared" si="12"/>
        <v>1957250.2828247848</v>
      </c>
    </row>
    <row r="67" spans="1:27" ht="12.75">
      <c r="A67">
        <v>2001</v>
      </c>
      <c r="C67" s="35">
        <f t="shared" si="25"/>
        <v>52664299</v>
      </c>
      <c r="D67" s="35">
        <v>6556</v>
      </c>
      <c r="E67" s="35">
        <v>1634379</v>
      </c>
      <c r="F67" s="35">
        <v>59039</v>
      </c>
      <c r="G67" s="35">
        <f t="shared" si="24"/>
        <v>54246195</v>
      </c>
      <c r="H67" s="28">
        <v>19.5</v>
      </c>
      <c r="I67" s="9">
        <v>246</v>
      </c>
      <c r="J67" s="29">
        <f t="shared" si="26"/>
        <v>21</v>
      </c>
      <c r="R67" s="21">
        <f t="shared" si="10"/>
        <v>2001</v>
      </c>
      <c r="S67" s="4">
        <f t="shared" si="15"/>
        <v>1634379</v>
      </c>
      <c r="T67">
        <f t="shared" si="16"/>
        <v>6556</v>
      </c>
      <c r="U67">
        <f t="shared" si="17"/>
        <v>53</v>
      </c>
      <c r="V67" s="1" t="str">
        <f t="shared" si="18"/>
        <v>R5</v>
      </c>
      <c r="W67" s="2">
        <f t="shared" si="19"/>
        <v>30837.33962264151</v>
      </c>
      <c r="X67" s="2">
        <f t="shared" si="11"/>
        <v>123.69811320754717</v>
      </c>
      <c r="Y67" s="18">
        <f>Prob_life($V$67,H67,$U$67)</f>
        <v>33.499137571796794</v>
      </c>
      <c r="Z67" s="18">
        <f t="shared" si="21"/>
        <v>31.499505721952534</v>
      </c>
      <c r="AA67" s="2">
        <f t="shared" si="12"/>
        <v>1036920.711791864</v>
      </c>
    </row>
    <row r="68" spans="1:27" ht="12.75">
      <c r="A68">
        <v>2002</v>
      </c>
      <c r="C68" s="35">
        <f t="shared" si="25"/>
        <v>54246195</v>
      </c>
      <c r="D68" s="35">
        <v>0</v>
      </c>
      <c r="E68" s="35">
        <v>1118712.41</v>
      </c>
      <c r="F68" s="35">
        <v>111651</v>
      </c>
      <c r="G68" s="35">
        <f t="shared" si="24"/>
        <v>55253256.41</v>
      </c>
      <c r="H68" s="28">
        <v>18.5</v>
      </c>
      <c r="I68" s="29">
        <v>0</v>
      </c>
      <c r="J68" s="29">
        <f t="shared" si="26"/>
        <v>0</v>
      </c>
      <c r="R68" s="21">
        <f t="shared" si="10"/>
        <v>2002</v>
      </c>
      <c r="S68" s="4">
        <f t="shared" si="15"/>
        <v>1118712.41</v>
      </c>
      <c r="T68">
        <f t="shared" si="16"/>
        <v>0</v>
      </c>
      <c r="U68">
        <f t="shared" si="17"/>
        <v>53</v>
      </c>
      <c r="V68" s="1" t="str">
        <f t="shared" si="18"/>
        <v>R5</v>
      </c>
      <c r="W68" s="2">
        <f t="shared" si="19"/>
        <v>21107.781320754715</v>
      </c>
      <c r="X68" s="2">
        <f t="shared" si="11"/>
        <v>0</v>
      </c>
      <c r="Y68" s="18">
        <f aca="true" t="shared" si="27" ref="Y68:Y75">Prob_life(V68,H68,U68)</f>
        <v>34.49909918339434</v>
      </c>
      <c r="Z68" s="18">
        <f t="shared" si="21"/>
        <v>0</v>
      </c>
      <c r="AA68" s="2">
        <f t="shared" si="12"/>
        <v>728199.4413261154</v>
      </c>
    </row>
    <row r="69" spans="1:27" ht="12.75">
      <c r="A69">
        <v>2003</v>
      </c>
      <c r="C69" s="35">
        <f aca="true" t="shared" si="28" ref="C69:C75">G68</f>
        <v>55253256.41</v>
      </c>
      <c r="D69" s="35">
        <v>0</v>
      </c>
      <c r="E69" s="35">
        <v>1493803</v>
      </c>
      <c r="F69" s="35">
        <v>52274</v>
      </c>
      <c r="G69" s="35">
        <f aca="true" t="shared" si="29" ref="G69:G75">C69+D69+E69-F69</f>
        <v>56694785.41</v>
      </c>
      <c r="H69" s="28">
        <v>17.5</v>
      </c>
      <c r="I69" s="29">
        <v>0</v>
      </c>
      <c r="J69" s="29">
        <f>IF(I69=0,0,ROUND((I69/D69/$G$94)+H69,1))</f>
        <v>0</v>
      </c>
      <c r="R69" s="21">
        <f t="shared" si="10"/>
        <v>2003</v>
      </c>
      <c r="S69" s="4">
        <f aca="true" t="shared" si="30" ref="S69:S75">E69</f>
        <v>1493803</v>
      </c>
      <c r="T69">
        <f aca="true" t="shared" si="31" ref="T69:T75">IF(D69&gt;0,IF(J69&gt;0,D69,0),0)</f>
        <v>0</v>
      </c>
      <c r="U69">
        <f t="shared" si="17"/>
        <v>53</v>
      </c>
      <c r="V69" s="1" t="str">
        <f t="shared" si="18"/>
        <v>R5</v>
      </c>
      <c r="W69" s="2">
        <f aca="true" t="shared" si="32" ref="W69:W75">S69/U69</f>
        <v>28184.962264150945</v>
      </c>
      <c r="X69" s="2">
        <f aca="true" t="shared" si="33" ref="X69:X75">T69/U69</f>
        <v>0</v>
      </c>
      <c r="Y69" s="18">
        <f t="shared" si="27"/>
        <v>35.49908266578791</v>
      </c>
      <c r="Z69" s="18">
        <f aca="true" t="shared" si="34" ref="Z69:Z75">IF(J69&gt;0,Prob_life(V69,J69+0.5,U69),0)</f>
        <v>0</v>
      </c>
      <c r="AA69" s="2">
        <f aca="true" t="shared" si="35" ref="AA69:AA75">W69*Y69+X69*Z69</f>
        <v>1000540.3053472071</v>
      </c>
    </row>
    <row r="70" spans="1:27" ht="12.75">
      <c r="A70">
        <v>2004</v>
      </c>
      <c r="C70" s="35">
        <f t="shared" si="28"/>
        <v>56694785.41</v>
      </c>
      <c r="D70" s="35">
        <v>54324</v>
      </c>
      <c r="E70" s="35">
        <v>1866444</v>
      </c>
      <c r="F70" s="35">
        <v>156346</v>
      </c>
      <c r="G70" s="35">
        <f t="shared" si="29"/>
        <v>58459207.41</v>
      </c>
      <c r="H70" s="28">
        <v>16.5</v>
      </c>
      <c r="I70" s="29">
        <v>0</v>
      </c>
      <c r="J70" s="29">
        <f>IF(I70=0,0,ROUND((I70/D70/$G$94)+H70,1))</f>
        <v>0</v>
      </c>
      <c r="R70" s="21">
        <f t="shared" si="10"/>
        <v>2004</v>
      </c>
      <c r="S70" s="4">
        <f t="shared" si="30"/>
        <v>1866444</v>
      </c>
      <c r="T70">
        <f t="shared" si="31"/>
        <v>0</v>
      </c>
      <c r="U70">
        <f t="shared" si="17"/>
        <v>53</v>
      </c>
      <c r="V70" s="1" t="str">
        <f t="shared" si="18"/>
        <v>R5</v>
      </c>
      <c r="W70" s="2">
        <f t="shared" si="32"/>
        <v>35215.92452830189</v>
      </c>
      <c r="X70" s="2">
        <f t="shared" si="33"/>
        <v>0</v>
      </c>
      <c r="Y70" s="18">
        <f t="shared" si="27"/>
        <v>36.49908266578791</v>
      </c>
      <c r="Z70" s="18">
        <f t="shared" si="34"/>
        <v>0</v>
      </c>
      <c r="AA70" s="2">
        <f t="shared" si="35"/>
        <v>1285348.9405106388</v>
      </c>
    </row>
    <row r="71" spans="1:27" ht="12.75">
      <c r="A71">
        <v>2005</v>
      </c>
      <c r="C71" s="35">
        <f t="shared" si="28"/>
        <v>58459207.41</v>
      </c>
      <c r="D71" s="35">
        <v>117601.23</v>
      </c>
      <c r="E71" s="35">
        <v>1634459.18</v>
      </c>
      <c r="F71" s="35">
        <v>80120.16</v>
      </c>
      <c r="G71" s="35">
        <f t="shared" si="29"/>
        <v>60131147.66</v>
      </c>
      <c r="H71" s="28">
        <v>15.5</v>
      </c>
      <c r="I71" s="29">
        <v>0</v>
      </c>
      <c r="J71" s="29">
        <f>IF(I71=0,0,ROUND((I71/D71/$G$94)+H71,1))</f>
        <v>0</v>
      </c>
      <c r="R71" s="21">
        <f>A71</f>
        <v>2005</v>
      </c>
      <c r="S71" s="4">
        <f t="shared" si="30"/>
        <v>1634459.18</v>
      </c>
      <c r="T71">
        <f t="shared" si="31"/>
        <v>0</v>
      </c>
      <c r="U71">
        <f t="shared" si="17"/>
        <v>53</v>
      </c>
      <c r="V71" s="1" t="str">
        <f t="shared" si="18"/>
        <v>R5</v>
      </c>
      <c r="W71" s="2">
        <f t="shared" si="32"/>
        <v>30838.852452830186</v>
      </c>
      <c r="X71" s="2">
        <f t="shared" si="33"/>
        <v>0</v>
      </c>
      <c r="Y71" s="18">
        <f t="shared" si="27"/>
        <v>37.49908266578791</v>
      </c>
      <c r="Z71" s="18">
        <f t="shared" si="34"/>
        <v>0</v>
      </c>
      <c r="AA71" s="2">
        <f t="shared" si="35"/>
        <v>1156428.6774467153</v>
      </c>
    </row>
    <row r="72" spans="1:27" ht="12.75">
      <c r="A72">
        <v>2006</v>
      </c>
      <c r="C72" s="35">
        <f>G71</f>
        <v>60131147.66</v>
      </c>
      <c r="D72" s="35">
        <v>0</v>
      </c>
      <c r="E72" s="35">
        <v>1344631.97</v>
      </c>
      <c r="F72" s="35">
        <v>52645.78</v>
      </c>
      <c r="G72" s="35">
        <f t="shared" si="29"/>
        <v>61423133.849999994</v>
      </c>
      <c r="H72" s="28">
        <v>14.5</v>
      </c>
      <c r="I72" s="29">
        <v>0</v>
      </c>
      <c r="J72" s="29">
        <f>IF(I72=0,0,ROUND((I72/D72/$G$94)+H72,1))</f>
        <v>0</v>
      </c>
      <c r="R72" s="21">
        <f>A72</f>
        <v>2006</v>
      </c>
      <c r="S72" s="4">
        <f t="shared" si="30"/>
        <v>1344631.97</v>
      </c>
      <c r="T72">
        <f t="shared" si="31"/>
        <v>0</v>
      </c>
      <c r="U72">
        <f t="shared" si="17"/>
        <v>53</v>
      </c>
      <c r="V72" s="1" t="str">
        <f t="shared" si="18"/>
        <v>R5</v>
      </c>
      <c r="W72" s="2">
        <f t="shared" si="32"/>
        <v>25370.414528301888</v>
      </c>
      <c r="X72" s="2">
        <f t="shared" si="33"/>
        <v>0</v>
      </c>
      <c r="Y72" s="18">
        <f t="shared" si="27"/>
        <v>38.49908266578791</v>
      </c>
      <c r="Z72" s="18">
        <f t="shared" si="34"/>
        <v>0</v>
      </c>
      <c r="AA72" s="2">
        <f t="shared" si="35"/>
        <v>976737.686190401</v>
      </c>
    </row>
    <row r="73" spans="1:27" ht="12.75">
      <c r="A73">
        <v>2007</v>
      </c>
      <c r="C73" s="35">
        <f t="shared" si="28"/>
        <v>61423133.849999994</v>
      </c>
      <c r="D73" s="35">
        <v>102.28</v>
      </c>
      <c r="E73" s="35">
        <v>1099900.67</v>
      </c>
      <c r="F73" s="35">
        <v>220944.24</v>
      </c>
      <c r="G73" s="35">
        <f t="shared" si="29"/>
        <v>62302192.559999995</v>
      </c>
      <c r="H73" s="28">
        <v>13.5</v>
      </c>
      <c r="I73" s="29"/>
      <c r="J73" s="29"/>
      <c r="R73" s="21">
        <f>A73</f>
        <v>2007</v>
      </c>
      <c r="S73" s="4">
        <f t="shared" si="30"/>
        <v>1099900.67</v>
      </c>
      <c r="T73">
        <f t="shared" si="31"/>
        <v>0</v>
      </c>
      <c r="U73">
        <f t="shared" si="17"/>
        <v>53</v>
      </c>
      <c r="V73" s="1" t="str">
        <f t="shared" si="18"/>
        <v>R5</v>
      </c>
      <c r="W73" s="2">
        <f t="shared" si="32"/>
        <v>20752.842830188678</v>
      </c>
      <c r="X73" s="2">
        <f t="shared" si="33"/>
        <v>0</v>
      </c>
      <c r="Y73" s="18">
        <f t="shared" si="27"/>
        <v>39.49908266578791</v>
      </c>
      <c r="Z73" s="18">
        <f t="shared" si="34"/>
        <v>0</v>
      </c>
      <c r="AA73" s="2">
        <f t="shared" si="35"/>
        <v>819718.2544997265</v>
      </c>
    </row>
    <row r="74" spans="1:27" ht="12.75">
      <c r="A74">
        <v>2008</v>
      </c>
      <c r="C74" s="35">
        <f t="shared" si="28"/>
        <v>62302192.559999995</v>
      </c>
      <c r="D74" s="35">
        <v>1034.47</v>
      </c>
      <c r="E74" s="35">
        <v>2210011.83</v>
      </c>
      <c r="F74" s="35">
        <v>270986.21</v>
      </c>
      <c r="G74" s="35">
        <f t="shared" si="29"/>
        <v>64242252.64999999</v>
      </c>
      <c r="H74" s="28">
        <v>12.5</v>
      </c>
      <c r="I74" s="29"/>
      <c r="J74" s="29"/>
      <c r="R74" s="21">
        <f>A74</f>
        <v>2008</v>
      </c>
      <c r="S74" s="4">
        <f t="shared" si="30"/>
        <v>2210011.83</v>
      </c>
      <c r="T74">
        <f t="shared" si="31"/>
        <v>0</v>
      </c>
      <c r="U74">
        <f t="shared" si="17"/>
        <v>53</v>
      </c>
      <c r="V74" s="1" t="str">
        <f t="shared" si="18"/>
        <v>R5</v>
      </c>
      <c r="W74" s="2">
        <f t="shared" si="32"/>
        <v>41698.33641509434</v>
      </c>
      <c r="X74" s="2">
        <f t="shared" si="33"/>
        <v>0</v>
      </c>
      <c r="Y74" s="18">
        <f t="shared" si="27"/>
        <v>40.49908266578791</v>
      </c>
      <c r="Z74" s="18">
        <f t="shared" si="34"/>
        <v>0</v>
      </c>
      <c r="AA74" s="2">
        <f t="shared" si="35"/>
        <v>1688744.37350074</v>
      </c>
    </row>
    <row r="75" spans="1:27" ht="12.75">
      <c r="A75" s="29">
        <v>2009</v>
      </c>
      <c r="C75" s="35">
        <f t="shared" si="28"/>
        <v>64242252.64999999</v>
      </c>
      <c r="D75" s="35">
        <v>0</v>
      </c>
      <c r="E75" s="35">
        <v>1821352.28</v>
      </c>
      <c r="F75" s="35">
        <v>88857.89</v>
      </c>
      <c r="G75" s="35">
        <f t="shared" si="29"/>
        <v>65974747.03999999</v>
      </c>
      <c r="H75" s="28">
        <v>11.5</v>
      </c>
      <c r="I75" s="29"/>
      <c r="J75" s="29"/>
      <c r="R75" s="21">
        <f>A75</f>
        <v>2009</v>
      </c>
      <c r="S75" s="4">
        <f t="shared" si="30"/>
        <v>1821352.28</v>
      </c>
      <c r="T75">
        <f t="shared" si="31"/>
        <v>0</v>
      </c>
      <c r="U75">
        <f t="shared" si="17"/>
        <v>53</v>
      </c>
      <c r="V75" s="1" t="str">
        <f t="shared" si="18"/>
        <v>R5</v>
      </c>
      <c r="W75" s="2">
        <f t="shared" si="32"/>
        <v>34365.13735849057</v>
      </c>
      <c r="X75" s="2">
        <f t="shared" si="33"/>
        <v>0</v>
      </c>
      <c r="Y75" s="18">
        <f t="shared" si="27"/>
        <v>41.49908266578791</v>
      </c>
      <c r="Z75" s="18">
        <f t="shared" si="34"/>
        <v>0</v>
      </c>
      <c r="AA75" s="2">
        <f t="shared" si="35"/>
        <v>1426121.6760611564</v>
      </c>
    </row>
    <row r="76" spans="1:27" ht="12.75">
      <c r="A76" s="29">
        <v>2010</v>
      </c>
      <c r="C76" s="35">
        <f aca="true" t="shared" si="36" ref="C76:C86">G75</f>
        <v>65974747.03999999</v>
      </c>
      <c r="D76" s="35">
        <v>-3000</v>
      </c>
      <c r="E76" s="35">
        <v>1946239.65</v>
      </c>
      <c r="F76" s="35">
        <v>92785.42</v>
      </c>
      <c r="G76" s="35">
        <f aca="true" t="shared" si="37" ref="G76:G86">C76+D76+E76-F76</f>
        <v>67825201.27</v>
      </c>
      <c r="H76" s="28">
        <v>10.5</v>
      </c>
      <c r="I76" s="29"/>
      <c r="J76" s="29"/>
      <c r="R76" s="21">
        <f aca="true" t="shared" si="38" ref="R76:R86">A76</f>
        <v>2010</v>
      </c>
      <c r="S76" s="4">
        <f aca="true" t="shared" si="39" ref="S76:S86">E76</f>
        <v>1946239.65</v>
      </c>
      <c r="T76">
        <f aca="true" t="shared" si="40" ref="T76:T86">IF(D76&gt;0,IF(J76&gt;0,D76,0),0)</f>
        <v>0</v>
      </c>
      <c r="U76">
        <f t="shared" si="17"/>
        <v>53</v>
      </c>
      <c r="V76" s="1" t="str">
        <f t="shared" si="18"/>
        <v>R5</v>
      </c>
      <c r="W76" s="2">
        <f aca="true" t="shared" si="41" ref="W76:W86">S76/U76</f>
        <v>36721.50283018868</v>
      </c>
      <c r="X76" s="2">
        <f aca="true" t="shared" si="42" ref="X76:X86">T76/U76</f>
        <v>0</v>
      </c>
      <c r="Y76" s="18">
        <f aca="true" t="shared" si="43" ref="Y76:Y86">Prob_life(V76,H76,U76)</f>
        <v>42.49908266578791</v>
      </c>
      <c r="Z76" s="18">
        <f aca="true" t="shared" si="44" ref="Z76:Z86">IF(J76&gt;0,Prob_life(V76,J76+0.5,U76),0)</f>
        <v>0</v>
      </c>
      <c r="AA76" s="2">
        <f aca="true" t="shared" si="45" ref="AA76:AA86">W76*Y76+X76*Z76</f>
        <v>1560630.1843921533</v>
      </c>
    </row>
    <row r="77" spans="1:27" ht="12.75">
      <c r="A77" s="29">
        <v>2011</v>
      </c>
      <c r="C77" s="35">
        <f t="shared" si="36"/>
        <v>67825201.27</v>
      </c>
      <c r="D77" s="35">
        <v>5896.47</v>
      </c>
      <c r="E77" s="35">
        <v>1384936.13</v>
      </c>
      <c r="F77" s="35">
        <v>227608.6</v>
      </c>
      <c r="G77" s="35">
        <f t="shared" si="37"/>
        <v>68988425.27</v>
      </c>
      <c r="H77" s="28">
        <v>9.5</v>
      </c>
      <c r="I77" s="29"/>
      <c r="J77" s="29"/>
      <c r="R77" s="21">
        <f t="shared" si="38"/>
        <v>2011</v>
      </c>
      <c r="S77" s="4">
        <f t="shared" si="39"/>
        <v>1384936.13</v>
      </c>
      <c r="T77">
        <f t="shared" si="40"/>
        <v>0</v>
      </c>
      <c r="U77">
        <f t="shared" si="17"/>
        <v>53</v>
      </c>
      <c r="V77" s="1" t="str">
        <f t="shared" si="18"/>
        <v>R5</v>
      </c>
      <c r="W77" s="2">
        <f t="shared" si="41"/>
        <v>26130.87037735849</v>
      </c>
      <c r="X77" s="2">
        <f t="shared" si="42"/>
        <v>0</v>
      </c>
      <c r="Y77" s="18">
        <f t="shared" si="43"/>
        <v>43.49908266578791</v>
      </c>
      <c r="Z77" s="18">
        <f t="shared" si="44"/>
        <v>0</v>
      </c>
      <c r="AA77" s="2">
        <f t="shared" si="45"/>
        <v>1136668.8906737054</v>
      </c>
    </row>
    <row r="78" spans="1:27" ht="12.75">
      <c r="A78" s="29">
        <v>2012</v>
      </c>
      <c r="C78" s="35">
        <f t="shared" si="36"/>
        <v>68988425.27</v>
      </c>
      <c r="D78" s="35">
        <v>0</v>
      </c>
      <c r="E78" s="35">
        <v>2501564.77</v>
      </c>
      <c r="F78" s="35">
        <v>175151.26</v>
      </c>
      <c r="G78" s="35">
        <f t="shared" si="37"/>
        <v>71314838.77999999</v>
      </c>
      <c r="H78" s="28">
        <v>8.5</v>
      </c>
      <c r="I78" s="29"/>
      <c r="J78" s="29"/>
      <c r="R78" s="21">
        <f t="shared" si="38"/>
        <v>2012</v>
      </c>
      <c r="S78" s="4">
        <f t="shared" si="39"/>
        <v>2501564.77</v>
      </c>
      <c r="T78">
        <f t="shared" si="40"/>
        <v>0</v>
      </c>
      <c r="U78">
        <f t="shared" si="17"/>
        <v>53</v>
      </c>
      <c r="V78" s="1" t="str">
        <f t="shared" si="18"/>
        <v>R5</v>
      </c>
      <c r="W78" s="2">
        <f t="shared" si="41"/>
        <v>47199.33528301887</v>
      </c>
      <c r="X78" s="2">
        <f t="shared" si="42"/>
        <v>0</v>
      </c>
      <c r="Y78" s="18">
        <f t="shared" si="43"/>
        <v>44.49908266578791</v>
      </c>
      <c r="Z78" s="18">
        <f t="shared" si="44"/>
        <v>0</v>
      </c>
      <c r="AA78" s="2">
        <f t="shared" si="45"/>
        <v>2100327.1225292967</v>
      </c>
    </row>
    <row r="79" spans="1:27" ht="12.75">
      <c r="A79" s="29">
        <v>2013</v>
      </c>
      <c r="C79" s="35">
        <f t="shared" si="36"/>
        <v>71314838.77999999</v>
      </c>
      <c r="D79" s="35">
        <v>0</v>
      </c>
      <c r="E79" s="35">
        <v>2340376.2</v>
      </c>
      <c r="F79" s="35">
        <v>118584.75</v>
      </c>
      <c r="G79" s="35">
        <f t="shared" si="37"/>
        <v>73536630.22999999</v>
      </c>
      <c r="H79" s="28">
        <v>7.5</v>
      </c>
      <c r="I79" s="29"/>
      <c r="J79" s="29"/>
      <c r="R79" s="21">
        <f t="shared" si="38"/>
        <v>2013</v>
      </c>
      <c r="S79" s="4">
        <f t="shared" si="39"/>
        <v>2340376.2</v>
      </c>
      <c r="T79">
        <f t="shared" si="40"/>
        <v>0</v>
      </c>
      <c r="U79">
        <f t="shared" si="17"/>
        <v>53</v>
      </c>
      <c r="V79" s="1" t="str">
        <f t="shared" si="18"/>
        <v>R5</v>
      </c>
      <c r="W79" s="2">
        <f t="shared" si="41"/>
        <v>44158.04150943396</v>
      </c>
      <c r="X79" s="2">
        <f t="shared" si="42"/>
        <v>0</v>
      </c>
      <c r="Y79" s="18">
        <f t="shared" si="43"/>
        <v>45.49908266578791</v>
      </c>
      <c r="Z79" s="18">
        <f t="shared" si="44"/>
        <v>0</v>
      </c>
      <c r="AA79" s="2">
        <f t="shared" si="45"/>
        <v>2009150.3809970298</v>
      </c>
    </row>
    <row r="80" spans="1:27" ht="12.75">
      <c r="A80" s="29">
        <v>2014</v>
      </c>
      <c r="C80" s="35">
        <f t="shared" si="36"/>
        <v>73536630.22999999</v>
      </c>
      <c r="D80" s="35">
        <v>591</v>
      </c>
      <c r="E80" s="35">
        <v>1979389.65</v>
      </c>
      <c r="F80" s="35">
        <v>153030.32</v>
      </c>
      <c r="G80" s="35">
        <f t="shared" si="37"/>
        <v>75363580.56</v>
      </c>
      <c r="H80" s="28">
        <v>6.5</v>
      </c>
      <c r="I80" s="29"/>
      <c r="J80" s="29"/>
      <c r="R80" s="21">
        <f t="shared" si="38"/>
        <v>2014</v>
      </c>
      <c r="S80" s="4">
        <f t="shared" si="39"/>
        <v>1979389.65</v>
      </c>
      <c r="T80">
        <f t="shared" si="40"/>
        <v>0</v>
      </c>
      <c r="U80">
        <f t="shared" si="17"/>
        <v>53</v>
      </c>
      <c r="V80" s="1" t="str">
        <f t="shared" si="18"/>
        <v>R5</v>
      </c>
      <c r="W80" s="2">
        <f t="shared" si="41"/>
        <v>37346.974528301886</v>
      </c>
      <c r="X80" s="2">
        <f t="shared" si="42"/>
        <v>0</v>
      </c>
      <c r="Y80" s="18">
        <f t="shared" si="43"/>
        <v>46.49908266578791</v>
      </c>
      <c r="Z80" s="18">
        <f t="shared" si="44"/>
        <v>0</v>
      </c>
      <c r="AA80" s="2">
        <f t="shared" si="45"/>
        <v>1736600.0559085847</v>
      </c>
    </row>
    <row r="81" spans="1:27" ht="12.75">
      <c r="A81" s="29">
        <v>2015</v>
      </c>
      <c r="C81" s="35">
        <f t="shared" si="36"/>
        <v>75363580.56</v>
      </c>
      <c r="D81" s="35">
        <v>-1031954</v>
      </c>
      <c r="E81" s="35">
        <v>2685103.72</v>
      </c>
      <c r="F81" s="35">
        <v>146963.33</v>
      </c>
      <c r="G81" s="35">
        <f t="shared" si="37"/>
        <v>76869766.95</v>
      </c>
      <c r="H81" s="28">
        <v>5.5</v>
      </c>
      <c r="I81" s="29"/>
      <c r="J81" s="29"/>
      <c r="R81" s="21">
        <f t="shared" si="38"/>
        <v>2015</v>
      </c>
      <c r="S81" s="4">
        <f t="shared" si="39"/>
        <v>2685103.72</v>
      </c>
      <c r="T81">
        <f t="shared" si="40"/>
        <v>0</v>
      </c>
      <c r="U81">
        <f t="shared" si="17"/>
        <v>53</v>
      </c>
      <c r="V81" s="1" t="str">
        <f t="shared" si="18"/>
        <v>R5</v>
      </c>
      <c r="W81" s="2">
        <f t="shared" si="41"/>
        <v>50662.33433962265</v>
      </c>
      <c r="X81" s="2">
        <f t="shared" si="42"/>
        <v>0</v>
      </c>
      <c r="Y81" s="18">
        <f t="shared" si="43"/>
        <v>47.49908266578791</v>
      </c>
      <c r="Z81" s="18">
        <f t="shared" si="44"/>
        <v>0</v>
      </c>
      <c r="AA81" s="2">
        <f t="shared" si="45"/>
        <v>2406414.4068395216</v>
      </c>
    </row>
    <row r="82" spans="1:27" ht="12.75">
      <c r="A82" s="29">
        <v>2016</v>
      </c>
      <c r="C82" s="35">
        <f t="shared" si="36"/>
        <v>76869766.95</v>
      </c>
      <c r="D82" s="35">
        <v>0</v>
      </c>
      <c r="E82" s="35">
        <v>1942210.31</v>
      </c>
      <c r="F82" s="35">
        <v>113560.3</v>
      </c>
      <c r="G82" s="35">
        <f t="shared" si="37"/>
        <v>78698416.96000001</v>
      </c>
      <c r="H82" s="28">
        <v>4.5</v>
      </c>
      <c r="I82" s="29"/>
      <c r="J82" s="29"/>
      <c r="R82" s="21">
        <f t="shared" si="38"/>
        <v>2016</v>
      </c>
      <c r="S82" s="4">
        <f t="shared" si="39"/>
        <v>1942210.31</v>
      </c>
      <c r="T82">
        <f t="shared" si="40"/>
        <v>0</v>
      </c>
      <c r="U82">
        <f t="shared" si="17"/>
        <v>53</v>
      </c>
      <c r="V82" s="1" t="str">
        <f t="shared" si="18"/>
        <v>R5</v>
      </c>
      <c r="W82" s="2">
        <f t="shared" si="41"/>
        <v>36645.477547169816</v>
      </c>
      <c r="X82" s="2">
        <f t="shared" si="42"/>
        <v>0</v>
      </c>
      <c r="Y82" s="18">
        <f t="shared" si="43"/>
        <v>48.49908266578791</v>
      </c>
      <c r="Z82" s="18">
        <f t="shared" si="44"/>
        <v>0</v>
      </c>
      <c r="AA82" s="2">
        <f t="shared" si="45"/>
        <v>1777272.0448874636</v>
      </c>
    </row>
    <row r="83" spans="1:27" ht="12.75">
      <c r="A83" s="29">
        <v>2017</v>
      </c>
      <c r="C83" s="35">
        <f t="shared" si="36"/>
        <v>78698416.96000001</v>
      </c>
      <c r="D83" s="35">
        <v>0</v>
      </c>
      <c r="E83" s="35">
        <v>2619977.09</v>
      </c>
      <c r="F83" s="35">
        <v>201583.52</v>
      </c>
      <c r="G83" s="35">
        <f t="shared" si="37"/>
        <v>81116810.53000002</v>
      </c>
      <c r="H83" s="28">
        <v>3.5</v>
      </c>
      <c r="I83" s="29"/>
      <c r="J83" s="29"/>
      <c r="R83" s="21">
        <f t="shared" si="38"/>
        <v>2017</v>
      </c>
      <c r="S83" s="4">
        <f t="shared" si="39"/>
        <v>2619977.09</v>
      </c>
      <c r="T83">
        <f t="shared" si="40"/>
        <v>0</v>
      </c>
      <c r="U83">
        <f t="shared" si="17"/>
        <v>53</v>
      </c>
      <c r="V83" s="1" t="str">
        <f t="shared" si="18"/>
        <v>R5</v>
      </c>
      <c r="W83" s="2">
        <f t="shared" si="41"/>
        <v>49433.53</v>
      </c>
      <c r="X83" s="2">
        <f t="shared" si="42"/>
        <v>0</v>
      </c>
      <c r="Y83" s="18">
        <f t="shared" si="43"/>
        <v>49.49908266578791</v>
      </c>
      <c r="Z83" s="18">
        <f t="shared" si="44"/>
        <v>0</v>
      </c>
      <c r="AA83" s="2">
        <f t="shared" si="45"/>
        <v>2446914.3879317064</v>
      </c>
    </row>
    <row r="84" spans="1:27" ht="12.75">
      <c r="A84" s="29">
        <v>2018</v>
      </c>
      <c r="C84" s="35">
        <f t="shared" si="36"/>
        <v>81116810.53000002</v>
      </c>
      <c r="D84" s="35">
        <v>0</v>
      </c>
      <c r="E84" s="35">
        <v>3893676.33</v>
      </c>
      <c r="F84" s="35">
        <v>241302.36</v>
      </c>
      <c r="G84" s="35">
        <f t="shared" si="37"/>
        <v>84769184.50000001</v>
      </c>
      <c r="H84" s="28">
        <v>2.5</v>
      </c>
      <c r="I84" s="29"/>
      <c r="J84" s="29"/>
      <c r="R84" s="21">
        <f t="shared" si="38"/>
        <v>2018</v>
      </c>
      <c r="S84" s="4">
        <f t="shared" si="39"/>
        <v>3893676.33</v>
      </c>
      <c r="T84">
        <f t="shared" si="40"/>
        <v>0</v>
      </c>
      <c r="U84">
        <f t="shared" si="17"/>
        <v>53</v>
      </c>
      <c r="V84" s="1" t="str">
        <f t="shared" si="18"/>
        <v>R5</v>
      </c>
      <c r="W84" s="2">
        <f t="shared" si="41"/>
        <v>73465.59113207547</v>
      </c>
      <c r="X84" s="2">
        <f t="shared" si="42"/>
        <v>0</v>
      </c>
      <c r="Y84" s="18">
        <f t="shared" si="43"/>
        <v>50.49908266578791</v>
      </c>
      <c r="Z84" s="18">
        <f t="shared" si="44"/>
        <v>0</v>
      </c>
      <c r="AA84" s="2">
        <f t="shared" si="45"/>
        <v>3709944.9596696543</v>
      </c>
    </row>
    <row r="85" spans="1:27" ht="12.75">
      <c r="A85" s="29">
        <v>2019</v>
      </c>
      <c r="C85" s="35">
        <f t="shared" si="36"/>
        <v>84769184.50000001</v>
      </c>
      <c r="D85" s="35">
        <v>0</v>
      </c>
      <c r="E85" s="35">
        <v>7341093.7</v>
      </c>
      <c r="F85" s="35">
        <v>221884.91</v>
      </c>
      <c r="G85" s="35">
        <f t="shared" si="37"/>
        <v>91888393.29000002</v>
      </c>
      <c r="H85" s="28">
        <v>1.5</v>
      </c>
      <c r="I85" s="29"/>
      <c r="J85" s="29"/>
      <c r="R85" s="21">
        <f t="shared" si="38"/>
        <v>2019</v>
      </c>
      <c r="S85" s="4">
        <f t="shared" si="39"/>
        <v>7341093.7</v>
      </c>
      <c r="T85">
        <f t="shared" si="40"/>
        <v>0</v>
      </c>
      <c r="U85">
        <f t="shared" si="17"/>
        <v>53</v>
      </c>
      <c r="V85" s="1" t="str">
        <f t="shared" si="18"/>
        <v>R5</v>
      </c>
      <c r="W85" s="2">
        <f t="shared" si="41"/>
        <v>138511.20188679246</v>
      </c>
      <c r="X85" s="2">
        <f t="shared" si="42"/>
        <v>0</v>
      </c>
      <c r="Y85" s="18">
        <f t="shared" si="43"/>
        <v>51.49908266578791</v>
      </c>
      <c r="Z85" s="18">
        <f t="shared" si="44"/>
        <v>0</v>
      </c>
      <c r="AA85" s="2">
        <f t="shared" si="45"/>
        <v>7133199.836105564</v>
      </c>
    </row>
    <row r="86" spans="1:27" ht="12.75">
      <c r="A86" s="29">
        <v>2020</v>
      </c>
      <c r="C86" s="35">
        <f t="shared" si="36"/>
        <v>91888393.29000002</v>
      </c>
      <c r="D86" s="35">
        <v>-4910.34</v>
      </c>
      <c r="E86" s="35">
        <v>6089527.88</v>
      </c>
      <c r="F86" s="35">
        <v>318513.47</v>
      </c>
      <c r="G86" s="35">
        <f t="shared" si="37"/>
        <v>97654497.36000001</v>
      </c>
      <c r="H86" s="28">
        <v>0.5</v>
      </c>
      <c r="I86" s="29"/>
      <c r="J86" s="29"/>
      <c r="R86" s="21">
        <f t="shared" si="38"/>
        <v>2020</v>
      </c>
      <c r="S86" s="4">
        <f t="shared" si="39"/>
        <v>6089527.88</v>
      </c>
      <c r="T86">
        <f t="shared" si="40"/>
        <v>0</v>
      </c>
      <c r="U86">
        <f t="shared" si="17"/>
        <v>53</v>
      </c>
      <c r="V86" s="1" t="str">
        <f t="shared" si="18"/>
        <v>R5</v>
      </c>
      <c r="W86" s="2">
        <f t="shared" si="41"/>
        <v>114896.75245283019</v>
      </c>
      <c r="X86" s="2">
        <f t="shared" si="42"/>
        <v>0</v>
      </c>
      <c r="Y86" s="18">
        <f t="shared" si="43"/>
        <v>52.49908266578791</v>
      </c>
      <c r="Z86" s="18">
        <f t="shared" si="44"/>
        <v>0</v>
      </c>
      <c r="AA86" s="2">
        <f t="shared" si="45"/>
        <v>6031974.105051702</v>
      </c>
    </row>
    <row r="87" spans="3:27" ht="12.75">
      <c r="C87" s="8"/>
      <c r="D87" s="8"/>
      <c r="E87" s="8"/>
      <c r="F87" s="8"/>
      <c r="G87" s="8"/>
      <c r="V87" s="1"/>
      <c r="W87" s="2"/>
      <c r="X87" s="2"/>
      <c r="AA87" s="2"/>
    </row>
    <row r="88" spans="7:27" ht="12.75">
      <c r="G88" s="4">
        <f>SUM(G82:G87)/5</f>
        <v>86825460.52800001</v>
      </c>
      <c r="I88" s="8"/>
      <c r="S88" s="4">
        <f>SUM(S6:S87)</f>
        <v>106823677.77</v>
      </c>
      <c r="T88" s="4">
        <f>SUM(T6:T87)</f>
        <v>7556</v>
      </c>
      <c r="W88" s="2">
        <f>SUM(W6:W87)</f>
        <v>2015541.09</v>
      </c>
      <c r="X88" s="2">
        <f>SUM(X6:X87)</f>
        <v>142.56603773584905</v>
      </c>
      <c r="Y88" s="19">
        <f>AA88/W88</f>
        <v>32.821662039723385</v>
      </c>
      <c r="Z88" s="18"/>
      <c r="AA88" s="2">
        <f>SUM(AA6:AA87)</f>
        <v>66153408.4831557</v>
      </c>
    </row>
    <row r="90" spans="2:27" ht="12.75">
      <c r="B90" t="s">
        <v>7</v>
      </c>
      <c r="D90" s="4"/>
      <c r="G90" s="10"/>
      <c r="W90" t="s">
        <v>35</v>
      </c>
      <c r="AA90" s="15">
        <f>AA88/(W88+X88)</f>
        <v>32.8193406167685</v>
      </c>
    </row>
    <row r="92" spans="2:7" ht="12.75">
      <c r="B92" t="s">
        <v>8</v>
      </c>
      <c r="D92" s="8"/>
      <c r="G92" s="10"/>
    </row>
    <row r="93" spans="20:27" ht="12.75">
      <c r="T93" s="20" t="s">
        <v>26</v>
      </c>
      <c r="V93" s="32" t="s">
        <v>19</v>
      </c>
      <c r="AA93" s="6"/>
    </row>
    <row r="94" spans="2:27" ht="12.75">
      <c r="B94" t="s">
        <v>9</v>
      </c>
      <c r="G94">
        <v>0.025</v>
      </c>
      <c r="T94" s="20" t="s">
        <v>11</v>
      </c>
      <c r="V94">
        <v>53</v>
      </c>
      <c r="AA94" s="31"/>
    </row>
    <row r="96" ht="12.75">
      <c r="B96" t="s">
        <v>10</v>
      </c>
    </row>
    <row r="98" spans="3:12" ht="12.75">
      <c r="C98" s="24"/>
      <c r="D98" s="23"/>
      <c r="E98" s="23"/>
      <c r="F98" s="23"/>
      <c r="G98" s="23"/>
      <c r="H98" s="23"/>
      <c r="I98" s="23"/>
      <c r="J98" s="23"/>
      <c r="K98" s="23"/>
      <c r="L98" s="24"/>
    </row>
    <row r="99" spans="3:12" ht="12.75">
      <c r="C99" s="24"/>
      <c r="D99" s="43"/>
      <c r="E99" s="23"/>
      <c r="F99" s="23"/>
      <c r="G99" s="23"/>
      <c r="H99" s="23"/>
      <c r="I99" s="23"/>
      <c r="J99" s="23"/>
      <c r="K99" s="16"/>
      <c r="L99" s="16"/>
    </row>
    <row r="100" spans="3:12" ht="12.75">
      <c r="C100" s="24"/>
      <c r="D100" s="24"/>
      <c r="E100" s="24"/>
      <c r="F100" s="42"/>
      <c r="G100" s="42"/>
      <c r="H100" s="44"/>
      <c r="I100" s="44"/>
      <c r="J100" s="44"/>
      <c r="K100" s="24"/>
      <c r="L100" s="24"/>
    </row>
    <row r="101" spans="3:12" ht="12.75">
      <c r="C101" s="24"/>
      <c r="D101" s="24"/>
      <c r="E101" s="24"/>
      <c r="F101" s="42"/>
      <c r="G101" s="42"/>
      <c r="H101" s="44"/>
      <c r="I101" s="44"/>
      <c r="J101" s="44"/>
      <c r="K101" s="24"/>
      <c r="L101" s="24"/>
    </row>
    <row r="102" spans="3:12" ht="12.75">
      <c r="C102" s="24"/>
      <c r="D102" s="24"/>
      <c r="E102" s="24"/>
      <c r="F102" s="42"/>
      <c r="G102" s="42"/>
      <c r="H102" s="44"/>
      <c r="I102" s="44"/>
      <c r="J102" s="44"/>
      <c r="K102" s="24"/>
      <c r="L102" s="24"/>
    </row>
    <row r="103" spans="3:12" ht="12.75">
      <c r="C103" s="24"/>
      <c r="D103" s="24"/>
      <c r="E103" s="24"/>
      <c r="F103" s="42"/>
      <c r="G103" s="42"/>
      <c r="H103" s="44"/>
      <c r="I103" s="44"/>
      <c r="J103" s="44"/>
      <c r="K103" s="24"/>
      <c r="L103" s="24"/>
    </row>
    <row r="104" spans="3:12" ht="12.75">
      <c r="C104" s="24"/>
      <c r="D104" s="24"/>
      <c r="E104" s="24"/>
      <c r="F104" s="42"/>
      <c r="G104" s="42"/>
      <c r="H104" s="44"/>
      <c r="I104" s="44"/>
      <c r="J104" s="44"/>
      <c r="K104" s="24"/>
      <c r="L104" s="24"/>
    </row>
    <row r="105" spans="3:12" ht="12.75">
      <c r="C105" s="24"/>
      <c r="D105" s="24"/>
      <c r="E105" s="24"/>
      <c r="F105" s="42"/>
      <c r="G105" s="42"/>
      <c r="H105" s="44"/>
      <c r="I105" s="44"/>
      <c r="J105" s="44"/>
      <c r="K105" s="24"/>
      <c r="L105" s="24"/>
    </row>
    <row r="106" spans="3:12" ht="12.75">
      <c r="C106" s="24"/>
      <c r="D106" s="24"/>
      <c r="E106" s="24"/>
      <c r="F106" s="42"/>
      <c r="G106" s="42"/>
      <c r="H106" s="44"/>
      <c r="I106" s="44"/>
      <c r="J106" s="44"/>
      <c r="K106" s="24"/>
      <c r="L106" s="24"/>
    </row>
    <row r="107" spans="3:12" ht="12.75">
      <c r="C107" s="24"/>
      <c r="D107" s="24"/>
      <c r="E107" s="24"/>
      <c r="F107" s="42"/>
      <c r="G107" s="42"/>
      <c r="H107" s="44"/>
      <c r="I107" s="44"/>
      <c r="J107" s="44"/>
      <c r="K107" s="24"/>
      <c r="L107" s="24"/>
    </row>
    <row r="108" spans="3:12" ht="12.75">
      <c r="C108" s="24"/>
      <c r="D108" s="24"/>
      <c r="E108" s="24"/>
      <c r="F108" s="42"/>
      <c r="G108" s="42"/>
      <c r="H108" s="44"/>
      <c r="I108" s="44"/>
      <c r="J108" s="44"/>
      <c r="K108" s="24"/>
      <c r="L108" s="24"/>
    </row>
    <row r="109" spans="3:12" ht="12.75">
      <c r="C109" s="24"/>
      <c r="D109" s="24"/>
      <c r="E109" s="24"/>
      <c r="F109" s="42"/>
      <c r="G109" s="42"/>
      <c r="H109" s="44"/>
      <c r="I109" s="44"/>
      <c r="J109" s="44"/>
      <c r="K109" s="24"/>
      <c r="L109" s="24"/>
    </row>
    <row r="110" spans="3:12" ht="12.75">
      <c r="C110" s="24"/>
      <c r="D110" s="24"/>
      <c r="E110" s="24"/>
      <c r="F110" s="42"/>
      <c r="G110" s="42"/>
      <c r="H110" s="44"/>
      <c r="I110" s="44"/>
      <c r="J110" s="44"/>
      <c r="K110" s="24"/>
      <c r="L110" s="24"/>
    </row>
    <row r="111" spans="3:12" ht="12.75">
      <c r="C111" s="24"/>
      <c r="D111" s="24"/>
      <c r="E111" s="24"/>
      <c r="F111" s="42"/>
      <c r="G111" s="42"/>
      <c r="H111" s="44"/>
      <c r="I111" s="44"/>
      <c r="J111" s="44"/>
      <c r="K111" s="24"/>
      <c r="L111" s="24"/>
    </row>
    <row r="112" spans="3:12" ht="12.75">
      <c r="C112" s="24"/>
      <c r="D112" s="24"/>
      <c r="E112" s="24"/>
      <c r="F112" s="42"/>
      <c r="G112" s="42"/>
      <c r="H112" s="44"/>
      <c r="I112" s="44"/>
      <c r="J112" s="44"/>
      <c r="K112" s="24"/>
      <c r="L112" s="24"/>
    </row>
    <row r="113" spans="3:12" ht="12.75">
      <c r="C113" s="24"/>
      <c r="D113" s="24"/>
      <c r="E113" s="24"/>
      <c r="F113" s="42"/>
      <c r="G113" s="42"/>
      <c r="H113" s="44"/>
      <c r="I113" s="44"/>
      <c r="J113" s="44"/>
      <c r="K113" s="24"/>
      <c r="L113" s="24"/>
    </row>
    <row r="114" spans="3:12" ht="12.75">
      <c r="C114" s="24"/>
      <c r="D114" s="24"/>
      <c r="E114" s="24"/>
      <c r="F114" s="42"/>
      <c r="G114" s="42"/>
      <c r="H114" s="44"/>
      <c r="I114" s="44"/>
      <c r="J114" s="44"/>
      <c r="K114" s="24"/>
      <c r="L114" s="24"/>
    </row>
    <row r="115" spans="3:12" ht="12.75">
      <c r="C115" s="24"/>
      <c r="D115" s="24"/>
      <c r="E115" s="24"/>
      <c r="F115" s="42"/>
      <c r="G115" s="42"/>
      <c r="H115" s="44"/>
      <c r="I115" s="44"/>
      <c r="J115" s="44"/>
      <c r="K115" s="24"/>
      <c r="L115" s="24"/>
    </row>
    <row r="116" spans="3:12" ht="12.75">
      <c r="C116" s="24"/>
      <c r="D116" s="24"/>
      <c r="E116" s="24"/>
      <c r="F116" s="42"/>
      <c r="G116" s="42"/>
      <c r="H116" s="44"/>
      <c r="I116" s="44"/>
      <c r="J116" s="44"/>
      <c r="K116" s="24"/>
      <c r="L116" s="24"/>
    </row>
    <row r="117" spans="3:12" ht="12.75">
      <c r="C117" s="24"/>
      <c r="D117" s="24"/>
      <c r="E117" s="24"/>
      <c r="F117" s="42"/>
      <c r="G117" s="42"/>
      <c r="H117" s="44"/>
      <c r="I117" s="44"/>
      <c r="J117" s="44"/>
      <c r="K117" s="24"/>
      <c r="L117" s="24"/>
    </row>
    <row r="118" spans="3:12" ht="12.75">
      <c r="C118" s="24"/>
      <c r="D118" s="24"/>
      <c r="E118" s="24"/>
      <c r="F118" s="42"/>
      <c r="G118" s="42"/>
      <c r="H118" s="44"/>
      <c r="I118" s="44"/>
      <c r="J118" s="44"/>
      <c r="K118" s="24"/>
      <c r="L118" s="24"/>
    </row>
    <row r="119" spans="3:12" ht="12.75">
      <c r="C119" s="24"/>
      <c r="D119" s="24"/>
      <c r="E119" s="24"/>
      <c r="F119" s="42"/>
      <c r="G119" s="42"/>
      <c r="H119" s="44"/>
      <c r="I119" s="44"/>
      <c r="J119" s="44"/>
      <c r="K119" s="24"/>
      <c r="L119" s="24"/>
    </row>
    <row r="120" spans="3:12" ht="12.75">
      <c r="C120" s="24"/>
      <c r="D120" s="24"/>
      <c r="E120" s="24"/>
      <c r="F120" s="42"/>
      <c r="G120" s="42"/>
      <c r="H120" s="44"/>
      <c r="I120" s="44"/>
      <c r="J120" s="44"/>
      <c r="K120" s="24"/>
      <c r="L120" s="24"/>
    </row>
    <row r="121" spans="3:12" ht="12.75">
      <c r="C121" s="24"/>
      <c r="D121" s="24"/>
      <c r="E121" s="24"/>
      <c r="F121" s="42"/>
      <c r="G121" s="42"/>
      <c r="H121" s="44"/>
      <c r="I121" s="44"/>
      <c r="J121" s="44"/>
      <c r="K121" s="24"/>
      <c r="L121" s="24"/>
    </row>
    <row r="122" spans="3:10" ht="12.75">
      <c r="C122" s="24"/>
      <c r="D122" s="24"/>
      <c r="E122" s="24"/>
      <c r="F122" s="24"/>
      <c r="G122" s="24"/>
      <c r="H122" s="24"/>
      <c r="I122" s="24"/>
      <c r="J122" s="24"/>
    </row>
    <row r="123" spans="3:10" ht="12.75">
      <c r="C123" s="24"/>
      <c r="D123" s="45"/>
      <c r="E123" s="46"/>
      <c r="F123" s="24"/>
      <c r="G123" s="24"/>
      <c r="H123" s="24"/>
      <c r="I123" s="24"/>
      <c r="J123" s="24"/>
    </row>
  </sheetData>
  <sheetProtection/>
  <printOptions/>
  <pageMargins left="0.75" right="0.75" top="1.34" bottom="1" header="0.5" footer="0.5"/>
  <pageSetup horizontalDpi="600" verticalDpi="600" orientation="portrait" scale="80" r:id="rId1"/>
  <headerFooter alignWithMargins="0">
    <oddHeader>&amp;C&amp;"Arial,Bold"&amp;12Delta Natural Gas Company
Account Investment Summary
376 -- Distribution Mains</oddHeader>
  </headerFooter>
  <rowBreaks count="1" manualBreakCount="1">
    <brk id="97" max="255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rgb="FF00B050"/>
  </sheetPr>
  <dimension ref="A1:AA129"/>
  <sheetViews>
    <sheetView zoomScalePageLayoutView="0" workbookViewId="0" topLeftCell="A86">
      <selection activeCell="C98" sqref="C98:J123"/>
    </sheetView>
  </sheetViews>
  <sheetFormatPr defaultColWidth="9.140625" defaultRowHeight="12.75"/>
  <cols>
    <col min="3" max="6" width="13.421875" style="0" customWidth="1"/>
    <col min="7" max="7" width="19.57421875" style="0" customWidth="1"/>
    <col min="9" max="9" width="12.8515625" style="0" bestFit="1" customWidth="1"/>
    <col min="13" max="13" width="13.140625" style="0" customWidth="1"/>
    <col min="18" max="18" width="10.140625" style="0" bestFit="1" customWidth="1"/>
    <col min="19" max="19" width="13.140625" style="0" customWidth="1"/>
    <col min="22" max="27" width="16.7109375" style="0" customWidth="1"/>
  </cols>
  <sheetData>
    <row r="1" ht="12.75">
      <c r="R1" s="22"/>
    </row>
    <row r="2" spans="3:27" ht="12.75">
      <c r="C2" s="3" t="s">
        <v>0</v>
      </c>
      <c r="D2" s="3"/>
      <c r="E2" s="3"/>
      <c r="F2" s="3"/>
      <c r="G2" s="3" t="s">
        <v>0</v>
      </c>
      <c r="I2" s="3" t="s">
        <v>2</v>
      </c>
      <c r="V2" s="3" t="s">
        <v>30</v>
      </c>
      <c r="W2" s="16" t="s">
        <v>32</v>
      </c>
      <c r="X2" s="16" t="s">
        <v>32</v>
      </c>
      <c r="Y2" s="16" t="s">
        <v>33</v>
      </c>
      <c r="Z2" s="16" t="s">
        <v>33</v>
      </c>
      <c r="AA2" s="3" t="s">
        <v>34</v>
      </c>
    </row>
    <row r="3" spans="1:27" ht="13.5" thickBot="1">
      <c r="A3" s="14" t="s">
        <v>5</v>
      </c>
      <c r="B3" s="12"/>
      <c r="C3" s="13" t="s">
        <v>1</v>
      </c>
      <c r="D3" s="13" t="s">
        <v>2</v>
      </c>
      <c r="E3" s="13" t="s">
        <v>3</v>
      </c>
      <c r="F3" s="13" t="s">
        <v>4</v>
      </c>
      <c r="G3" s="13" t="s">
        <v>1</v>
      </c>
      <c r="H3" s="12"/>
      <c r="I3" s="13" t="s">
        <v>21</v>
      </c>
      <c r="J3" s="13" t="s">
        <v>22</v>
      </c>
      <c r="R3" s="14" t="s">
        <v>6</v>
      </c>
      <c r="S3" s="17" t="s">
        <v>3</v>
      </c>
      <c r="T3" s="13" t="s">
        <v>27</v>
      </c>
      <c r="U3" s="17" t="s">
        <v>11</v>
      </c>
      <c r="V3" s="17" t="s">
        <v>31</v>
      </c>
      <c r="W3" s="17" t="s">
        <v>28</v>
      </c>
      <c r="X3" s="17" t="s">
        <v>29</v>
      </c>
      <c r="Y3" s="17" t="s">
        <v>28</v>
      </c>
      <c r="Z3" s="17" t="s">
        <v>29</v>
      </c>
      <c r="AA3" s="17" t="s">
        <v>25</v>
      </c>
    </row>
    <row r="4" spans="3:7" ht="12.75">
      <c r="C4" s="1"/>
      <c r="D4" s="1"/>
      <c r="E4" s="1"/>
      <c r="F4" s="1"/>
      <c r="G4" s="1"/>
    </row>
    <row r="5" spans="3:7" ht="12.75">
      <c r="C5" s="1"/>
      <c r="D5" s="1"/>
      <c r="E5" s="1"/>
      <c r="F5" s="1"/>
      <c r="G5" s="1"/>
    </row>
    <row r="6" spans="1:27" ht="12.75">
      <c r="A6">
        <v>1940</v>
      </c>
      <c r="C6" s="35">
        <v>0</v>
      </c>
      <c r="D6" s="35">
        <v>0</v>
      </c>
      <c r="E6" s="35">
        <v>110</v>
      </c>
      <c r="F6" s="35">
        <v>0</v>
      </c>
      <c r="G6" s="35">
        <f aca="true" t="shared" si="0" ref="G6:G51">C6+D6+E6-F6</f>
        <v>110</v>
      </c>
      <c r="H6" s="28">
        <v>80.5</v>
      </c>
      <c r="I6">
        <v>0</v>
      </c>
      <c r="J6">
        <f aca="true" t="shared" si="1" ref="J6:J51">IF(I6=0,0,ROUND((I6/D6/$G$94)+H6,1))</f>
        <v>0</v>
      </c>
      <c r="M6" s="38">
        <f>E6+D6</f>
        <v>110</v>
      </c>
      <c r="R6" s="21">
        <f>A6</f>
        <v>1940</v>
      </c>
      <c r="S6" s="4">
        <f aca="true" t="shared" si="2" ref="S6:S37">E6</f>
        <v>110</v>
      </c>
      <c r="T6">
        <f aca="true" t="shared" si="3" ref="T6:T37">IF(D6&gt;0,IF(J6&gt;0,D6,0),0)</f>
        <v>0</v>
      </c>
      <c r="U6">
        <f aca="true" t="shared" si="4" ref="U6:U37">$V$94</f>
        <v>49</v>
      </c>
      <c r="V6" s="1" t="str">
        <f aca="true" t="shared" si="5" ref="V6:V37">$V$93</f>
        <v>L1</v>
      </c>
      <c r="W6" s="2">
        <f aca="true" t="shared" si="6" ref="W6:W37">S6/U6</f>
        <v>2.2448979591836733</v>
      </c>
      <c r="X6" s="2">
        <f>T6/U6</f>
        <v>0</v>
      </c>
      <c r="Y6" s="18">
        <f aca="true" t="shared" si="7" ref="Y6:Y37">Prob_life(V6,H6,U6)</f>
        <v>14.385504673317367</v>
      </c>
      <c r="Z6" s="18">
        <f aca="true" t="shared" si="8" ref="Z6:Z37">IF(J6&gt;0,Prob_life(V6,J6+0.5,U6),0)</f>
        <v>0</v>
      </c>
      <c r="AA6" s="2">
        <f>W6*Y6+X6*Z6</f>
        <v>32.29399008295735</v>
      </c>
    </row>
    <row r="7" spans="1:27" ht="12.75">
      <c r="A7">
        <v>1941</v>
      </c>
      <c r="C7" s="35">
        <f aca="true" t="shared" si="9" ref="C7:C51">G6</f>
        <v>110</v>
      </c>
      <c r="D7" s="35">
        <v>0</v>
      </c>
      <c r="E7" s="35">
        <v>0</v>
      </c>
      <c r="F7" s="35">
        <v>0</v>
      </c>
      <c r="G7" s="35">
        <f t="shared" si="0"/>
        <v>110</v>
      </c>
      <c r="H7" s="28">
        <v>79.5</v>
      </c>
      <c r="I7">
        <v>0</v>
      </c>
      <c r="J7">
        <f t="shared" si="1"/>
        <v>0</v>
      </c>
      <c r="M7" s="38">
        <f aca="true" t="shared" si="10" ref="M7:M70">E7+D7</f>
        <v>0</v>
      </c>
      <c r="R7" s="21">
        <f aca="true" t="shared" si="11" ref="R7:R68">A7</f>
        <v>1941</v>
      </c>
      <c r="S7" s="4">
        <f t="shared" si="2"/>
        <v>0</v>
      </c>
      <c r="T7">
        <f t="shared" si="3"/>
        <v>0</v>
      </c>
      <c r="U7">
        <f t="shared" si="4"/>
        <v>49</v>
      </c>
      <c r="V7" s="1" t="str">
        <f t="shared" si="5"/>
        <v>L1</v>
      </c>
      <c r="W7" s="2">
        <f t="shared" si="6"/>
        <v>0</v>
      </c>
      <c r="X7" s="2">
        <f aca="true" t="shared" si="12" ref="X7:X68">T7/U7</f>
        <v>0</v>
      </c>
      <c r="Y7" s="18">
        <f t="shared" si="7"/>
        <v>14.621943841055206</v>
      </c>
      <c r="Z7" s="18">
        <f t="shared" si="8"/>
        <v>0</v>
      </c>
      <c r="AA7" s="2">
        <f aca="true" t="shared" si="13" ref="AA7:AA68">W7*Y7+X7*Z7</f>
        <v>0</v>
      </c>
    </row>
    <row r="8" spans="1:27" ht="12.75">
      <c r="A8">
        <v>1942</v>
      </c>
      <c r="C8" s="35">
        <f t="shared" si="9"/>
        <v>110</v>
      </c>
      <c r="D8" s="35">
        <v>0</v>
      </c>
      <c r="E8" s="35">
        <v>0</v>
      </c>
      <c r="F8" s="35">
        <v>0</v>
      </c>
      <c r="G8" s="35">
        <f t="shared" si="0"/>
        <v>110</v>
      </c>
      <c r="H8" s="28">
        <v>78.5</v>
      </c>
      <c r="I8">
        <v>0</v>
      </c>
      <c r="J8">
        <f t="shared" si="1"/>
        <v>0</v>
      </c>
      <c r="M8" s="38">
        <f t="shared" si="10"/>
        <v>0</v>
      </c>
      <c r="R8" s="21">
        <f t="shared" si="11"/>
        <v>1942</v>
      </c>
      <c r="S8" s="4">
        <f t="shared" si="2"/>
        <v>0</v>
      </c>
      <c r="T8">
        <f t="shared" si="3"/>
        <v>0</v>
      </c>
      <c r="U8">
        <f t="shared" si="4"/>
        <v>49</v>
      </c>
      <c r="V8" s="1" t="str">
        <f t="shared" si="5"/>
        <v>L1</v>
      </c>
      <c r="W8" s="2">
        <f t="shared" si="6"/>
        <v>0</v>
      </c>
      <c r="X8" s="2">
        <f t="shared" si="12"/>
        <v>0</v>
      </c>
      <c r="Y8" s="18">
        <f t="shared" si="7"/>
        <v>14.860343103653227</v>
      </c>
      <c r="Z8" s="18">
        <f t="shared" si="8"/>
        <v>0</v>
      </c>
      <c r="AA8" s="2">
        <f t="shared" si="13"/>
        <v>0</v>
      </c>
    </row>
    <row r="9" spans="1:27" ht="12.75">
      <c r="A9">
        <v>1943</v>
      </c>
      <c r="C9" s="35">
        <f t="shared" si="9"/>
        <v>110</v>
      </c>
      <c r="D9" s="35">
        <v>0</v>
      </c>
      <c r="E9" s="35">
        <v>0</v>
      </c>
      <c r="F9" s="35">
        <v>0</v>
      </c>
      <c r="G9" s="35">
        <f t="shared" si="0"/>
        <v>110</v>
      </c>
      <c r="H9" s="28">
        <v>77.5</v>
      </c>
      <c r="I9">
        <v>0</v>
      </c>
      <c r="J9">
        <f t="shared" si="1"/>
        <v>0</v>
      </c>
      <c r="M9" s="38">
        <f t="shared" si="10"/>
        <v>0</v>
      </c>
      <c r="R9" s="21">
        <f t="shared" si="11"/>
        <v>1943</v>
      </c>
      <c r="S9" s="4">
        <f t="shared" si="2"/>
        <v>0</v>
      </c>
      <c r="T9">
        <f t="shared" si="3"/>
        <v>0</v>
      </c>
      <c r="U9">
        <f t="shared" si="4"/>
        <v>49</v>
      </c>
      <c r="V9" s="1" t="str">
        <f t="shared" si="5"/>
        <v>L1</v>
      </c>
      <c r="W9" s="2">
        <f t="shared" si="6"/>
        <v>0</v>
      </c>
      <c r="X9" s="2">
        <f t="shared" si="12"/>
        <v>0</v>
      </c>
      <c r="Y9" s="18">
        <f t="shared" si="7"/>
        <v>15.100734802498335</v>
      </c>
      <c r="Z9" s="18">
        <f t="shared" si="8"/>
        <v>0</v>
      </c>
      <c r="AA9" s="2">
        <f t="shared" si="13"/>
        <v>0</v>
      </c>
    </row>
    <row r="10" spans="1:27" ht="12.75">
      <c r="A10">
        <v>1944</v>
      </c>
      <c r="C10" s="35">
        <f t="shared" si="9"/>
        <v>110</v>
      </c>
      <c r="D10" s="35">
        <v>0</v>
      </c>
      <c r="E10" s="35">
        <v>0</v>
      </c>
      <c r="F10" s="35">
        <v>0</v>
      </c>
      <c r="G10" s="35">
        <f t="shared" si="0"/>
        <v>110</v>
      </c>
      <c r="H10" s="28">
        <v>76.5</v>
      </c>
      <c r="I10">
        <v>0</v>
      </c>
      <c r="J10">
        <f t="shared" si="1"/>
        <v>0</v>
      </c>
      <c r="M10" s="38">
        <f t="shared" si="10"/>
        <v>0</v>
      </c>
      <c r="R10" s="21">
        <f t="shared" si="11"/>
        <v>1944</v>
      </c>
      <c r="S10" s="4">
        <f t="shared" si="2"/>
        <v>0</v>
      </c>
      <c r="T10">
        <f t="shared" si="3"/>
        <v>0</v>
      </c>
      <c r="U10">
        <f t="shared" si="4"/>
        <v>49</v>
      </c>
      <c r="V10" s="1" t="str">
        <f t="shared" si="5"/>
        <v>L1</v>
      </c>
      <c r="W10" s="2">
        <f t="shared" si="6"/>
        <v>0</v>
      </c>
      <c r="X10" s="2">
        <f t="shared" si="12"/>
        <v>0</v>
      </c>
      <c r="Y10" s="18">
        <f t="shared" si="7"/>
        <v>15.343151872847965</v>
      </c>
      <c r="Z10" s="18">
        <f t="shared" si="8"/>
        <v>0</v>
      </c>
      <c r="AA10" s="2">
        <f t="shared" si="13"/>
        <v>0</v>
      </c>
    </row>
    <row r="11" spans="1:27" ht="12.75">
      <c r="A11">
        <v>1945</v>
      </c>
      <c r="C11" s="35">
        <f t="shared" si="9"/>
        <v>110</v>
      </c>
      <c r="D11" s="35">
        <v>0</v>
      </c>
      <c r="E11" s="35">
        <v>0</v>
      </c>
      <c r="F11" s="35">
        <v>0</v>
      </c>
      <c r="G11" s="35">
        <f t="shared" si="0"/>
        <v>110</v>
      </c>
      <c r="H11" s="28">
        <v>75.5</v>
      </c>
      <c r="I11">
        <v>0</v>
      </c>
      <c r="J11">
        <f t="shared" si="1"/>
        <v>0</v>
      </c>
      <c r="M11" s="38">
        <f t="shared" si="10"/>
        <v>0</v>
      </c>
      <c r="R11" s="21">
        <f t="shared" si="11"/>
        <v>1945</v>
      </c>
      <c r="S11" s="4">
        <f t="shared" si="2"/>
        <v>0</v>
      </c>
      <c r="T11">
        <f t="shared" si="3"/>
        <v>0</v>
      </c>
      <c r="U11">
        <f t="shared" si="4"/>
        <v>49</v>
      </c>
      <c r="V11" s="1" t="str">
        <f t="shared" si="5"/>
        <v>L1</v>
      </c>
      <c r="W11" s="2">
        <f t="shared" si="6"/>
        <v>0</v>
      </c>
      <c r="X11" s="2">
        <f t="shared" si="12"/>
        <v>0</v>
      </c>
      <c r="Y11" s="18">
        <f t="shared" si="7"/>
        <v>15.587627857122865</v>
      </c>
      <c r="Z11" s="18">
        <f t="shared" si="8"/>
        <v>0</v>
      </c>
      <c r="AA11" s="2">
        <f t="shared" si="13"/>
        <v>0</v>
      </c>
    </row>
    <row r="12" spans="1:27" ht="12.75">
      <c r="A12">
        <v>1946</v>
      </c>
      <c r="C12" s="35">
        <f t="shared" si="9"/>
        <v>110</v>
      </c>
      <c r="D12" s="35">
        <v>0</v>
      </c>
      <c r="E12" s="35">
        <v>0</v>
      </c>
      <c r="F12" s="35">
        <v>0</v>
      </c>
      <c r="G12" s="35">
        <f t="shared" si="0"/>
        <v>110</v>
      </c>
      <c r="H12" s="28">
        <v>74.5</v>
      </c>
      <c r="I12">
        <v>0</v>
      </c>
      <c r="J12">
        <f t="shared" si="1"/>
        <v>0</v>
      </c>
      <c r="M12" s="38">
        <f t="shared" si="10"/>
        <v>0</v>
      </c>
      <c r="R12" s="21">
        <f t="shared" si="11"/>
        <v>1946</v>
      </c>
      <c r="S12" s="4">
        <f t="shared" si="2"/>
        <v>0</v>
      </c>
      <c r="T12">
        <f t="shared" si="3"/>
        <v>0</v>
      </c>
      <c r="U12">
        <f t="shared" si="4"/>
        <v>49</v>
      </c>
      <c r="V12" s="1" t="str">
        <f t="shared" si="5"/>
        <v>L1</v>
      </c>
      <c r="W12" s="2">
        <f t="shared" si="6"/>
        <v>0</v>
      </c>
      <c r="X12" s="2">
        <f t="shared" si="12"/>
        <v>0</v>
      </c>
      <c r="Y12" s="18">
        <f t="shared" si="7"/>
        <v>15.834196896873397</v>
      </c>
      <c r="Z12" s="18">
        <f t="shared" si="8"/>
        <v>0</v>
      </c>
      <c r="AA12" s="2">
        <f t="shared" si="13"/>
        <v>0</v>
      </c>
    </row>
    <row r="13" spans="1:27" ht="12.75">
      <c r="A13">
        <v>1947</v>
      </c>
      <c r="C13" s="35">
        <f t="shared" si="9"/>
        <v>110</v>
      </c>
      <c r="D13" s="35">
        <v>0</v>
      </c>
      <c r="E13" s="35">
        <v>0</v>
      </c>
      <c r="F13" s="35">
        <v>0</v>
      </c>
      <c r="G13" s="35">
        <f t="shared" si="0"/>
        <v>110</v>
      </c>
      <c r="H13" s="28">
        <v>73.5</v>
      </c>
      <c r="I13">
        <v>0</v>
      </c>
      <c r="J13">
        <f t="shared" si="1"/>
        <v>0</v>
      </c>
      <c r="M13" s="38">
        <f t="shared" si="10"/>
        <v>0</v>
      </c>
      <c r="R13" s="21">
        <f t="shared" si="11"/>
        <v>1947</v>
      </c>
      <c r="S13" s="4">
        <f t="shared" si="2"/>
        <v>0</v>
      </c>
      <c r="T13">
        <f t="shared" si="3"/>
        <v>0</v>
      </c>
      <c r="U13">
        <f t="shared" si="4"/>
        <v>49</v>
      </c>
      <c r="V13" s="1" t="str">
        <f t="shared" si="5"/>
        <v>L1</v>
      </c>
      <c r="W13" s="2">
        <f t="shared" si="6"/>
        <v>0</v>
      </c>
      <c r="X13" s="2">
        <f t="shared" si="12"/>
        <v>0</v>
      </c>
      <c r="Y13" s="18">
        <f t="shared" si="7"/>
        <v>16.082893762802414</v>
      </c>
      <c r="Z13" s="18">
        <f t="shared" si="8"/>
        <v>0</v>
      </c>
      <c r="AA13" s="2">
        <f t="shared" si="13"/>
        <v>0</v>
      </c>
    </row>
    <row r="14" spans="1:27" ht="12.75">
      <c r="A14">
        <v>1948</v>
      </c>
      <c r="C14" s="35">
        <f t="shared" si="9"/>
        <v>110</v>
      </c>
      <c r="D14" s="35">
        <v>0</v>
      </c>
      <c r="E14" s="35">
        <v>260</v>
      </c>
      <c r="F14" s="35">
        <v>0</v>
      </c>
      <c r="G14" s="35">
        <f t="shared" si="0"/>
        <v>370</v>
      </c>
      <c r="H14" s="28">
        <v>72.5</v>
      </c>
      <c r="I14">
        <v>0</v>
      </c>
      <c r="J14">
        <f t="shared" si="1"/>
        <v>0</v>
      </c>
      <c r="M14" s="38">
        <f t="shared" si="10"/>
        <v>260</v>
      </c>
      <c r="R14" s="21">
        <f t="shared" si="11"/>
        <v>1948</v>
      </c>
      <c r="S14" s="4">
        <f t="shared" si="2"/>
        <v>260</v>
      </c>
      <c r="T14">
        <f t="shared" si="3"/>
        <v>0</v>
      </c>
      <c r="U14">
        <f t="shared" si="4"/>
        <v>49</v>
      </c>
      <c r="V14" s="1" t="str">
        <f t="shared" si="5"/>
        <v>L1</v>
      </c>
      <c r="W14" s="2">
        <f t="shared" si="6"/>
        <v>5.3061224489795915</v>
      </c>
      <c r="X14" s="2">
        <f t="shared" si="12"/>
        <v>0</v>
      </c>
      <c r="Y14" s="18">
        <f t="shared" si="7"/>
        <v>16.333753850705584</v>
      </c>
      <c r="Z14" s="18">
        <f t="shared" si="8"/>
        <v>0</v>
      </c>
      <c r="AA14" s="2">
        <f t="shared" si="13"/>
        <v>86.66889798333574</v>
      </c>
    </row>
    <row r="15" spans="1:27" ht="12.75">
      <c r="A15">
        <v>1949</v>
      </c>
      <c r="C15" s="35">
        <f t="shared" si="9"/>
        <v>370</v>
      </c>
      <c r="D15" s="35">
        <v>0</v>
      </c>
      <c r="E15" s="35">
        <v>97</v>
      </c>
      <c r="F15" s="35">
        <v>0</v>
      </c>
      <c r="G15" s="35">
        <f t="shared" si="0"/>
        <v>467</v>
      </c>
      <c r="H15" s="28">
        <v>71.5</v>
      </c>
      <c r="I15">
        <v>0</v>
      </c>
      <c r="J15">
        <f t="shared" si="1"/>
        <v>0</v>
      </c>
      <c r="M15" s="38">
        <f t="shared" si="10"/>
        <v>97</v>
      </c>
      <c r="R15" s="21">
        <f t="shared" si="11"/>
        <v>1949</v>
      </c>
      <c r="S15" s="4">
        <f t="shared" si="2"/>
        <v>97</v>
      </c>
      <c r="T15">
        <f t="shared" si="3"/>
        <v>0</v>
      </c>
      <c r="U15">
        <f t="shared" si="4"/>
        <v>49</v>
      </c>
      <c r="V15" s="1" t="str">
        <f t="shared" si="5"/>
        <v>L1</v>
      </c>
      <c r="W15" s="2">
        <f t="shared" si="6"/>
        <v>1.9795918367346939</v>
      </c>
      <c r="X15" s="2">
        <f t="shared" si="12"/>
        <v>0</v>
      </c>
      <c r="Y15" s="18">
        <f t="shared" si="7"/>
        <v>16.58681320175666</v>
      </c>
      <c r="Z15" s="18">
        <f t="shared" si="8"/>
        <v>0</v>
      </c>
      <c r="AA15" s="2">
        <f t="shared" si="13"/>
        <v>32.83512001164073</v>
      </c>
    </row>
    <row r="16" spans="1:27" ht="12.75">
      <c r="A16">
        <v>1950</v>
      </c>
      <c r="C16" s="35">
        <f t="shared" si="9"/>
        <v>467</v>
      </c>
      <c r="D16" s="35">
        <v>0</v>
      </c>
      <c r="E16" s="35">
        <v>202</v>
      </c>
      <c r="F16" s="35">
        <v>0</v>
      </c>
      <c r="G16" s="35">
        <f t="shared" si="0"/>
        <v>669</v>
      </c>
      <c r="H16" s="28">
        <v>70.5</v>
      </c>
      <c r="I16">
        <v>0</v>
      </c>
      <c r="J16">
        <f t="shared" si="1"/>
        <v>0</v>
      </c>
      <c r="M16" s="38">
        <f t="shared" si="10"/>
        <v>202</v>
      </c>
      <c r="R16" s="21">
        <f t="shared" si="11"/>
        <v>1950</v>
      </c>
      <c r="S16" s="4">
        <f t="shared" si="2"/>
        <v>202</v>
      </c>
      <c r="T16">
        <f t="shared" si="3"/>
        <v>0</v>
      </c>
      <c r="U16">
        <f t="shared" si="4"/>
        <v>49</v>
      </c>
      <c r="V16" s="1" t="str">
        <f t="shared" si="5"/>
        <v>L1</v>
      </c>
      <c r="W16" s="2">
        <f t="shared" si="6"/>
        <v>4.122448979591836</v>
      </c>
      <c r="X16" s="2">
        <f t="shared" si="12"/>
        <v>0</v>
      </c>
      <c r="Y16" s="18">
        <f t="shared" si="7"/>
        <v>16.84210850032482</v>
      </c>
      <c r="Z16" s="18">
        <f t="shared" si="8"/>
        <v>0</v>
      </c>
      <c r="AA16" s="2">
        <f t="shared" si="13"/>
        <v>69.43073300133905</v>
      </c>
    </row>
    <row r="17" spans="1:27" ht="12.75">
      <c r="A17">
        <v>1951</v>
      </c>
      <c r="C17" s="35">
        <f t="shared" si="9"/>
        <v>669</v>
      </c>
      <c r="D17" s="35">
        <v>0</v>
      </c>
      <c r="E17" s="35">
        <v>535</v>
      </c>
      <c r="F17" s="35">
        <v>0</v>
      </c>
      <c r="G17" s="35">
        <f t="shared" si="0"/>
        <v>1204</v>
      </c>
      <c r="H17" s="28">
        <v>69.5</v>
      </c>
      <c r="I17">
        <v>0</v>
      </c>
      <c r="J17">
        <f t="shared" si="1"/>
        <v>0</v>
      </c>
      <c r="M17" s="38">
        <f t="shared" si="10"/>
        <v>535</v>
      </c>
      <c r="R17" s="21">
        <f t="shared" si="11"/>
        <v>1951</v>
      </c>
      <c r="S17" s="4">
        <f t="shared" si="2"/>
        <v>535</v>
      </c>
      <c r="T17">
        <f t="shared" si="3"/>
        <v>0</v>
      </c>
      <c r="U17">
        <f t="shared" si="4"/>
        <v>49</v>
      </c>
      <c r="V17" s="1" t="str">
        <f t="shared" si="5"/>
        <v>L1</v>
      </c>
      <c r="W17" s="2">
        <f t="shared" si="6"/>
        <v>10.918367346938776</v>
      </c>
      <c r="X17" s="2">
        <f t="shared" si="12"/>
        <v>0</v>
      </c>
      <c r="Y17" s="18">
        <f t="shared" si="7"/>
        <v>17.099677094623672</v>
      </c>
      <c r="Z17" s="18">
        <f t="shared" si="8"/>
        <v>0</v>
      </c>
      <c r="AA17" s="2">
        <f t="shared" si="13"/>
        <v>186.70055603313602</v>
      </c>
    </row>
    <row r="18" spans="1:27" ht="12.75">
      <c r="A18">
        <v>1952</v>
      </c>
      <c r="C18" s="35">
        <f t="shared" si="9"/>
        <v>1204</v>
      </c>
      <c r="D18" s="35">
        <v>0</v>
      </c>
      <c r="E18" s="35">
        <v>904</v>
      </c>
      <c r="F18" s="35">
        <v>0</v>
      </c>
      <c r="G18" s="35">
        <f t="shared" si="0"/>
        <v>2108</v>
      </c>
      <c r="H18" s="28">
        <v>68.5</v>
      </c>
      <c r="I18">
        <v>0</v>
      </c>
      <c r="J18">
        <f t="shared" si="1"/>
        <v>0</v>
      </c>
      <c r="M18" s="38">
        <f t="shared" si="10"/>
        <v>904</v>
      </c>
      <c r="R18" s="21">
        <f t="shared" si="11"/>
        <v>1952</v>
      </c>
      <c r="S18" s="4">
        <f t="shared" si="2"/>
        <v>904</v>
      </c>
      <c r="T18">
        <f t="shared" si="3"/>
        <v>0</v>
      </c>
      <c r="U18">
        <f t="shared" si="4"/>
        <v>49</v>
      </c>
      <c r="V18" s="1" t="str">
        <f t="shared" si="5"/>
        <v>L1</v>
      </c>
      <c r="W18" s="2">
        <f t="shared" si="6"/>
        <v>18.448979591836736</v>
      </c>
      <c r="X18" s="2">
        <f t="shared" si="12"/>
        <v>0</v>
      </c>
      <c r="Y18" s="18">
        <f t="shared" si="7"/>
        <v>17.359557000984044</v>
      </c>
      <c r="Z18" s="18">
        <f t="shared" si="8"/>
        <v>0</v>
      </c>
      <c r="AA18" s="2">
        <f t="shared" si="13"/>
        <v>320.26611283448113</v>
      </c>
    </row>
    <row r="19" spans="1:27" ht="12.75">
      <c r="A19">
        <v>1953</v>
      </c>
      <c r="C19" s="35">
        <f t="shared" si="9"/>
        <v>2108</v>
      </c>
      <c r="D19" s="35">
        <v>0</v>
      </c>
      <c r="E19" s="35">
        <v>789</v>
      </c>
      <c r="F19" s="35">
        <v>0</v>
      </c>
      <c r="G19" s="35">
        <f t="shared" si="0"/>
        <v>2897</v>
      </c>
      <c r="H19" s="28">
        <v>67.5</v>
      </c>
      <c r="I19">
        <v>0</v>
      </c>
      <c r="J19">
        <f t="shared" si="1"/>
        <v>0</v>
      </c>
      <c r="M19" s="38">
        <f t="shared" si="10"/>
        <v>789</v>
      </c>
      <c r="R19" s="21">
        <f t="shared" si="11"/>
        <v>1953</v>
      </c>
      <c r="S19" s="4">
        <f t="shared" si="2"/>
        <v>789</v>
      </c>
      <c r="T19">
        <f t="shared" si="3"/>
        <v>0</v>
      </c>
      <c r="U19">
        <f t="shared" si="4"/>
        <v>49</v>
      </c>
      <c r="V19" s="1" t="str">
        <f t="shared" si="5"/>
        <v>L1</v>
      </c>
      <c r="W19" s="2">
        <f t="shared" si="6"/>
        <v>16.102040816326532</v>
      </c>
      <c r="X19" s="2">
        <f t="shared" si="12"/>
        <v>0</v>
      </c>
      <c r="Y19" s="18">
        <f t="shared" si="7"/>
        <v>17.621786912438676</v>
      </c>
      <c r="Z19" s="18">
        <f t="shared" si="8"/>
        <v>0</v>
      </c>
      <c r="AA19" s="2">
        <f t="shared" si="13"/>
        <v>283.74673212069627</v>
      </c>
    </row>
    <row r="20" spans="1:27" ht="12.75">
      <c r="A20">
        <v>1954</v>
      </c>
      <c r="C20" s="35">
        <f t="shared" si="9"/>
        <v>2897</v>
      </c>
      <c r="D20" s="35">
        <v>0</v>
      </c>
      <c r="E20" s="35">
        <v>38</v>
      </c>
      <c r="F20" s="35">
        <v>0</v>
      </c>
      <c r="G20" s="35">
        <f t="shared" si="0"/>
        <v>2935</v>
      </c>
      <c r="H20" s="28">
        <v>66.5</v>
      </c>
      <c r="I20">
        <v>0</v>
      </c>
      <c r="J20">
        <f t="shared" si="1"/>
        <v>0</v>
      </c>
      <c r="M20" s="38">
        <f t="shared" si="10"/>
        <v>38</v>
      </c>
      <c r="R20" s="21">
        <f t="shared" si="11"/>
        <v>1954</v>
      </c>
      <c r="S20" s="4">
        <f t="shared" si="2"/>
        <v>38</v>
      </c>
      <c r="T20">
        <f t="shared" si="3"/>
        <v>0</v>
      </c>
      <c r="U20">
        <f t="shared" si="4"/>
        <v>49</v>
      </c>
      <c r="V20" s="1" t="str">
        <f t="shared" si="5"/>
        <v>L1</v>
      </c>
      <c r="W20" s="2">
        <f t="shared" si="6"/>
        <v>0.7755102040816326</v>
      </c>
      <c r="X20" s="2">
        <f t="shared" si="12"/>
        <v>0</v>
      </c>
      <c r="Y20" s="18">
        <f t="shared" si="7"/>
        <v>17.88640621530212</v>
      </c>
      <c r="Z20" s="18">
        <f t="shared" si="8"/>
        <v>0</v>
      </c>
      <c r="AA20" s="2">
        <f t="shared" si="13"/>
        <v>13.871090534315929</v>
      </c>
    </row>
    <row r="21" spans="1:27" ht="12.75">
      <c r="A21">
        <v>1955</v>
      </c>
      <c r="C21" s="35">
        <f t="shared" si="9"/>
        <v>2935</v>
      </c>
      <c r="D21" s="35">
        <v>0</v>
      </c>
      <c r="E21" s="35">
        <v>5199</v>
      </c>
      <c r="F21" s="35">
        <v>0</v>
      </c>
      <c r="G21" s="35">
        <f t="shared" si="0"/>
        <v>8134</v>
      </c>
      <c r="H21" s="28">
        <v>65.5</v>
      </c>
      <c r="I21">
        <v>0</v>
      </c>
      <c r="J21">
        <f t="shared" si="1"/>
        <v>0</v>
      </c>
      <c r="M21" s="38">
        <f t="shared" si="10"/>
        <v>5199</v>
      </c>
      <c r="R21" s="21">
        <f t="shared" si="11"/>
        <v>1955</v>
      </c>
      <c r="S21" s="4">
        <f t="shared" si="2"/>
        <v>5199</v>
      </c>
      <c r="T21">
        <f t="shared" si="3"/>
        <v>0</v>
      </c>
      <c r="U21">
        <f t="shared" si="4"/>
        <v>49</v>
      </c>
      <c r="V21" s="1" t="str">
        <f t="shared" si="5"/>
        <v>L1</v>
      </c>
      <c r="W21" s="2">
        <f t="shared" si="6"/>
        <v>106.10204081632654</v>
      </c>
      <c r="X21" s="2">
        <f t="shared" si="12"/>
        <v>0</v>
      </c>
      <c r="Y21" s="18">
        <f t="shared" si="7"/>
        <v>18.15345498885824</v>
      </c>
      <c r="Z21" s="18">
        <f t="shared" si="8"/>
        <v>0</v>
      </c>
      <c r="AA21" s="2">
        <f t="shared" si="13"/>
        <v>1926.1186221851835</v>
      </c>
    </row>
    <row r="22" spans="1:27" ht="12.75">
      <c r="A22">
        <v>1956</v>
      </c>
      <c r="C22" s="35">
        <f t="shared" si="9"/>
        <v>8134</v>
      </c>
      <c r="D22" s="35">
        <v>0</v>
      </c>
      <c r="E22" s="35">
        <v>3855</v>
      </c>
      <c r="F22" s="35">
        <v>0</v>
      </c>
      <c r="G22" s="35">
        <f t="shared" si="0"/>
        <v>11989</v>
      </c>
      <c r="H22" s="28">
        <v>64.5</v>
      </c>
      <c r="I22">
        <v>0</v>
      </c>
      <c r="J22">
        <f t="shared" si="1"/>
        <v>0</v>
      </c>
      <c r="M22" s="38">
        <f t="shared" si="10"/>
        <v>3855</v>
      </c>
      <c r="R22" s="21">
        <f t="shared" si="11"/>
        <v>1956</v>
      </c>
      <c r="S22" s="4">
        <f t="shared" si="2"/>
        <v>3855</v>
      </c>
      <c r="T22">
        <f t="shared" si="3"/>
        <v>0</v>
      </c>
      <c r="U22">
        <f t="shared" si="4"/>
        <v>49</v>
      </c>
      <c r="V22" s="1" t="str">
        <f t="shared" si="5"/>
        <v>L1</v>
      </c>
      <c r="W22" s="2">
        <f t="shared" si="6"/>
        <v>78.6734693877551</v>
      </c>
      <c r="X22" s="2">
        <f t="shared" si="12"/>
        <v>0</v>
      </c>
      <c r="Y22" s="18">
        <f t="shared" si="7"/>
        <v>18.42297402285813</v>
      </c>
      <c r="Z22" s="18">
        <f t="shared" si="8"/>
        <v>0</v>
      </c>
      <c r="AA22" s="2">
        <f t="shared" si="13"/>
        <v>1449.3992828187368</v>
      </c>
    </row>
    <row r="23" spans="1:27" ht="12.75">
      <c r="A23">
        <v>1957</v>
      </c>
      <c r="C23" s="35">
        <f t="shared" si="9"/>
        <v>11989</v>
      </c>
      <c r="D23" s="35">
        <v>0</v>
      </c>
      <c r="E23" s="35">
        <v>1094</v>
      </c>
      <c r="F23" s="35">
        <v>0</v>
      </c>
      <c r="G23" s="35">
        <f t="shared" si="0"/>
        <v>13083</v>
      </c>
      <c r="H23" s="28">
        <v>63.5</v>
      </c>
      <c r="I23">
        <v>0</v>
      </c>
      <c r="J23">
        <f t="shared" si="1"/>
        <v>0</v>
      </c>
      <c r="M23" s="38">
        <f t="shared" si="10"/>
        <v>1094</v>
      </c>
      <c r="R23" s="21">
        <f t="shared" si="11"/>
        <v>1957</v>
      </c>
      <c r="S23" s="4">
        <f t="shared" si="2"/>
        <v>1094</v>
      </c>
      <c r="T23">
        <f t="shared" si="3"/>
        <v>0</v>
      </c>
      <c r="U23">
        <f t="shared" si="4"/>
        <v>49</v>
      </c>
      <c r="V23" s="1" t="str">
        <f t="shared" si="5"/>
        <v>L1</v>
      </c>
      <c r="W23" s="2">
        <f t="shared" si="6"/>
        <v>22.3265306122449</v>
      </c>
      <c r="X23" s="2">
        <f t="shared" si="12"/>
        <v>0</v>
      </c>
      <c r="Y23" s="18">
        <f t="shared" si="7"/>
        <v>18.695004826707383</v>
      </c>
      <c r="Z23" s="18">
        <f t="shared" si="8"/>
        <v>0</v>
      </c>
      <c r="AA23" s="2">
        <f t="shared" si="13"/>
        <v>417.3945975595485</v>
      </c>
    </row>
    <row r="24" spans="1:27" ht="12.75">
      <c r="A24">
        <v>1958</v>
      </c>
      <c r="C24" s="35">
        <f t="shared" si="9"/>
        <v>13083</v>
      </c>
      <c r="D24" s="35">
        <v>0</v>
      </c>
      <c r="E24" s="35">
        <v>0</v>
      </c>
      <c r="F24" s="35">
        <v>0</v>
      </c>
      <c r="G24" s="35">
        <f t="shared" si="0"/>
        <v>13083</v>
      </c>
      <c r="H24" s="28">
        <v>62.5</v>
      </c>
      <c r="I24">
        <v>0</v>
      </c>
      <c r="J24">
        <f t="shared" si="1"/>
        <v>0</v>
      </c>
      <c r="M24" s="38">
        <f t="shared" si="10"/>
        <v>0</v>
      </c>
      <c r="R24" s="21">
        <f t="shared" si="11"/>
        <v>1958</v>
      </c>
      <c r="S24" s="4">
        <f t="shared" si="2"/>
        <v>0</v>
      </c>
      <c r="T24">
        <f t="shared" si="3"/>
        <v>0</v>
      </c>
      <c r="U24">
        <f t="shared" si="4"/>
        <v>49</v>
      </c>
      <c r="V24" s="1" t="str">
        <f t="shared" si="5"/>
        <v>L1</v>
      </c>
      <c r="W24" s="2">
        <f t="shared" si="6"/>
        <v>0</v>
      </c>
      <c r="X24" s="2">
        <f t="shared" si="12"/>
        <v>0</v>
      </c>
      <c r="Y24" s="18">
        <f t="shared" si="7"/>
        <v>18.96958963395569</v>
      </c>
      <c r="Z24" s="18">
        <f t="shared" si="8"/>
        <v>0</v>
      </c>
      <c r="AA24" s="2">
        <f t="shared" si="13"/>
        <v>0</v>
      </c>
    </row>
    <row r="25" spans="1:27" ht="12.75">
      <c r="A25">
        <v>1959</v>
      </c>
      <c r="C25" s="35">
        <f t="shared" si="9"/>
        <v>13083</v>
      </c>
      <c r="D25" s="35">
        <v>0</v>
      </c>
      <c r="E25" s="35">
        <v>12372</v>
      </c>
      <c r="F25" s="35">
        <v>0</v>
      </c>
      <c r="G25" s="35">
        <f t="shared" si="0"/>
        <v>25455</v>
      </c>
      <c r="H25" s="28">
        <v>61.5</v>
      </c>
      <c r="I25">
        <v>0</v>
      </c>
      <c r="J25">
        <f t="shared" si="1"/>
        <v>0</v>
      </c>
      <c r="M25" s="38">
        <f t="shared" si="10"/>
        <v>12372</v>
      </c>
      <c r="R25" s="21">
        <f t="shared" si="11"/>
        <v>1959</v>
      </c>
      <c r="S25" s="4">
        <f t="shared" si="2"/>
        <v>12372</v>
      </c>
      <c r="T25">
        <f t="shared" si="3"/>
        <v>0</v>
      </c>
      <c r="U25">
        <f t="shared" si="4"/>
        <v>49</v>
      </c>
      <c r="V25" s="1" t="str">
        <f t="shared" si="5"/>
        <v>L1</v>
      </c>
      <c r="W25" s="2">
        <f t="shared" si="6"/>
        <v>252.48979591836735</v>
      </c>
      <c r="X25" s="2">
        <f t="shared" si="12"/>
        <v>0</v>
      </c>
      <c r="Y25" s="18">
        <f t="shared" si="7"/>
        <v>19.246771414814734</v>
      </c>
      <c r="Z25" s="18">
        <f t="shared" si="8"/>
        <v>0</v>
      </c>
      <c r="AA25" s="2">
        <f t="shared" si="13"/>
        <v>4859.613386614039</v>
      </c>
    </row>
    <row r="26" spans="1:27" ht="12.75">
      <c r="A26">
        <v>1960</v>
      </c>
      <c r="C26" s="35">
        <f t="shared" si="9"/>
        <v>25455</v>
      </c>
      <c r="D26" s="35">
        <v>0</v>
      </c>
      <c r="E26" s="35">
        <v>0</v>
      </c>
      <c r="F26" s="35">
        <v>0</v>
      </c>
      <c r="G26" s="35">
        <f t="shared" si="0"/>
        <v>25455</v>
      </c>
      <c r="H26" s="28">
        <v>60.5</v>
      </c>
      <c r="I26">
        <v>0</v>
      </c>
      <c r="J26">
        <f t="shared" si="1"/>
        <v>0</v>
      </c>
      <c r="M26" s="38">
        <f t="shared" si="10"/>
        <v>0</v>
      </c>
      <c r="R26" s="21">
        <f t="shared" si="11"/>
        <v>1960</v>
      </c>
      <c r="S26" s="4">
        <f t="shared" si="2"/>
        <v>0</v>
      </c>
      <c r="T26">
        <f t="shared" si="3"/>
        <v>0</v>
      </c>
      <c r="U26">
        <f t="shared" si="4"/>
        <v>49</v>
      </c>
      <c r="V26" s="1" t="str">
        <f t="shared" si="5"/>
        <v>L1</v>
      </c>
      <c r="W26" s="2">
        <f t="shared" si="6"/>
        <v>0</v>
      </c>
      <c r="X26" s="2">
        <f t="shared" si="12"/>
        <v>0</v>
      </c>
      <c r="Y26" s="18">
        <f t="shared" si="7"/>
        <v>19.526593885202733</v>
      </c>
      <c r="Z26" s="18">
        <f t="shared" si="8"/>
        <v>0</v>
      </c>
      <c r="AA26" s="2">
        <f t="shared" si="13"/>
        <v>0</v>
      </c>
    </row>
    <row r="27" spans="1:27" ht="12.75">
      <c r="A27">
        <v>1961</v>
      </c>
      <c r="C27" s="35">
        <f t="shared" si="9"/>
        <v>25455</v>
      </c>
      <c r="D27" s="35">
        <v>0</v>
      </c>
      <c r="E27" s="35">
        <v>0</v>
      </c>
      <c r="F27" s="35">
        <v>0</v>
      </c>
      <c r="G27" s="35">
        <f t="shared" si="0"/>
        <v>25455</v>
      </c>
      <c r="H27" s="28">
        <v>59.5</v>
      </c>
      <c r="I27">
        <v>0</v>
      </c>
      <c r="J27">
        <f t="shared" si="1"/>
        <v>0</v>
      </c>
      <c r="M27" s="38">
        <f t="shared" si="10"/>
        <v>0</v>
      </c>
      <c r="R27" s="21">
        <f t="shared" si="11"/>
        <v>1961</v>
      </c>
      <c r="S27" s="4">
        <f t="shared" si="2"/>
        <v>0</v>
      </c>
      <c r="T27">
        <f t="shared" si="3"/>
        <v>0</v>
      </c>
      <c r="U27">
        <f t="shared" si="4"/>
        <v>49</v>
      </c>
      <c r="V27" s="1" t="str">
        <f t="shared" si="5"/>
        <v>L1</v>
      </c>
      <c r="W27" s="2">
        <f t="shared" si="6"/>
        <v>0</v>
      </c>
      <c r="X27" s="2">
        <f t="shared" si="12"/>
        <v>0</v>
      </c>
      <c r="Y27" s="18">
        <f t="shared" si="7"/>
        <v>19.809101518229784</v>
      </c>
      <c r="Z27" s="18">
        <f t="shared" si="8"/>
        <v>0</v>
      </c>
      <c r="AA27" s="2">
        <f t="shared" si="13"/>
        <v>0</v>
      </c>
    </row>
    <row r="28" spans="1:27" ht="12.75">
      <c r="A28">
        <v>1962</v>
      </c>
      <c r="C28" s="35">
        <f t="shared" si="9"/>
        <v>25455</v>
      </c>
      <c r="D28" s="35">
        <v>0</v>
      </c>
      <c r="E28" s="35">
        <v>321</v>
      </c>
      <c r="F28" s="35">
        <v>198</v>
      </c>
      <c r="G28" s="35">
        <f t="shared" si="0"/>
        <v>25578</v>
      </c>
      <c r="H28" s="28">
        <v>58.5</v>
      </c>
      <c r="I28">
        <v>0</v>
      </c>
      <c r="J28">
        <f t="shared" si="1"/>
        <v>0</v>
      </c>
      <c r="M28" s="38">
        <f t="shared" si="10"/>
        <v>321</v>
      </c>
      <c r="R28" s="21">
        <f t="shared" si="11"/>
        <v>1962</v>
      </c>
      <c r="S28" s="4">
        <f t="shared" si="2"/>
        <v>321</v>
      </c>
      <c r="T28">
        <f t="shared" si="3"/>
        <v>0</v>
      </c>
      <c r="U28">
        <f t="shared" si="4"/>
        <v>49</v>
      </c>
      <c r="V28" s="1" t="str">
        <f t="shared" si="5"/>
        <v>L1</v>
      </c>
      <c r="W28" s="2">
        <f t="shared" si="6"/>
        <v>6.551020408163265</v>
      </c>
      <c r="X28" s="2">
        <f t="shared" si="12"/>
        <v>0</v>
      </c>
      <c r="Y28" s="18">
        <f t="shared" si="7"/>
        <v>20.09433954698451</v>
      </c>
      <c r="Z28" s="18">
        <f t="shared" si="8"/>
        <v>0</v>
      </c>
      <c r="AA28" s="2">
        <f t="shared" si="13"/>
        <v>131.6384284608577</v>
      </c>
    </row>
    <row r="29" spans="1:27" ht="12.75">
      <c r="A29">
        <v>1963</v>
      </c>
      <c r="C29" s="35">
        <f t="shared" si="9"/>
        <v>25578</v>
      </c>
      <c r="D29" s="35">
        <v>0</v>
      </c>
      <c r="E29" s="35">
        <v>0</v>
      </c>
      <c r="F29" s="35">
        <v>0</v>
      </c>
      <c r="G29" s="35">
        <f t="shared" si="0"/>
        <v>25578</v>
      </c>
      <c r="H29" s="28">
        <v>57.5</v>
      </c>
      <c r="I29">
        <v>0</v>
      </c>
      <c r="J29">
        <f t="shared" si="1"/>
        <v>0</v>
      </c>
      <c r="M29" s="38">
        <f t="shared" si="10"/>
        <v>0</v>
      </c>
      <c r="R29" s="21">
        <f t="shared" si="11"/>
        <v>1963</v>
      </c>
      <c r="S29" s="4">
        <f t="shared" si="2"/>
        <v>0</v>
      </c>
      <c r="T29">
        <f t="shared" si="3"/>
        <v>0</v>
      </c>
      <c r="U29">
        <f t="shared" si="4"/>
        <v>49</v>
      </c>
      <c r="V29" s="1" t="str">
        <f t="shared" si="5"/>
        <v>L1</v>
      </c>
      <c r="W29" s="2">
        <f t="shared" si="6"/>
        <v>0</v>
      </c>
      <c r="X29" s="2">
        <f t="shared" si="12"/>
        <v>0</v>
      </c>
      <c r="Y29" s="18">
        <f t="shared" si="7"/>
        <v>20.38235397989074</v>
      </c>
      <c r="Z29" s="18">
        <f t="shared" si="8"/>
        <v>0</v>
      </c>
      <c r="AA29" s="2">
        <f t="shared" si="13"/>
        <v>0</v>
      </c>
    </row>
    <row r="30" spans="1:27" ht="12.75">
      <c r="A30">
        <v>1964</v>
      </c>
      <c r="C30" s="35">
        <f t="shared" si="9"/>
        <v>25578</v>
      </c>
      <c r="D30" s="35">
        <v>0</v>
      </c>
      <c r="E30" s="35">
        <v>608</v>
      </c>
      <c r="F30" s="35">
        <v>0</v>
      </c>
      <c r="G30" s="35">
        <f t="shared" si="0"/>
        <v>26186</v>
      </c>
      <c r="H30" s="28">
        <v>56.5</v>
      </c>
      <c r="I30">
        <v>0</v>
      </c>
      <c r="J30">
        <f t="shared" si="1"/>
        <v>0</v>
      </c>
      <c r="M30" s="38">
        <f t="shared" si="10"/>
        <v>608</v>
      </c>
      <c r="R30" s="21">
        <f t="shared" si="11"/>
        <v>1964</v>
      </c>
      <c r="S30" s="4">
        <f t="shared" si="2"/>
        <v>608</v>
      </c>
      <c r="T30">
        <f t="shared" si="3"/>
        <v>0</v>
      </c>
      <c r="U30">
        <f t="shared" si="4"/>
        <v>49</v>
      </c>
      <c r="V30" s="1" t="str">
        <f t="shared" si="5"/>
        <v>L1</v>
      </c>
      <c r="W30" s="2">
        <f t="shared" si="6"/>
        <v>12.408163265306122</v>
      </c>
      <c r="X30" s="2">
        <f t="shared" si="12"/>
        <v>0</v>
      </c>
      <c r="Y30" s="18">
        <f t="shared" si="7"/>
        <v>20.67319160399719</v>
      </c>
      <c r="Z30" s="18">
        <f t="shared" si="8"/>
        <v>0</v>
      </c>
      <c r="AA30" s="2">
        <f t="shared" si="13"/>
        <v>256.5163366373529</v>
      </c>
    </row>
    <row r="31" spans="1:27" ht="12.75">
      <c r="A31">
        <v>1965</v>
      </c>
      <c r="C31" s="35">
        <f t="shared" si="9"/>
        <v>26186</v>
      </c>
      <c r="D31" s="35">
        <v>0</v>
      </c>
      <c r="E31" s="35">
        <v>881</v>
      </c>
      <c r="F31" s="35">
        <v>131</v>
      </c>
      <c r="G31" s="35">
        <f t="shared" si="0"/>
        <v>26936</v>
      </c>
      <c r="H31" s="28">
        <v>55.5</v>
      </c>
      <c r="I31">
        <v>0</v>
      </c>
      <c r="J31">
        <f t="shared" si="1"/>
        <v>0</v>
      </c>
      <c r="M31" s="38">
        <f t="shared" si="10"/>
        <v>881</v>
      </c>
      <c r="R31" s="21">
        <f t="shared" si="11"/>
        <v>1965</v>
      </c>
      <c r="S31" s="4">
        <f t="shared" si="2"/>
        <v>881</v>
      </c>
      <c r="T31">
        <f t="shared" si="3"/>
        <v>0</v>
      </c>
      <c r="U31">
        <f t="shared" si="4"/>
        <v>49</v>
      </c>
      <c r="V31" s="1" t="str">
        <f t="shared" si="5"/>
        <v>L1</v>
      </c>
      <c r="W31" s="2">
        <f t="shared" si="6"/>
        <v>17.979591836734695</v>
      </c>
      <c r="X31" s="2">
        <f t="shared" si="12"/>
        <v>0</v>
      </c>
      <c r="Y31" s="18">
        <f t="shared" si="7"/>
        <v>20.96689999790579</v>
      </c>
      <c r="Z31" s="18">
        <f t="shared" si="8"/>
        <v>0</v>
      </c>
      <c r="AA31" s="2">
        <f t="shared" si="13"/>
        <v>376.97630404397967</v>
      </c>
    </row>
    <row r="32" spans="1:27" ht="12.75">
      <c r="A32">
        <v>1966</v>
      </c>
      <c r="C32" s="35">
        <f t="shared" si="9"/>
        <v>26936</v>
      </c>
      <c r="D32" s="35">
        <v>0</v>
      </c>
      <c r="E32" s="35">
        <v>5272</v>
      </c>
      <c r="F32" s="35">
        <v>156</v>
      </c>
      <c r="G32" s="35">
        <f t="shared" si="0"/>
        <v>32052</v>
      </c>
      <c r="H32" s="28">
        <v>54.5</v>
      </c>
      <c r="I32">
        <v>0</v>
      </c>
      <c r="J32">
        <f t="shared" si="1"/>
        <v>0</v>
      </c>
      <c r="M32" s="38">
        <f t="shared" si="10"/>
        <v>5272</v>
      </c>
      <c r="R32" s="21">
        <f t="shared" si="11"/>
        <v>1966</v>
      </c>
      <c r="S32" s="4">
        <f t="shared" si="2"/>
        <v>5272</v>
      </c>
      <c r="T32">
        <f t="shared" si="3"/>
        <v>0</v>
      </c>
      <c r="U32">
        <f t="shared" si="4"/>
        <v>49</v>
      </c>
      <c r="V32" s="1" t="str">
        <f t="shared" si="5"/>
        <v>L1</v>
      </c>
      <c r="W32" s="2">
        <f t="shared" si="6"/>
        <v>107.59183673469387</v>
      </c>
      <c r="X32" s="2">
        <f t="shared" si="12"/>
        <v>0</v>
      </c>
      <c r="Y32" s="18">
        <f t="shared" si="7"/>
        <v>21.263527534682396</v>
      </c>
      <c r="Z32" s="18">
        <f t="shared" si="8"/>
        <v>0</v>
      </c>
      <c r="AA32" s="2">
        <f t="shared" si="13"/>
        <v>2287.781982915216</v>
      </c>
    </row>
    <row r="33" spans="1:27" ht="12.75">
      <c r="A33">
        <v>1967</v>
      </c>
      <c r="C33" s="35">
        <f t="shared" si="9"/>
        <v>32052</v>
      </c>
      <c r="D33" s="35">
        <v>0</v>
      </c>
      <c r="E33" s="35">
        <v>0</v>
      </c>
      <c r="F33" s="35">
        <v>0</v>
      </c>
      <c r="G33" s="35">
        <f t="shared" si="0"/>
        <v>32052</v>
      </c>
      <c r="H33" s="28">
        <v>53.5</v>
      </c>
      <c r="I33">
        <v>0</v>
      </c>
      <c r="J33">
        <f t="shared" si="1"/>
        <v>0</v>
      </c>
      <c r="M33" s="38">
        <f t="shared" si="10"/>
        <v>0</v>
      </c>
      <c r="R33" s="21">
        <f t="shared" si="11"/>
        <v>1967</v>
      </c>
      <c r="S33" s="4">
        <f t="shared" si="2"/>
        <v>0</v>
      </c>
      <c r="T33">
        <f t="shared" si="3"/>
        <v>0</v>
      </c>
      <c r="U33">
        <f t="shared" si="4"/>
        <v>49</v>
      </c>
      <c r="V33" s="1" t="str">
        <f t="shared" si="5"/>
        <v>L1</v>
      </c>
      <c r="W33" s="2">
        <f t="shared" si="6"/>
        <v>0</v>
      </c>
      <c r="X33" s="2">
        <f t="shared" si="12"/>
        <v>0</v>
      </c>
      <c r="Y33" s="18">
        <f t="shared" si="7"/>
        <v>21.56312339461746</v>
      </c>
      <c r="Z33" s="18">
        <f t="shared" si="8"/>
        <v>0</v>
      </c>
      <c r="AA33" s="2">
        <f t="shared" si="13"/>
        <v>0</v>
      </c>
    </row>
    <row r="34" spans="1:27" ht="12.75">
      <c r="A34">
        <v>1968</v>
      </c>
      <c r="C34" s="35">
        <f t="shared" si="9"/>
        <v>32052</v>
      </c>
      <c r="D34" s="35">
        <v>0</v>
      </c>
      <c r="E34" s="35">
        <v>317</v>
      </c>
      <c r="F34" s="35">
        <v>845</v>
      </c>
      <c r="G34" s="35">
        <f t="shared" si="0"/>
        <v>31524</v>
      </c>
      <c r="H34" s="28">
        <v>52.5</v>
      </c>
      <c r="I34">
        <v>0</v>
      </c>
      <c r="J34">
        <f t="shared" si="1"/>
        <v>0</v>
      </c>
      <c r="M34" s="38">
        <f t="shared" si="10"/>
        <v>317</v>
      </c>
      <c r="R34" s="21">
        <f t="shared" si="11"/>
        <v>1968</v>
      </c>
      <c r="S34" s="4">
        <f t="shared" si="2"/>
        <v>317</v>
      </c>
      <c r="T34">
        <f t="shared" si="3"/>
        <v>0</v>
      </c>
      <c r="U34">
        <f t="shared" si="4"/>
        <v>49</v>
      </c>
      <c r="V34" s="1" t="str">
        <f t="shared" si="5"/>
        <v>L1</v>
      </c>
      <c r="W34" s="2">
        <f t="shared" si="6"/>
        <v>6.469387755102041</v>
      </c>
      <c r="X34" s="2">
        <f t="shared" si="12"/>
        <v>0</v>
      </c>
      <c r="Y34" s="18">
        <f t="shared" si="7"/>
        <v>21.86573756878293</v>
      </c>
      <c r="Z34" s="18">
        <f t="shared" si="8"/>
        <v>0</v>
      </c>
      <c r="AA34" s="2">
        <f t="shared" si="13"/>
        <v>141.45793488375895</v>
      </c>
    </row>
    <row r="35" spans="1:27" ht="12.75">
      <c r="A35">
        <v>1969</v>
      </c>
      <c r="C35" s="35">
        <f t="shared" si="9"/>
        <v>31524</v>
      </c>
      <c r="D35" s="35">
        <v>0</v>
      </c>
      <c r="E35" s="35">
        <v>281</v>
      </c>
      <c r="F35" s="35">
        <v>0</v>
      </c>
      <c r="G35" s="35">
        <f t="shared" si="0"/>
        <v>31805</v>
      </c>
      <c r="H35" s="28">
        <v>51.5</v>
      </c>
      <c r="I35">
        <v>0</v>
      </c>
      <c r="J35">
        <f t="shared" si="1"/>
        <v>0</v>
      </c>
      <c r="M35" s="38">
        <f t="shared" si="10"/>
        <v>281</v>
      </c>
      <c r="R35" s="21">
        <f t="shared" si="11"/>
        <v>1969</v>
      </c>
      <c r="S35" s="4">
        <f t="shared" si="2"/>
        <v>281</v>
      </c>
      <c r="T35">
        <f t="shared" si="3"/>
        <v>0</v>
      </c>
      <c r="U35">
        <f t="shared" si="4"/>
        <v>49</v>
      </c>
      <c r="V35" s="1" t="str">
        <f t="shared" si="5"/>
        <v>L1</v>
      </c>
      <c r="W35" s="2">
        <f t="shared" si="6"/>
        <v>5.73469387755102</v>
      </c>
      <c r="X35" s="2">
        <f t="shared" si="12"/>
        <v>0</v>
      </c>
      <c r="Y35" s="18">
        <f t="shared" si="7"/>
        <v>22.17142086692094</v>
      </c>
      <c r="Z35" s="18">
        <f t="shared" si="8"/>
        <v>0</v>
      </c>
      <c r="AA35" s="2">
        <f t="shared" si="13"/>
        <v>127.14631150213845</v>
      </c>
    </row>
    <row r="36" spans="1:27" ht="12.75">
      <c r="A36">
        <v>1970</v>
      </c>
      <c r="C36" s="35">
        <f t="shared" si="9"/>
        <v>31805</v>
      </c>
      <c r="D36" s="35">
        <v>0</v>
      </c>
      <c r="E36" s="35">
        <v>23330</v>
      </c>
      <c r="F36" s="35">
        <v>0</v>
      </c>
      <c r="G36" s="35">
        <f t="shared" si="0"/>
        <v>55135</v>
      </c>
      <c r="H36" s="28">
        <v>50.5</v>
      </c>
      <c r="I36">
        <v>0</v>
      </c>
      <c r="J36">
        <f t="shared" si="1"/>
        <v>0</v>
      </c>
      <c r="M36" s="38">
        <f t="shared" si="10"/>
        <v>23330</v>
      </c>
      <c r="R36" s="21">
        <f t="shared" si="11"/>
        <v>1970</v>
      </c>
      <c r="S36" s="4">
        <f t="shared" si="2"/>
        <v>23330</v>
      </c>
      <c r="T36">
        <f t="shared" si="3"/>
        <v>0</v>
      </c>
      <c r="U36">
        <f t="shared" si="4"/>
        <v>49</v>
      </c>
      <c r="V36" s="1" t="str">
        <f t="shared" si="5"/>
        <v>L1</v>
      </c>
      <c r="W36" s="2">
        <f t="shared" si="6"/>
        <v>476.1224489795918</v>
      </c>
      <c r="X36" s="2">
        <f t="shared" si="12"/>
        <v>0</v>
      </c>
      <c r="Y36" s="18">
        <f t="shared" si="7"/>
        <v>22.48022492466543</v>
      </c>
      <c r="Z36" s="18">
        <f t="shared" si="8"/>
        <v>0</v>
      </c>
      <c r="AA36" s="2">
        <f t="shared" si="13"/>
        <v>10703.339744743764</v>
      </c>
    </row>
    <row r="37" spans="1:27" ht="12.75">
      <c r="A37">
        <v>1971</v>
      </c>
      <c r="C37" s="35">
        <f t="shared" si="9"/>
        <v>55135</v>
      </c>
      <c r="D37" s="35">
        <v>0</v>
      </c>
      <c r="E37" s="35">
        <v>24948</v>
      </c>
      <c r="F37" s="35">
        <v>0</v>
      </c>
      <c r="G37" s="35">
        <f t="shared" si="0"/>
        <v>80083</v>
      </c>
      <c r="H37" s="28">
        <v>49.5</v>
      </c>
      <c r="I37">
        <v>0</v>
      </c>
      <c r="J37">
        <f t="shared" si="1"/>
        <v>0</v>
      </c>
      <c r="M37" s="38">
        <f t="shared" si="10"/>
        <v>24948</v>
      </c>
      <c r="R37" s="21">
        <f t="shared" si="11"/>
        <v>1971</v>
      </c>
      <c r="S37" s="4">
        <f t="shared" si="2"/>
        <v>24948</v>
      </c>
      <c r="T37">
        <f t="shared" si="3"/>
        <v>0</v>
      </c>
      <c r="U37">
        <f t="shared" si="4"/>
        <v>49</v>
      </c>
      <c r="V37" s="1" t="str">
        <f t="shared" si="5"/>
        <v>L1</v>
      </c>
      <c r="W37" s="2">
        <f t="shared" si="6"/>
        <v>509.14285714285717</v>
      </c>
      <c r="X37" s="2">
        <f t="shared" si="12"/>
        <v>0</v>
      </c>
      <c r="Y37" s="18">
        <f t="shared" si="7"/>
        <v>22.792202209619266</v>
      </c>
      <c r="Z37" s="18">
        <f t="shared" si="8"/>
        <v>0</v>
      </c>
      <c r="AA37" s="2">
        <f t="shared" si="13"/>
        <v>11604.486953583295</v>
      </c>
    </row>
    <row r="38" spans="1:27" ht="12.75">
      <c r="A38">
        <v>1972</v>
      </c>
      <c r="C38" s="35">
        <f t="shared" si="9"/>
        <v>80083</v>
      </c>
      <c r="D38" s="35">
        <v>0</v>
      </c>
      <c r="E38" s="35">
        <v>13981</v>
      </c>
      <c r="F38" s="35">
        <v>136</v>
      </c>
      <c r="G38" s="35">
        <f t="shared" si="0"/>
        <v>93928</v>
      </c>
      <c r="H38" s="28">
        <v>48.5</v>
      </c>
      <c r="I38">
        <v>0</v>
      </c>
      <c r="J38">
        <f t="shared" si="1"/>
        <v>0</v>
      </c>
      <c r="M38" s="38">
        <f t="shared" si="10"/>
        <v>13981</v>
      </c>
      <c r="R38" s="21">
        <f t="shared" si="11"/>
        <v>1972</v>
      </c>
      <c r="S38" s="4">
        <f aca="true" t="shared" si="14" ref="S38:S68">E38</f>
        <v>13981</v>
      </c>
      <c r="T38">
        <f aca="true" t="shared" si="15" ref="T38:T68">IF(D38&gt;0,IF(J38&gt;0,D38,0),0)</f>
        <v>0</v>
      </c>
      <c r="U38">
        <f aca="true" t="shared" si="16" ref="U38:U72">$V$94</f>
        <v>49</v>
      </c>
      <c r="V38" s="1" t="str">
        <f aca="true" t="shared" si="17" ref="V38:V72">$V$93</f>
        <v>L1</v>
      </c>
      <c r="W38" s="2">
        <f aca="true" t="shared" si="18" ref="W38:W68">S38/U38</f>
        <v>285.3265306122449</v>
      </c>
      <c r="X38" s="2">
        <f t="shared" si="12"/>
        <v>0</v>
      </c>
      <c r="Y38" s="18">
        <f aca="true" t="shared" si="19" ref="Y38:Y66">Prob_life(V38,H38,U38)</f>
        <v>23.107406026665636</v>
      </c>
      <c r="Z38" s="18">
        <f aca="true" t="shared" si="20" ref="Z38:Z68">IF(J38&gt;0,Prob_life(V38,J38+0.5,U38),0)</f>
        <v>0</v>
      </c>
      <c r="AA38" s="2">
        <f t="shared" si="13"/>
        <v>6593.155993036984</v>
      </c>
    </row>
    <row r="39" spans="1:27" ht="12.75">
      <c r="A39">
        <v>1973</v>
      </c>
      <c r="C39" s="35">
        <f t="shared" si="9"/>
        <v>93928</v>
      </c>
      <c r="D39" s="35">
        <v>0</v>
      </c>
      <c r="E39" s="35">
        <v>3975</v>
      </c>
      <c r="F39" s="35">
        <v>632</v>
      </c>
      <c r="G39" s="35">
        <f t="shared" si="0"/>
        <v>97271</v>
      </c>
      <c r="H39" s="28">
        <v>47.5</v>
      </c>
      <c r="I39">
        <v>0</v>
      </c>
      <c r="J39">
        <f t="shared" si="1"/>
        <v>0</v>
      </c>
      <c r="M39" s="38">
        <f t="shared" si="10"/>
        <v>3975</v>
      </c>
      <c r="R39" s="21">
        <f t="shared" si="11"/>
        <v>1973</v>
      </c>
      <c r="S39" s="4">
        <f t="shared" si="14"/>
        <v>3975</v>
      </c>
      <c r="T39">
        <f t="shared" si="15"/>
        <v>0</v>
      </c>
      <c r="U39">
        <f t="shared" si="16"/>
        <v>49</v>
      </c>
      <c r="V39" s="1" t="str">
        <f t="shared" si="17"/>
        <v>L1</v>
      </c>
      <c r="W39" s="2">
        <f t="shared" si="18"/>
        <v>81.12244897959184</v>
      </c>
      <c r="X39" s="2">
        <f t="shared" si="12"/>
        <v>0</v>
      </c>
      <c r="Y39" s="18">
        <f t="shared" si="19"/>
        <v>23.425890521791718</v>
      </c>
      <c r="Z39" s="18">
        <f t="shared" si="20"/>
        <v>0</v>
      </c>
      <c r="AA39" s="2">
        <f t="shared" si="13"/>
        <v>1900.3656086555527</v>
      </c>
    </row>
    <row r="40" spans="1:27" ht="12.75">
      <c r="A40">
        <v>1974</v>
      </c>
      <c r="C40" s="35">
        <f t="shared" si="9"/>
        <v>97271</v>
      </c>
      <c r="D40" s="35">
        <v>0</v>
      </c>
      <c r="E40" s="35">
        <v>5207</v>
      </c>
      <c r="F40" s="35">
        <v>594</v>
      </c>
      <c r="G40" s="35">
        <f t="shared" si="0"/>
        <v>101884</v>
      </c>
      <c r="H40" s="28">
        <v>46.5</v>
      </c>
      <c r="I40">
        <v>0</v>
      </c>
      <c r="J40">
        <f t="shared" si="1"/>
        <v>0</v>
      </c>
      <c r="M40" s="38">
        <f t="shared" si="10"/>
        <v>5207</v>
      </c>
      <c r="R40" s="21">
        <f t="shared" si="11"/>
        <v>1974</v>
      </c>
      <c r="S40" s="4">
        <f t="shared" si="14"/>
        <v>5207</v>
      </c>
      <c r="T40">
        <f t="shared" si="15"/>
        <v>0</v>
      </c>
      <c r="U40">
        <f t="shared" si="16"/>
        <v>49</v>
      </c>
      <c r="V40" s="1" t="str">
        <f t="shared" si="17"/>
        <v>L1</v>
      </c>
      <c r="W40" s="2">
        <f t="shared" si="18"/>
        <v>106.26530612244898</v>
      </c>
      <c r="X40" s="2">
        <f t="shared" si="12"/>
        <v>0</v>
      </c>
      <c r="Y40" s="18">
        <f t="shared" si="19"/>
        <v>23.747710688048777</v>
      </c>
      <c r="Z40" s="18">
        <f t="shared" si="20"/>
        <v>0</v>
      </c>
      <c r="AA40" s="2">
        <f t="shared" si="13"/>
        <v>2523.5577459728565</v>
      </c>
    </row>
    <row r="41" spans="1:27" ht="12.75">
      <c r="A41">
        <v>1975</v>
      </c>
      <c r="C41" s="35">
        <f t="shared" si="9"/>
        <v>101884</v>
      </c>
      <c r="D41" s="35">
        <v>0</v>
      </c>
      <c r="E41" s="35">
        <v>6244</v>
      </c>
      <c r="F41" s="35">
        <v>929</v>
      </c>
      <c r="G41" s="35">
        <f t="shared" si="0"/>
        <v>107199</v>
      </c>
      <c r="H41" s="28">
        <v>45.5</v>
      </c>
      <c r="I41">
        <v>0</v>
      </c>
      <c r="J41">
        <f t="shared" si="1"/>
        <v>0</v>
      </c>
      <c r="M41" s="38">
        <f t="shared" si="10"/>
        <v>6244</v>
      </c>
      <c r="R41" s="21">
        <f t="shared" si="11"/>
        <v>1975</v>
      </c>
      <c r="S41" s="4">
        <f t="shared" si="14"/>
        <v>6244</v>
      </c>
      <c r="T41">
        <f t="shared" si="15"/>
        <v>0</v>
      </c>
      <c r="U41">
        <f t="shared" si="16"/>
        <v>49</v>
      </c>
      <c r="V41" s="1" t="str">
        <f t="shared" si="17"/>
        <v>L1</v>
      </c>
      <c r="W41" s="2">
        <f t="shared" si="18"/>
        <v>127.42857142857143</v>
      </c>
      <c r="X41" s="2">
        <f t="shared" si="12"/>
        <v>0</v>
      </c>
      <c r="Y41" s="18">
        <f t="shared" si="19"/>
        <v>24.07292236968679</v>
      </c>
      <c r="Z41" s="18">
        <f t="shared" si="20"/>
        <v>0</v>
      </c>
      <c r="AA41" s="2">
        <f t="shared" si="13"/>
        <v>3067.578107680088</v>
      </c>
    </row>
    <row r="42" spans="1:27" ht="12.75">
      <c r="A42">
        <v>1976</v>
      </c>
      <c r="C42" s="35">
        <f t="shared" si="9"/>
        <v>107199</v>
      </c>
      <c r="D42" s="35">
        <v>0</v>
      </c>
      <c r="E42" s="35">
        <v>3610</v>
      </c>
      <c r="F42" s="35">
        <v>2518</v>
      </c>
      <c r="G42" s="35">
        <f t="shared" si="0"/>
        <v>108291</v>
      </c>
      <c r="H42" s="28">
        <v>44.5</v>
      </c>
      <c r="I42">
        <v>0</v>
      </c>
      <c r="J42">
        <f t="shared" si="1"/>
        <v>0</v>
      </c>
      <c r="M42" s="38">
        <f t="shared" si="10"/>
        <v>3610</v>
      </c>
      <c r="R42" s="21">
        <f t="shared" si="11"/>
        <v>1976</v>
      </c>
      <c r="S42" s="4">
        <f t="shared" si="14"/>
        <v>3610</v>
      </c>
      <c r="T42">
        <f t="shared" si="15"/>
        <v>0</v>
      </c>
      <c r="U42">
        <f t="shared" si="16"/>
        <v>49</v>
      </c>
      <c r="V42" s="1" t="str">
        <f t="shared" si="17"/>
        <v>L1</v>
      </c>
      <c r="W42" s="2">
        <f t="shared" si="18"/>
        <v>73.6734693877551</v>
      </c>
      <c r="X42" s="2">
        <f t="shared" si="12"/>
        <v>0</v>
      </c>
      <c r="Y42" s="18">
        <f t="shared" si="19"/>
        <v>24.40158226308914</v>
      </c>
      <c r="Z42" s="18">
        <f t="shared" si="20"/>
        <v>0</v>
      </c>
      <c r="AA42" s="2">
        <f t="shared" si="13"/>
        <v>1797.7492238724856</v>
      </c>
    </row>
    <row r="43" spans="1:27" ht="12.75">
      <c r="A43">
        <v>1977</v>
      </c>
      <c r="C43" s="35">
        <f t="shared" si="9"/>
        <v>108291</v>
      </c>
      <c r="D43" s="35">
        <v>0</v>
      </c>
      <c r="E43" s="35">
        <v>8552</v>
      </c>
      <c r="F43" s="35">
        <v>171</v>
      </c>
      <c r="G43" s="35">
        <f t="shared" si="0"/>
        <v>116672</v>
      </c>
      <c r="H43" s="28">
        <v>43.5</v>
      </c>
      <c r="I43">
        <v>0</v>
      </c>
      <c r="J43">
        <f t="shared" si="1"/>
        <v>0</v>
      </c>
      <c r="M43" s="38">
        <f t="shared" si="10"/>
        <v>8552</v>
      </c>
      <c r="R43" s="21">
        <f t="shared" si="11"/>
        <v>1977</v>
      </c>
      <c r="S43" s="4">
        <f t="shared" si="14"/>
        <v>8552</v>
      </c>
      <c r="T43">
        <f t="shared" si="15"/>
        <v>0</v>
      </c>
      <c r="U43">
        <f t="shared" si="16"/>
        <v>49</v>
      </c>
      <c r="V43" s="1" t="str">
        <f t="shared" si="17"/>
        <v>L1</v>
      </c>
      <c r="W43" s="2">
        <f t="shared" si="18"/>
        <v>174.53061224489795</v>
      </c>
      <c r="X43" s="2">
        <f t="shared" si="12"/>
        <v>0</v>
      </c>
      <c r="Y43" s="18">
        <f t="shared" si="19"/>
        <v>24.733747921905998</v>
      </c>
      <c r="Z43" s="18">
        <f t="shared" si="20"/>
        <v>0</v>
      </c>
      <c r="AA43" s="2">
        <f t="shared" si="13"/>
        <v>4316.796167921226</v>
      </c>
    </row>
    <row r="44" spans="1:27" ht="12.75">
      <c r="A44">
        <v>1978</v>
      </c>
      <c r="C44" s="35">
        <f t="shared" si="9"/>
        <v>116672</v>
      </c>
      <c r="D44" s="35">
        <v>0</v>
      </c>
      <c r="E44" s="35">
        <v>7190</v>
      </c>
      <c r="F44" s="35">
        <v>797</v>
      </c>
      <c r="G44" s="35">
        <f t="shared" si="0"/>
        <v>123065</v>
      </c>
      <c r="H44" s="28">
        <v>42.5</v>
      </c>
      <c r="I44">
        <v>0</v>
      </c>
      <c r="J44">
        <f t="shared" si="1"/>
        <v>0</v>
      </c>
      <c r="M44" s="38">
        <f t="shared" si="10"/>
        <v>7190</v>
      </c>
      <c r="R44" s="21">
        <f t="shared" si="11"/>
        <v>1978</v>
      </c>
      <c r="S44" s="4">
        <f t="shared" si="14"/>
        <v>7190</v>
      </c>
      <c r="T44">
        <f t="shared" si="15"/>
        <v>0</v>
      </c>
      <c r="U44">
        <f t="shared" si="16"/>
        <v>49</v>
      </c>
      <c r="V44" s="1" t="str">
        <f t="shared" si="17"/>
        <v>L1</v>
      </c>
      <c r="W44" s="2">
        <f t="shared" si="18"/>
        <v>146.73469387755102</v>
      </c>
      <c r="X44" s="2">
        <f t="shared" si="12"/>
        <v>0</v>
      </c>
      <c r="Y44" s="18">
        <f t="shared" si="19"/>
        <v>25.06947775660434</v>
      </c>
      <c r="Z44" s="18">
        <f t="shared" si="20"/>
        <v>0</v>
      </c>
      <c r="AA44" s="2">
        <f t="shared" si="13"/>
        <v>3678.562144285412</v>
      </c>
    </row>
    <row r="45" spans="1:27" ht="12.75">
      <c r="A45">
        <v>1979</v>
      </c>
      <c r="C45" s="35">
        <f t="shared" si="9"/>
        <v>123065</v>
      </c>
      <c r="D45" s="35">
        <v>0</v>
      </c>
      <c r="E45" s="35">
        <v>9000</v>
      </c>
      <c r="F45" s="35">
        <v>0</v>
      </c>
      <c r="G45" s="35">
        <f t="shared" si="0"/>
        <v>132065</v>
      </c>
      <c r="H45" s="28">
        <v>41.5</v>
      </c>
      <c r="I45">
        <v>0</v>
      </c>
      <c r="J45">
        <f t="shared" si="1"/>
        <v>0</v>
      </c>
      <c r="M45" s="38">
        <f t="shared" si="10"/>
        <v>9000</v>
      </c>
      <c r="R45" s="21">
        <f t="shared" si="11"/>
        <v>1979</v>
      </c>
      <c r="S45" s="4">
        <f t="shared" si="14"/>
        <v>9000</v>
      </c>
      <c r="T45">
        <f t="shared" si="15"/>
        <v>0</v>
      </c>
      <c r="U45">
        <f t="shared" si="16"/>
        <v>49</v>
      </c>
      <c r="V45" s="1" t="str">
        <f t="shared" si="17"/>
        <v>L1</v>
      </c>
      <c r="W45" s="2">
        <f t="shared" si="18"/>
        <v>183.6734693877551</v>
      </c>
      <c r="X45" s="2">
        <f t="shared" si="12"/>
        <v>0</v>
      </c>
      <c r="Y45" s="18">
        <f t="shared" si="19"/>
        <v>25.408831035804383</v>
      </c>
      <c r="Z45" s="18">
        <f t="shared" si="20"/>
        <v>0</v>
      </c>
      <c r="AA45" s="2">
        <f t="shared" si="13"/>
        <v>4666.928149433458</v>
      </c>
    </row>
    <row r="46" spans="1:27" ht="12.75">
      <c r="A46">
        <v>1980</v>
      </c>
      <c r="C46" s="35">
        <f t="shared" si="9"/>
        <v>132065</v>
      </c>
      <c r="D46" s="35">
        <v>0</v>
      </c>
      <c r="E46" s="35">
        <v>41132</v>
      </c>
      <c r="F46" s="35">
        <v>575</v>
      </c>
      <c r="G46" s="35">
        <f t="shared" si="0"/>
        <v>172622</v>
      </c>
      <c r="H46" s="28">
        <v>40.5</v>
      </c>
      <c r="I46">
        <v>0</v>
      </c>
      <c r="J46">
        <f t="shared" si="1"/>
        <v>0</v>
      </c>
      <c r="M46" s="38">
        <f t="shared" si="10"/>
        <v>41132</v>
      </c>
      <c r="R46" s="21">
        <f t="shared" si="11"/>
        <v>1980</v>
      </c>
      <c r="S46" s="4">
        <f t="shared" si="14"/>
        <v>41132</v>
      </c>
      <c r="T46">
        <f t="shared" si="15"/>
        <v>0</v>
      </c>
      <c r="U46">
        <f t="shared" si="16"/>
        <v>49</v>
      </c>
      <c r="V46" s="1" t="str">
        <f t="shared" si="17"/>
        <v>L1</v>
      </c>
      <c r="W46" s="2">
        <f t="shared" si="18"/>
        <v>839.4285714285714</v>
      </c>
      <c r="X46" s="2">
        <f t="shared" si="12"/>
        <v>0</v>
      </c>
      <c r="Y46" s="18">
        <f t="shared" si="19"/>
        <v>25.751867887329116</v>
      </c>
      <c r="Z46" s="18">
        <f t="shared" si="20"/>
        <v>0</v>
      </c>
      <c r="AA46" s="2">
        <f t="shared" si="13"/>
        <v>21616.853672277983</v>
      </c>
    </row>
    <row r="47" spans="1:27" ht="12.75">
      <c r="A47">
        <v>1981</v>
      </c>
      <c r="C47" s="35">
        <f t="shared" si="9"/>
        <v>172622</v>
      </c>
      <c r="D47" s="35">
        <v>0</v>
      </c>
      <c r="E47" s="35">
        <v>51901</v>
      </c>
      <c r="F47" s="35">
        <v>1879</v>
      </c>
      <c r="G47" s="35">
        <f t="shared" si="0"/>
        <v>222644</v>
      </c>
      <c r="H47" s="28">
        <v>39.5</v>
      </c>
      <c r="I47">
        <v>0</v>
      </c>
      <c r="J47">
        <f t="shared" si="1"/>
        <v>0</v>
      </c>
      <c r="M47" s="38">
        <f t="shared" si="10"/>
        <v>51901</v>
      </c>
      <c r="R47" s="21">
        <f t="shared" si="11"/>
        <v>1981</v>
      </c>
      <c r="S47" s="4">
        <f t="shared" si="14"/>
        <v>51901</v>
      </c>
      <c r="T47">
        <f t="shared" si="15"/>
        <v>0</v>
      </c>
      <c r="U47">
        <f t="shared" si="16"/>
        <v>49</v>
      </c>
      <c r="V47" s="1" t="str">
        <f t="shared" si="17"/>
        <v>L1</v>
      </c>
      <c r="W47" s="2">
        <f t="shared" si="18"/>
        <v>1059.204081632653</v>
      </c>
      <c r="X47" s="2">
        <f t="shared" si="12"/>
        <v>0</v>
      </c>
      <c r="Y47" s="18">
        <f t="shared" si="19"/>
        <v>26.098649295056983</v>
      </c>
      <c r="Z47" s="18">
        <f t="shared" si="20"/>
        <v>0</v>
      </c>
      <c r="AA47" s="2">
        <f t="shared" si="13"/>
        <v>27643.79585842352</v>
      </c>
    </row>
    <row r="48" spans="1:27" ht="12.75">
      <c r="A48">
        <v>1982</v>
      </c>
      <c r="C48" s="35">
        <f t="shared" si="9"/>
        <v>222644</v>
      </c>
      <c r="D48" s="35">
        <v>0</v>
      </c>
      <c r="E48" s="35">
        <v>13595</v>
      </c>
      <c r="F48" s="35">
        <v>819</v>
      </c>
      <c r="G48" s="35">
        <f t="shared" si="0"/>
        <v>235420</v>
      </c>
      <c r="H48" s="28">
        <v>38.5</v>
      </c>
      <c r="I48">
        <v>0</v>
      </c>
      <c r="J48">
        <f t="shared" si="1"/>
        <v>0</v>
      </c>
      <c r="M48" s="38">
        <f t="shared" si="10"/>
        <v>13595</v>
      </c>
      <c r="R48" s="21">
        <f t="shared" si="11"/>
        <v>1982</v>
      </c>
      <c r="S48" s="4">
        <f t="shared" si="14"/>
        <v>13595</v>
      </c>
      <c r="T48">
        <f t="shared" si="15"/>
        <v>0</v>
      </c>
      <c r="U48">
        <f t="shared" si="16"/>
        <v>49</v>
      </c>
      <c r="V48" s="1" t="str">
        <f t="shared" si="17"/>
        <v>L1</v>
      </c>
      <c r="W48" s="2">
        <f t="shared" si="18"/>
        <v>277.44897959183675</v>
      </c>
      <c r="X48" s="2">
        <f t="shared" si="12"/>
        <v>0</v>
      </c>
      <c r="Y48" s="18">
        <f t="shared" si="19"/>
        <v>26.44923709817616</v>
      </c>
      <c r="Z48" s="18">
        <f t="shared" si="20"/>
        <v>0</v>
      </c>
      <c r="AA48" s="2">
        <f t="shared" si="13"/>
        <v>7338.313843871529</v>
      </c>
    </row>
    <row r="49" spans="1:27" ht="12.75">
      <c r="A49">
        <v>1983</v>
      </c>
      <c r="C49" s="35">
        <f t="shared" si="9"/>
        <v>235420</v>
      </c>
      <c r="D49" s="35">
        <v>0</v>
      </c>
      <c r="E49" s="35">
        <v>20919</v>
      </c>
      <c r="F49" s="35">
        <v>447</v>
      </c>
      <c r="G49" s="35">
        <f t="shared" si="0"/>
        <v>255892</v>
      </c>
      <c r="H49" s="28">
        <v>37.5</v>
      </c>
      <c r="I49">
        <v>0</v>
      </c>
      <c r="J49">
        <f t="shared" si="1"/>
        <v>0</v>
      </c>
      <c r="M49" s="38">
        <f t="shared" si="10"/>
        <v>20919</v>
      </c>
      <c r="R49" s="21">
        <f t="shared" si="11"/>
        <v>1983</v>
      </c>
      <c r="S49" s="4">
        <f t="shared" si="14"/>
        <v>20919</v>
      </c>
      <c r="T49">
        <f t="shared" si="15"/>
        <v>0</v>
      </c>
      <c r="U49">
        <f t="shared" si="16"/>
        <v>49</v>
      </c>
      <c r="V49" s="1" t="str">
        <f t="shared" si="17"/>
        <v>L1</v>
      </c>
      <c r="W49" s="2">
        <f t="shared" si="18"/>
        <v>426.9183673469388</v>
      </c>
      <c r="X49" s="2">
        <f t="shared" si="12"/>
        <v>0</v>
      </c>
      <c r="Y49" s="18">
        <f t="shared" si="19"/>
        <v>26.803693988021738</v>
      </c>
      <c r="Z49" s="18">
        <f t="shared" si="20"/>
        <v>0</v>
      </c>
      <c r="AA49" s="2">
        <f t="shared" si="13"/>
        <v>11442.9892762332</v>
      </c>
    </row>
    <row r="50" spans="1:27" ht="12.75">
      <c r="A50">
        <v>1984</v>
      </c>
      <c r="C50" s="35">
        <f t="shared" si="9"/>
        <v>255892</v>
      </c>
      <c r="D50" s="35">
        <v>0</v>
      </c>
      <c r="E50" s="35">
        <v>16759</v>
      </c>
      <c r="F50" s="35">
        <v>0</v>
      </c>
      <c r="G50" s="35">
        <f t="shared" si="0"/>
        <v>272651</v>
      </c>
      <c r="H50" s="28">
        <v>36.5</v>
      </c>
      <c r="I50">
        <v>0</v>
      </c>
      <c r="J50">
        <f t="shared" si="1"/>
        <v>0</v>
      </c>
      <c r="M50" s="38">
        <f t="shared" si="10"/>
        <v>16759</v>
      </c>
      <c r="R50" s="21">
        <f t="shared" si="11"/>
        <v>1984</v>
      </c>
      <c r="S50" s="4">
        <f t="shared" si="14"/>
        <v>16759</v>
      </c>
      <c r="T50">
        <f t="shared" si="15"/>
        <v>0</v>
      </c>
      <c r="U50">
        <f t="shared" si="16"/>
        <v>49</v>
      </c>
      <c r="V50" s="1" t="str">
        <f t="shared" si="17"/>
        <v>L1</v>
      </c>
      <c r="W50" s="2">
        <f t="shared" si="18"/>
        <v>342.0204081632653</v>
      </c>
      <c r="X50" s="2">
        <f t="shared" si="12"/>
        <v>0</v>
      </c>
      <c r="Y50" s="18">
        <f t="shared" si="19"/>
        <v>27.162083502674697</v>
      </c>
      <c r="Z50" s="18">
        <f t="shared" si="20"/>
        <v>0</v>
      </c>
      <c r="AA50" s="2">
        <f t="shared" si="13"/>
        <v>9289.986886149494</v>
      </c>
    </row>
    <row r="51" spans="1:27" ht="12.75">
      <c r="A51">
        <v>1985</v>
      </c>
      <c r="C51" s="35">
        <f t="shared" si="9"/>
        <v>272651</v>
      </c>
      <c r="D51" s="35">
        <v>0</v>
      </c>
      <c r="E51" s="35">
        <v>12417</v>
      </c>
      <c r="F51" s="35">
        <v>0</v>
      </c>
      <c r="G51" s="35">
        <f t="shared" si="0"/>
        <v>285068</v>
      </c>
      <c r="H51" s="28">
        <v>35.5</v>
      </c>
      <c r="I51">
        <v>0</v>
      </c>
      <c r="J51">
        <f t="shared" si="1"/>
        <v>0</v>
      </c>
      <c r="M51" s="38">
        <f t="shared" si="10"/>
        <v>12417</v>
      </c>
      <c r="R51" s="21">
        <f t="shared" si="11"/>
        <v>1985</v>
      </c>
      <c r="S51" s="4">
        <f t="shared" si="14"/>
        <v>12417</v>
      </c>
      <c r="T51">
        <f t="shared" si="15"/>
        <v>0</v>
      </c>
      <c r="U51">
        <f t="shared" si="16"/>
        <v>49</v>
      </c>
      <c r="V51" s="1" t="str">
        <f t="shared" si="17"/>
        <v>L1</v>
      </c>
      <c r="W51" s="2">
        <f t="shared" si="18"/>
        <v>253.40816326530611</v>
      </c>
      <c r="X51" s="2">
        <f t="shared" si="12"/>
        <v>0</v>
      </c>
      <c r="Y51" s="18">
        <f t="shared" si="19"/>
        <v>27.524470022294352</v>
      </c>
      <c r="Z51" s="18">
        <f t="shared" si="20"/>
        <v>0</v>
      </c>
      <c r="AA51" s="2">
        <f t="shared" si="13"/>
        <v>6974.925393200591</v>
      </c>
    </row>
    <row r="52" spans="1:27" ht="12.75">
      <c r="A52">
        <v>1986</v>
      </c>
      <c r="C52" s="35">
        <f aca="true" t="shared" si="21" ref="C52:C68">G51</f>
        <v>285068</v>
      </c>
      <c r="D52" s="35">
        <v>0</v>
      </c>
      <c r="E52" s="35">
        <f>13036-6293+30985</f>
        <v>37728</v>
      </c>
      <c r="F52" s="35">
        <f>3248</f>
        <v>3248</v>
      </c>
      <c r="G52" s="35">
        <f aca="true" t="shared" si="22" ref="G52:G68">C52+D52+E52-F52</f>
        <v>319548</v>
      </c>
      <c r="H52" s="28">
        <v>34.5</v>
      </c>
      <c r="I52">
        <v>0</v>
      </c>
      <c r="J52">
        <f>IF(I52=0,0,ROUND((I52/D52/$G$94)+H52,1))</f>
        <v>0</v>
      </c>
      <c r="M52" s="38">
        <f t="shared" si="10"/>
        <v>37728</v>
      </c>
      <c r="R52" s="21">
        <f t="shared" si="11"/>
        <v>1986</v>
      </c>
      <c r="S52" s="4">
        <f t="shared" si="14"/>
        <v>37728</v>
      </c>
      <c r="T52">
        <f t="shared" si="15"/>
        <v>0</v>
      </c>
      <c r="U52">
        <f t="shared" si="16"/>
        <v>49</v>
      </c>
      <c r="V52" s="1" t="str">
        <f t="shared" si="17"/>
        <v>L1</v>
      </c>
      <c r="W52" s="2">
        <f t="shared" si="18"/>
        <v>769.9591836734694</v>
      </c>
      <c r="X52" s="2">
        <f t="shared" si="12"/>
        <v>0</v>
      </c>
      <c r="Y52" s="18">
        <f t="shared" si="19"/>
        <v>27.8909187617193</v>
      </c>
      <c r="Z52" s="18">
        <f t="shared" si="20"/>
        <v>0</v>
      </c>
      <c r="AA52" s="2">
        <f t="shared" si="13"/>
        <v>21474.869041676444</v>
      </c>
    </row>
    <row r="53" spans="1:27" ht="12.75">
      <c r="A53">
        <v>1987</v>
      </c>
      <c r="C53" s="35">
        <f t="shared" si="21"/>
        <v>319548</v>
      </c>
      <c r="D53" s="35">
        <v>0</v>
      </c>
      <c r="E53" s="35">
        <f>55035-30985+30611</f>
        <v>54661</v>
      </c>
      <c r="F53" s="35">
        <f>3248-3248+700</f>
        <v>700</v>
      </c>
      <c r="G53" s="35">
        <f t="shared" si="22"/>
        <v>373509</v>
      </c>
      <c r="H53" s="28">
        <v>33.5</v>
      </c>
      <c r="I53">
        <v>0</v>
      </c>
      <c r="J53">
        <f aca="true" t="shared" si="23" ref="J53:J68">IF(I53=0,0,ROUND((I53/D53/$G$94)+H53,1))</f>
        <v>0</v>
      </c>
      <c r="M53" s="38">
        <f t="shared" si="10"/>
        <v>54661</v>
      </c>
      <c r="R53" s="21">
        <f t="shared" si="11"/>
        <v>1987</v>
      </c>
      <c r="S53" s="4">
        <f t="shared" si="14"/>
        <v>54661</v>
      </c>
      <c r="T53">
        <f t="shared" si="15"/>
        <v>0</v>
      </c>
      <c r="U53">
        <f t="shared" si="16"/>
        <v>49</v>
      </c>
      <c r="V53" s="1" t="str">
        <f t="shared" si="17"/>
        <v>L1</v>
      </c>
      <c r="W53" s="2">
        <f t="shared" si="18"/>
        <v>1115.530612244898</v>
      </c>
      <c r="X53" s="2">
        <f t="shared" si="12"/>
        <v>0</v>
      </c>
      <c r="Y53" s="18">
        <f t="shared" si="19"/>
        <v>28.26149576191531</v>
      </c>
      <c r="Z53" s="18">
        <f t="shared" si="20"/>
        <v>0</v>
      </c>
      <c r="AA53" s="2">
        <f t="shared" si="13"/>
        <v>31526.563670245978</v>
      </c>
    </row>
    <row r="54" spans="1:27" ht="12.75">
      <c r="A54">
        <v>1988</v>
      </c>
      <c r="C54" s="35">
        <f t="shared" si="21"/>
        <v>373509</v>
      </c>
      <c r="D54" s="35">
        <v>0</v>
      </c>
      <c r="E54" s="35">
        <f>40009-30611+48366</f>
        <v>57764</v>
      </c>
      <c r="F54" s="35">
        <f>2967-700+3794</f>
        <v>6061</v>
      </c>
      <c r="G54" s="35">
        <f t="shared" si="22"/>
        <v>425212</v>
      </c>
      <c r="H54" s="28">
        <v>32.5</v>
      </c>
      <c r="I54" s="8">
        <v>0</v>
      </c>
      <c r="J54">
        <f t="shared" si="23"/>
        <v>0</v>
      </c>
      <c r="M54" s="38">
        <f t="shared" si="10"/>
        <v>57764</v>
      </c>
      <c r="R54" s="21">
        <f t="shared" si="11"/>
        <v>1988</v>
      </c>
      <c r="S54" s="4">
        <f t="shared" si="14"/>
        <v>57764</v>
      </c>
      <c r="T54">
        <f t="shared" si="15"/>
        <v>0</v>
      </c>
      <c r="U54">
        <f t="shared" si="16"/>
        <v>49</v>
      </c>
      <c r="V54" s="1" t="str">
        <f t="shared" si="17"/>
        <v>L1</v>
      </c>
      <c r="W54" s="2">
        <f t="shared" si="18"/>
        <v>1178.857142857143</v>
      </c>
      <c r="X54" s="2">
        <f t="shared" si="12"/>
        <v>0</v>
      </c>
      <c r="Y54" s="18">
        <f t="shared" si="19"/>
        <v>28.636267880642077</v>
      </c>
      <c r="Z54" s="18">
        <f t="shared" si="20"/>
        <v>0</v>
      </c>
      <c r="AA54" s="2">
        <f t="shared" si="13"/>
        <v>33758.06893586549</v>
      </c>
    </row>
    <row r="55" spans="1:27" ht="12.75">
      <c r="A55">
        <v>1989</v>
      </c>
      <c r="C55" s="35">
        <f t="shared" si="21"/>
        <v>425212</v>
      </c>
      <c r="D55" s="35">
        <f>-779-1721</f>
        <v>-2500</v>
      </c>
      <c r="E55" s="35">
        <f>96055-48366+39413</f>
        <v>87102</v>
      </c>
      <c r="F55" s="35">
        <f>7234-3794+1124</f>
        <v>4564</v>
      </c>
      <c r="G55" s="35">
        <f t="shared" si="22"/>
        <v>505250</v>
      </c>
      <c r="H55" s="28">
        <v>31.5</v>
      </c>
      <c r="I55">
        <v>0</v>
      </c>
      <c r="J55">
        <f t="shared" si="23"/>
        <v>0</v>
      </c>
      <c r="M55" s="38">
        <f t="shared" si="10"/>
        <v>84602</v>
      </c>
      <c r="R55" s="21">
        <f t="shared" si="11"/>
        <v>1989</v>
      </c>
      <c r="S55" s="4">
        <f t="shared" si="14"/>
        <v>87102</v>
      </c>
      <c r="T55">
        <f t="shared" si="15"/>
        <v>0</v>
      </c>
      <c r="U55">
        <f t="shared" si="16"/>
        <v>49</v>
      </c>
      <c r="V55" s="1" t="str">
        <f t="shared" si="17"/>
        <v>L1</v>
      </c>
      <c r="W55" s="2">
        <f t="shared" si="18"/>
        <v>1777.591836734694</v>
      </c>
      <c r="X55" s="2">
        <f t="shared" si="12"/>
        <v>0</v>
      </c>
      <c r="Y55" s="18">
        <f t="shared" si="19"/>
        <v>29.01530278022079</v>
      </c>
      <c r="Z55" s="18">
        <f t="shared" si="20"/>
        <v>0</v>
      </c>
      <c r="AA55" s="2">
        <f t="shared" si="13"/>
        <v>51577.365362505945</v>
      </c>
    </row>
    <row r="56" spans="1:27" ht="12.75">
      <c r="A56">
        <v>1990</v>
      </c>
      <c r="C56" s="35">
        <f t="shared" si="21"/>
        <v>505250</v>
      </c>
      <c r="D56" s="35">
        <f>-774+1721</f>
        <v>947</v>
      </c>
      <c r="E56" s="35">
        <f>65807-39413+24674</f>
        <v>51068</v>
      </c>
      <c r="F56" s="35">
        <f>10904-1124</f>
        <v>9780</v>
      </c>
      <c r="G56" s="35">
        <f t="shared" si="22"/>
        <v>547485</v>
      </c>
      <c r="H56" s="28">
        <v>30.5</v>
      </c>
      <c r="I56">
        <v>0</v>
      </c>
      <c r="J56">
        <f t="shared" si="23"/>
        <v>0</v>
      </c>
      <c r="M56" s="38">
        <f t="shared" si="10"/>
        <v>52015</v>
      </c>
      <c r="R56" s="21">
        <f t="shared" si="11"/>
        <v>1990</v>
      </c>
      <c r="S56" s="4">
        <f t="shared" si="14"/>
        <v>51068</v>
      </c>
      <c r="T56">
        <f t="shared" si="15"/>
        <v>0</v>
      </c>
      <c r="U56">
        <f t="shared" si="16"/>
        <v>49</v>
      </c>
      <c r="V56" s="1" t="str">
        <f t="shared" si="17"/>
        <v>L1</v>
      </c>
      <c r="W56" s="2">
        <f t="shared" si="18"/>
        <v>1042.204081632653</v>
      </c>
      <c r="X56" s="2">
        <f t="shared" si="12"/>
        <v>0</v>
      </c>
      <c r="Y56" s="18">
        <f t="shared" si="19"/>
        <v>29.39866891544868</v>
      </c>
      <c r="Z56" s="18">
        <f t="shared" si="20"/>
        <v>0</v>
      </c>
      <c r="AA56" s="2">
        <f t="shared" si="13"/>
        <v>30639.412738247614</v>
      </c>
    </row>
    <row r="57" spans="1:27" ht="12.75">
      <c r="A57">
        <v>1991</v>
      </c>
      <c r="C57" s="35">
        <f t="shared" si="21"/>
        <v>547485</v>
      </c>
      <c r="D57" s="35">
        <v>0</v>
      </c>
      <c r="E57" s="35">
        <f>53069-24674+15667</f>
        <v>44062</v>
      </c>
      <c r="F57" s="35">
        <v>2750</v>
      </c>
      <c r="G57" s="35">
        <f t="shared" si="22"/>
        <v>588797</v>
      </c>
      <c r="H57" s="28">
        <v>29.5</v>
      </c>
      <c r="I57">
        <v>0</v>
      </c>
      <c r="J57">
        <f t="shared" si="23"/>
        <v>0</v>
      </c>
      <c r="M57" s="38">
        <f t="shared" si="10"/>
        <v>44062</v>
      </c>
      <c r="R57" s="21">
        <f t="shared" si="11"/>
        <v>1991</v>
      </c>
      <c r="S57" s="4">
        <f t="shared" si="14"/>
        <v>44062</v>
      </c>
      <c r="T57">
        <f t="shared" si="15"/>
        <v>0</v>
      </c>
      <c r="U57">
        <f t="shared" si="16"/>
        <v>49</v>
      </c>
      <c r="V57" s="1" t="str">
        <f t="shared" si="17"/>
        <v>L1</v>
      </c>
      <c r="W57" s="2">
        <f t="shared" si="18"/>
        <v>899.2244897959183</v>
      </c>
      <c r="X57" s="2">
        <f t="shared" si="12"/>
        <v>0</v>
      </c>
      <c r="Y57" s="18">
        <f t="shared" si="19"/>
        <v>29.786435517570702</v>
      </c>
      <c r="Z57" s="18">
        <f t="shared" si="20"/>
        <v>0</v>
      </c>
      <c r="AA57" s="2">
        <f t="shared" si="13"/>
        <v>26784.692281126536</v>
      </c>
    </row>
    <row r="58" spans="1:27" ht="12.75">
      <c r="A58">
        <v>1992</v>
      </c>
      <c r="C58" s="35">
        <f t="shared" si="21"/>
        <v>588797</v>
      </c>
      <c r="D58" s="35">
        <f>-15925</f>
        <v>-15925</v>
      </c>
      <c r="E58" s="35">
        <f>52148-15667+16144</f>
        <v>52625</v>
      </c>
      <c r="F58" s="35">
        <f>18266-2750+154</f>
        <v>15670</v>
      </c>
      <c r="G58" s="35">
        <f t="shared" si="22"/>
        <v>609827</v>
      </c>
      <c r="H58" s="28">
        <v>28.5</v>
      </c>
      <c r="J58">
        <f t="shared" si="23"/>
        <v>0</v>
      </c>
      <c r="M58" s="38">
        <f t="shared" si="10"/>
        <v>36700</v>
      </c>
      <c r="R58" s="21">
        <f t="shared" si="11"/>
        <v>1992</v>
      </c>
      <c r="S58" s="4">
        <f t="shared" si="14"/>
        <v>52625</v>
      </c>
      <c r="T58">
        <f t="shared" si="15"/>
        <v>0</v>
      </c>
      <c r="U58">
        <f t="shared" si="16"/>
        <v>49</v>
      </c>
      <c r="V58" s="1" t="str">
        <f t="shared" si="17"/>
        <v>L1</v>
      </c>
      <c r="W58" s="2">
        <f t="shared" si="18"/>
        <v>1073.9795918367347</v>
      </c>
      <c r="X58" s="2">
        <f t="shared" si="12"/>
        <v>0</v>
      </c>
      <c r="Y58" s="18">
        <f t="shared" si="19"/>
        <v>30.178973983141926</v>
      </c>
      <c r="Z58" s="18">
        <f t="shared" si="20"/>
        <v>0</v>
      </c>
      <c r="AA58" s="2">
        <f t="shared" si="13"/>
        <v>32411.602160466202</v>
      </c>
    </row>
    <row r="59" spans="1:27" ht="12.75">
      <c r="A59">
        <v>1993</v>
      </c>
      <c r="C59" s="35">
        <f t="shared" si="21"/>
        <v>609827</v>
      </c>
      <c r="D59" s="35">
        <v>0</v>
      </c>
      <c r="E59" s="35">
        <f>33460-16144+32640</f>
        <v>49956</v>
      </c>
      <c r="F59" s="35">
        <f>8523-154+4758</f>
        <v>13127</v>
      </c>
      <c r="G59" s="35">
        <f t="shared" si="22"/>
        <v>646656</v>
      </c>
      <c r="H59" s="28">
        <v>27.5</v>
      </c>
      <c r="J59">
        <f t="shared" si="23"/>
        <v>0</v>
      </c>
      <c r="M59" s="38">
        <f t="shared" si="10"/>
        <v>49956</v>
      </c>
      <c r="R59" s="21">
        <f t="shared" si="11"/>
        <v>1993</v>
      </c>
      <c r="S59" s="4">
        <f t="shared" si="14"/>
        <v>49956</v>
      </c>
      <c r="T59">
        <f t="shared" si="15"/>
        <v>0</v>
      </c>
      <c r="U59">
        <f t="shared" si="16"/>
        <v>49</v>
      </c>
      <c r="V59" s="1" t="str">
        <f t="shared" si="17"/>
        <v>L1</v>
      </c>
      <c r="W59" s="2">
        <f t="shared" si="18"/>
        <v>1019.5102040816327</v>
      </c>
      <c r="X59" s="2">
        <f t="shared" si="12"/>
        <v>0</v>
      </c>
      <c r="Y59" s="18">
        <f t="shared" si="19"/>
        <v>30.578224724670196</v>
      </c>
      <c r="Z59" s="18">
        <f t="shared" si="20"/>
        <v>0</v>
      </c>
      <c r="AA59" s="2">
        <f t="shared" si="13"/>
        <v>31174.812129502538</v>
      </c>
    </row>
    <row r="60" spans="1:27" ht="12.75">
      <c r="A60">
        <v>1994</v>
      </c>
      <c r="C60" s="35">
        <f t="shared" si="21"/>
        <v>646656</v>
      </c>
      <c r="D60" s="35">
        <v>0</v>
      </c>
      <c r="E60" s="35">
        <f>38340-32640+38596</f>
        <v>44296</v>
      </c>
      <c r="F60" s="35">
        <f>14251-4758</f>
        <v>9493</v>
      </c>
      <c r="G60" s="35">
        <f t="shared" si="22"/>
        <v>681459</v>
      </c>
      <c r="H60" s="28">
        <v>26.5</v>
      </c>
      <c r="I60">
        <v>0</v>
      </c>
      <c r="J60">
        <f t="shared" si="23"/>
        <v>0</v>
      </c>
      <c r="M60" s="38">
        <f t="shared" si="10"/>
        <v>44296</v>
      </c>
      <c r="R60" s="21">
        <f t="shared" si="11"/>
        <v>1994</v>
      </c>
      <c r="S60" s="4">
        <f t="shared" si="14"/>
        <v>44296</v>
      </c>
      <c r="T60">
        <f t="shared" si="15"/>
        <v>0</v>
      </c>
      <c r="U60">
        <f t="shared" si="16"/>
        <v>49</v>
      </c>
      <c r="V60" s="1" t="str">
        <f t="shared" si="17"/>
        <v>L1</v>
      </c>
      <c r="W60" s="2">
        <f t="shared" si="18"/>
        <v>904</v>
      </c>
      <c r="X60" s="2">
        <f t="shared" si="12"/>
        <v>0</v>
      </c>
      <c r="Y60" s="18">
        <f t="shared" si="19"/>
        <v>30.98652041866442</v>
      </c>
      <c r="Z60" s="18">
        <f t="shared" si="20"/>
        <v>0</v>
      </c>
      <c r="AA60" s="2">
        <f t="shared" si="13"/>
        <v>28011.814458472636</v>
      </c>
    </row>
    <row r="61" spans="1:27" ht="12.75">
      <c r="A61">
        <v>1995</v>
      </c>
      <c r="C61" s="35">
        <f t="shared" si="21"/>
        <v>681459</v>
      </c>
      <c r="D61" s="35">
        <v>0</v>
      </c>
      <c r="E61" s="35">
        <f>62336-38596+77322</f>
        <v>101062</v>
      </c>
      <c r="F61" s="35">
        <f>10928+21156</f>
        <v>32084</v>
      </c>
      <c r="G61" s="35">
        <f t="shared" si="22"/>
        <v>750437</v>
      </c>
      <c r="H61" s="28">
        <v>25.5</v>
      </c>
      <c r="J61">
        <f t="shared" si="23"/>
        <v>0</v>
      </c>
      <c r="M61" s="38">
        <f t="shared" si="10"/>
        <v>101062</v>
      </c>
      <c r="R61" s="21">
        <f t="shared" si="11"/>
        <v>1995</v>
      </c>
      <c r="S61" s="4">
        <f t="shared" si="14"/>
        <v>101062</v>
      </c>
      <c r="T61">
        <f t="shared" si="15"/>
        <v>0</v>
      </c>
      <c r="U61">
        <f t="shared" si="16"/>
        <v>49</v>
      </c>
      <c r="V61" s="1" t="str">
        <f t="shared" si="17"/>
        <v>L1</v>
      </c>
      <c r="W61" s="2">
        <f t="shared" si="18"/>
        <v>2062.4897959183672</v>
      </c>
      <c r="X61" s="2">
        <f t="shared" si="12"/>
        <v>0</v>
      </c>
      <c r="Y61" s="18">
        <f t="shared" si="19"/>
        <v>31.40602521672854</v>
      </c>
      <c r="Z61" s="18">
        <f t="shared" si="20"/>
        <v>0</v>
      </c>
      <c r="AA61" s="2">
        <f t="shared" si="13"/>
        <v>64774.606539857545</v>
      </c>
    </row>
    <row r="62" spans="1:27" ht="12.75">
      <c r="A62">
        <v>1996</v>
      </c>
      <c r="C62" s="35">
        <f t="shared" si="21"/>
        <v>750437</v>
      </c>
      <c r="D62" s="35">
        <v>0</v>
      </c>
      <c r="E62" s="35">
        <f>90792-77322+44736</f>
        <v>58206</v>
      </c>
      <c r="F62" s="35">
        <f>21156-21156+6552</f>
        <v>6552</v>
      </c>
      <c r="G62" s="35">
        <f t="shared" si="22"/>
        <v>802091</v>
      </c>
      <c r="H62" s="28">
        <v>24.5</v>
      </c>
      <c r="I62">
        <v>0</v>
      </c>
      <c r="J62">
        <f t="shared" si="23"/>
        <v>0</v>
      </c>
      <c r="M62" s="38">
        <f t="shared" si="10"/>
        <v>58206</v>
      </c>
      <c r="R62" s="21">
        <f t="shared" si="11"/>
        <v>1996</v>
      </c>
      <c r="S62" s="4">
        <f t="shared" si="14"/>
        <v>58206</v>
      </c>
      <c r="T62">
        <f t="shared" si="15"/>
        <v>0</v>
      </c>
      <c r="U62">
        <f t="shared" si="16"/>
        <v>49</v>
      </c>
      <c r="V62" s="1" t="str">
        <f t="shared" si="17"/>
        <v>L1</v>
      </c>
      <c r="W62" s="2">
        <f t="shared" si="18"/>
        <v>1187.8775510204082</v>
      </c>
      <c r="X62" s="2">
        <f t="shared" si="12"/>
        <v>0</v>
      </c>
      <c r="Y62" s="18">
        <f t="shared" si="19"/>
        <v>31.838732158151537</v>
      </c>
      <c r="Z62" s="18">
        <f t="shared" si="20"/>
        <v>0</v>
      </c>
      <c r="AA62" s="2">
        <f t="shared" si="13"/>
        <v>37820.51518361976</v>
      </c>
    </row>
    <row r="63" spans="1:27" ht="12.75">
      <c r="A63">
        <v>1997</v>
      </c>
      <c r="C63" s="35">
        <f t="shared" si="21"/>
        <v>802091</v>
      </c>
      <c r="D63" s="35">
        <v>0</v>
      </c>
      <c r="E63" s="35">
        <v>116218</v>
      </c>
      <c r="F63" s="35">
        <v>11878</v>
      </c>
      <c r="G63" s="35">
        <f t="shared" si="22"/>
        <v>906431</v>
      </c>
      <c r="H63" s="28">
        <v>23.5</v>
      </c>
      <c r="I63" s="8">
        <v>0</v>
      </c>
      <c r="J63">
        <f t="shared" si="23"/>
        <v>0</v>
      </c>
      <c r="M63" s="38">
        <f t="shared" si="10"/>
        <v>116218</v>
      </c>
      <c r="R63" s="21">
        <f t="shared" si="11"/>
        <v>1997</v>
      </c>
      <c r="S63" s="4">
        <f t="shared" si="14"/>
        <v>116218</v>
      </c>
      <c r="T63">
        <f t="shared" si="15"/>
        <v>0</v>
      </c>
      <c r="U63">
        <f t="shared" si="16"/>
        <v>49</v>
      </c>
      <c r="V63" s="1" t="str">
        <f t="shared" si="17"/>
        <v>L1</v>
      </c>
      <c r="W63" s="2">
        <f t="shared" si="18"/>
        <v>2371.795918367347</v>
      </c>
      <c r="X63" s="2">
        <f t="shared" si="12"/>
        <v>0</v>
      </c>
      <c r="Y63" s="18">
        <f t="shared" si="19"/>
        <v>32.28646327043716</v>
      </c>
      <c r="Z63" s="18">
        <f t="shared" si="20"/>
        <v>0</v>
      </c>
      <c r="AA63" s="2">
        <f t="shared" si="13"/>
        <v>76576.90180334012</v>
      </c>
    </row>
    <row r="64" spans="1:27" ht="12.75">
      <c r="A64">
        <v>1998</v>
      </c>
      <c r="C64" s="35">
        <f t="shared" si="21"/>
        <v>906431</v>
      </c>
      <c r="D64" s="35">
        <v>0</v>
      </c>
      <c r="E64" s="35">
        <v>62585</v>
      </c>
      <c r="F64" s="35">
        <v>3424</v>
      </c>
      <c r="G64" s="35">
        <f t="shared" si="22"/>
        <v>965592</v>
      </c>
      <c r="H64" s="28">
        <v>22.5</v>
      </c>
      <c r="J64">
        <f t="shared" si="23"/>
        <v>0</v>
      </c>
      <c r="M64" s="38">
        <f t="shared" si="10"/>
        <v>62585</v>
      </c>
      <c r="R64" s="21">
        <f t="shared" si="11"/>
        <v>1998</v>
      </c>
      <c r="S64" s="4">
        <f t="shared" si="14"/>
        <v>62585</v>
      </c>
      <c r="T64">
        <f t="shared" si="15"/>
        <v>0</v>
      </c>
      <c r="U64">
        <f t="shared" si="16"/>
        <v>49</v>
      </c>
      <c r="V64" s="1" t="str">
        <f t="shared" si="17"/>
        <v>L1</v>
      </c>
      <c r="W64" s="2">
        <f t="shared" si="18"/>
        <v>1277.2448979591836</v>
      </c>
      <c r="X64" s="2">
        <f t="shared" si="12"/>
        <v>0</v>
      </c>
      <c r="Y64" s="18">
        <f t="shared" si="19"/>
        <v>32.75087127169688</v>
      </c>
      <c r="Z64" s="18">
        <f t="shared" si="20"/>
        <v>0</v>
      </c>
      <c r="AA64" s="2">
        <f t="shared" si="13"/>
        <v>41830.88323549284</v>
      </c>
    </row>
    <row r="65" spans="1:27" ht="12.75">
      <c r="A65">
        <v>1999</v>
      </c>
      <c r="C65" s="35">
        <f t="shared" si="21"/>
        <v>965592</v>
      </c>
      <c r="D65" s="35">
        <v>0</v>
      </c>
      <c r="E65" s="35">
        <v>133573</v>
      </c>
      <c r="F65" s="35">
        <v>5574</v>
      </c>
      <c r="G65" s="35">
        <f t="shared" si="22"/>
        <v>1093591</v>
      </c>
      <c r="H65" s="28">
        <v>21.5</v>
      </c>
      <c r="I65">
        <v>0</v>
      </c>
      <c r="J65">
        <f t="shared" si="23"/>
        <v>0</v>
      </c>
      <c r="M65" s="38">
        <f t="shared" si="10"/>
        <v>133573</v>
      </c>
      <c r="R65" s="21">
        <f t="shared" si="11"/>
        <v>1999</v>
      </c>
      <c r="S65" s="4">
        <f t="shared" si="14"/>
        <v>133573</v>
      </c>
      <c r="T65">
        <f t="shared" si="15"/>
        <v>0</v>
      </c>
      <c r="U65">
        <f t="shared" si="16"/>
        <v>49</v>
      </c>
      <c r="V65" s="1" t="str">
        <f t="shared" si="17"/>
        <v>L1</v>
      </c>
      <c r="W65" s="2">
        <f t="shared" si="18"/>
        <v>2725.9795918367345</v>
      </c>
      <c r="X65" s="2">
        <f t="shared" si="12"/>
        <v>0</v>
      </c>
      <c r="Y65" s="18">
        <f t="shared" si="19"/>
        <v>33.233442236299844</v>
      </c>
      <c r="Z65" s="18">
        <f t="shared" si="20"/>
        <v>0</v>
      </c>
      <c r="AA65" s="2">
        <f t="shared" si="13"/>
        <v>90593.68530263835</v>
      </c>
    </row>
    <row r="66" spans="1:27" ht="12.75">
      <c r="A66">
        <v>2000</v>
      </c>
      <c r="C66" s="35">
        <f t="shared" si="21"/>
        <v>1093591</v>
      </c>
      <c r="D66" s="35">
        <v>0</v>
      </c>
      <c r="E66" s="35">
        <v>8746</v>
      </c>
      <c r="F66" s="35">
        <v>5017</v>
      </c>
      <c r="G66" s="35">
        <f t="shared" si="22"/>
        <v>1097320</v>
      </c>
      <c r="H66" s="28">
        <v>20.5</v>
      </c>
      <c r="J66">
        <f t="shared" si="23"/>
        <v>0</v>
      </c>
      <c r="M66" s="38">
        <f t="shared" si="10"/>
        <v>8746</v>
      </c>
      <c r="R66" s="21">
        <f t="shared" si="11"/>
        <v>2000</v>
      </c>
      <c r="S66" s="4">
        <f t="shared" si="14"/>
        <v>8746</v>
      </c>
      <c r="T66">
        <f t="shared" si="15"/>
        <v>0</v>
      </c>
      <c r="U66">
        <f t="shared" si="16"/>
        <v>49</v>
      </c>
      <c r="V66" s="1" t="str">
        <f t="shared" si="17"/>
        <v>L1</v>
      </c>
      <c r="W66" s="2">
        <f t="shared" si="18"/>
        <v>178.48979591836735</v>
      </c>
      <c r="X66" s="2">
        <f t="shared" si="12"/>
        <v>0</v>
      </c>
      <c r="Y66" s="18">
        <f t="shared" si="19"/>
        <v>33.73549869050675</v>
      </c>
      <c r="Z66" s="18">
        <f t="shared" si="20"/>
        <v>0</v>
      </c>
      <c r="AA66" s="2">
        <f t="shared" si="13"/>
        <v>6021.442276472899</v>
      </c>
    </row>
    <row r="67" spans="1:27" ht="12.75">
      <c r="A67">
        <v>2001</v>
      </c>
      <c r="C67" s="35">
        <f t="shared" si="21"/>
        <v>1097320</v>
      </c>
      <c r="D67" s="35">
        <v>0</v>
      </c>
      <c r="E67" s="35">
        <v>27018</v>
      </c>
      <c r="F67" s="35">
        <v>1727</v>
      </c>
      <c r="G67" s="35">
        <f t="shared" si="22"/>
        <v>1122611</v>
      </c>
      <c r="H67" s="28">
        <v>19.5</v>
      </c>
      <c r="I67" s="8">
        <v>0</v>
      </c>
      <c r="J67">
        <f t="shared" si="23"/>
        <v>0</v>
      </c>
      <c r="M67" s="38">
        <f t="shared" si="10"/>
        <v>27018</v>
      </c>
      <c r="R67" s="21">
        <f t="shared" si="11"/>
        <v>2001</v>
      </c>
      <c r="S67" s="4">
        <f t="shared" si="14"/>
        <v>27018</v>
      </c>
      <c r="T67">
        <f t="shared" si="15"/>
        <v>0</v>
      </c>
      <c r="U67">
        <f t="shared" si="16"/>
        <v>49</v>
      </c>
      <c r="V67" s="1" t="str">
        <f t="shared" si="17"/>
        <v>L1</v>
      </c>
      <c r="W67" s="2">
        <f t="shared" si="18"/>
        <v>551.3877551020408</v>
      </c>
      <c r="X67" s="2">
        <f t="shared" si="12"/>
        <v>0</v>
      </c>
      <c r="Y67" s="18">
        <f>Prob_life($V$67,H67,$U$67)</f>
        <v>34.258202712325755</v>
      </c>
      <c r="Z67" s="18">
        <f t="shared" si="20"/>
        <v>0</v>
      </c>
      <c r="AA67" s="2">
        <f t="shared" si="13"/>
        <v>18889.553487379944</v>
      </c>
    </row>
    <row r="68" spans="1:27" ht="12.75">
      <c r="A68">
        <v>2002</v>
      </c>
      <c r="C68" s="35">
        <f t="shared" si="21"/>
        <v>1122611</v>
      </c>
      <c r="D68" s="35">
        <v>0</v>
      </c>
      <c r="E68" s="35">
        <v>14796.17</v>
      </c>
      <c r="F68" s="35">
        <v>0</v>
      </c>
      <c r="G68" s="35">
        <f t="shared" si="22"/>
        <v>1137407.17</v>
      </c>
      <c r="H68" s="28">
        <v>18.5</v>
      </c>
      <c r="I68">
        <v>0</v>
      </c>
      <c r="J68">
        <f t="shared" si="23"/>
        <v>0</v>
      </c>
      <c r="M68" s="38">
        <f t="shared" si="10"/>
        <v>14796.17</v>
      </c>
      <c r="R68" s="21">
        <f t="shared" si="11"/>
        <v>2002</v>
      </c>
      <c r="S68" s="4">
        <f t="shared" si="14"/>
        <v>14796.17</v>
      </c>
      <c r="T68">
        <f t="shared" si="15"/>
        <v>0</v>
      </c>
      <c r="U68">
        <f t="shared" si="16"/>
        <v>49</v>
      </c>
      <c r="V68" s="1" t="str">
        <f t="shared" si="17"/>
        <v>L1</v>
      </c>
      <c r="W68" s="2">
        <f t="shared" si="18"/>
        <v>301.9626530612245</v>
      </c>
      <c r="X68" s="2">
        <f t="shared" si="12"/>
        <v>0</v>
      </c>
      <c r="Y68" s="18">
        <f aca="true" t="shared" si="24" ref="Y68:Y75">Prob_life(V68,H68,U68)</f>
        <v>34.80255871533495</v>
      </c>
      <c r="Z68" s="18">
        <f t="shared" si="20"/>
        <v>0</v>
      </c>
      <c r="AA68" s="2">
        <f t="shared" si="13"/>
        <v>10509.072963001583</v>
      </c>
    </row>
    <row r="69" spans="1:27" ht="12.75">
      <c r="A69">
        <v>2003</v>
      </c>
      <c r="C69" s="35">
        <f aca="true" t="shared" si="25" ref="C69:C75">G68</f>
        <v>1137407.17</v>
      </c>
      <c r="D69" s="35">
        <v>0</v>
      </c>
      <c r="E69" s="35">
        <v>132610</v>
      </c>
      <c r="F69" s="35">
        <v>17455</v>
      </c>
      <c r="G69" s="35">
        <f aca="true" t="shared" si="26" ref="G69:G75">C69+D69+E69-F69</f>
        <v>1252562.17</v>
      </c>
      <c r="H69" s="28">
        <v>17.5</v>
      </c>
      <c r="M69" s="38">
        <f t="shared" si="10"/>
        <v>132610</v>
      </c>
      <c r="R69" s="21">
        <f aca="true" t="shared" si="27" ref="R69:R75">A69</f>
        <v>2003</v>
      </c>
      <c r="S69" s="4">
        <f aca="true" t="shared" si="28" ref="S69:S75">E69</f>
        <v>132610</v>
      </c>
      <c r="T69">
        <f aca="true" t="shared" si="29" ref="T69:T75">IF(D69&gt;0,IF(J69&gt;0,D69,0),0)</f>
        <v>0</v>
      </c>
      <c r="U69">
        <f t="shared" si="16"/>
        <v>49</v>
      </c>
      <c r="V69" s="1" t="str">
        <f t="shared" si="17"/>
        <v>L1</v>
      </c>
      <c r="W69" s="2">
        <f aca="true" t="shared" si="30" ref="W69:W75">S69/U69</f>
        <v>2706.326530612245</v>
      </c>
      <c r="X69" s="2">
        <f aca="true" t="shared" si="31" ref="X69:X75">T69/U69</f>
        <v>0</v>
      </c>
      <c r="Y69" s="18">
        <f t="shared" si="24"/>
        <v>35.36941569719794</v>
      </c>
      <c r="Z69" s="18">
        <f aca="true" t="shared" si="32" ref="Z69:Z75">IF(J69&gt;0,Prob_life(V69,J69+0.5,U69),0)</f>
        <v>0</v>
      </c>
      <c r="AA69" s="2">
        <f aca="true" t="shared" si="33" ref="AA69:AA75">W69*Y69+X69*Z69</f>
        <v>95721.18807357996</v>
      </c>
    </row>
    <row r="70" spans="1:27" ht="12.75">
      <c r="A70">
        <v>2004</v>
      </c>
      <c r="C70" s="35">
        <f t="shared" si="25"/>
        <v>1252562.17</v>
      </c>
      <c r="D70" s="35">
        <v>0</v>
      </c>
      <c r="E70" s="35">
        <v>59940</v>
      </c>
      <c r="F70" s="35">
        <v>27748</v>
      </c>
      <c r="G70" s="35">
        <f t="shared" si="26"/>
        <v>1284754.17</v>
      </c>
      <c r="H70" s="28">
        <v>16.5</v>
      </c>
      <c r="M70" s="38">
        <f t="shared" si="10"/>
        <v>59940</v>
      </c>
      <c r="R70" s="21">
        <f t="shared" si="27"/>
        <v>2004</v>
      </c>
      <c r="S70" s="4">
        <f t="shared" si="28"/>
        <v>59940</v>
      </c>
      <c r="T70">
        <f t="shared" si="29"/>
        <v>0</v>
      </c>
      <c r="U70">
        <f t="shared" si="16"/>
        <v>49</v>
      </c>
      <c r="V70" s="1" t="str">
        <f t="shared" si="17"/>
        <v>L1</v>
      </c>
      <c r="W70" s="2">
        <f t="shared" si="30"/>
        <v>1223.265306122449</v>
      </c>
      <c r="X70" s="2">
        <f t="shared" si="31"/>
        <v>0</v>
      </c>
      <c r="Y70" s="18">
        <f t="shared" si="24"/>
        <v>35.95946882876942</v>
      </c>
      <c r="Z70" s="18">
        <f t="shared" si="32"/>
        <v>0</v>
      </c>
      <c r="AA70" s="2">
        <f t="shared" si="33"/>
        <v>43987.970644825284</v>
      </c>
    </row>
    <row r="71" spans="1:27" ht="12.75">
      <c r="A71">
        <v>2005</v>
      </c>
      <c r="C71" s="35">
        <f t="shared" si="25"/>
        <v>1284754.17</v>
      </c>
      <c r="D71" s="35">
        <v>0</v>
      </c>
      <c r="E71" s="35">
        <v>117525.11</v>
      </c>
      <c r="F71" s="35">
        <v>63211.36</v>
      </c>
      <c r="G71" s="35">
        <f t="shared" si="26"/>
        <v>1339067.92</v>
      </c>
      <c r="H71" s="28">
        <v>15.5</v>
      </c>
      <c r="M71" s="38">
        <f aca="true" t="shared" si="34" ref="M71:M86">E71+D71</f>
        <v>117525.11</v>
      </c>
      <c r="R71" s="21">
        <f t="shared" si="27"/>
        <v>2005</v>
      </c>
      <c r="S71" s="4">
        <f t="shared" si="28"/>
        <v>117525.11</v>
      </c>
      <c r="T71">
        <f t="shared" si="29"/>
        <v>0</v>
      </c>
      <c r="U71">
        <f t="shared" si="16"/>
        <v>49</v>
      </c>
      <c r="V71" s="1" t="str">
        <f t="shared" si="17"/>
        <v>L1</v>
      </c>
      <c r="W71" s="2">
        <f t="shared" si="30"/>
        <v>2398.471632653061</v>
      </c>
      <c r="X71" s="2">
        <f t="shared" si="31"/>
        <v>0</v>
      </c>
      <c r="Y71" s="18">
        <f t="shared" si="24"/>
        <v>36.573260348577016</v>
      </c>
      <c r="Z71" s="18">
        <f t="shared" si="32"/>
        <v>0</v>
      </c>
      <c r="AA71" s="2">
        <f t="shared" si="33"/>
        <v>87719.92745969698</v>
      </c>
    </row>
    <row r="72" spans="1:27" ht="12.75">
      <c r="A72">
        <v>2006</v>
      </c>
      <c r="C72" s="35">
        <f t="shared" si="25"/>
        <v>1339067.92</v>
      </c>
      <c r="D72" s="35">
        <v>0</v>
      </c>
      <c r="E72" s="35">
        <v>21872.83</v>
      </c>
      <c r="F72" s="35">
        <v>4570.91</v>
      </c>
      <c r="G72" s="35">
        <f t="shared" si="26"/>
        <v>1356369.84</v>
      </c>
      <c r="H72" s="28">
        <v>14.5</v>
      </c>
      <c r="M72" s="38">
        <f t="shared" si="34"/>
        <v>21872.83</v>
      </c>
      <c r="R72" s="21">
        <f t="shared" si="27"/>
        <v>2006</v>
      </c>
      <c r="S72" s="4">
        <f t="shared" si="28"/>
        <v>21872.83</v>
      </c>
      <c r="T72">
        <f t="shared" si="29"/>
        <v>0</v>
      </c>
      <c r="U72">
        <f t="shared" si="16"/>
        <v>49</v>
      </c>
      <c r="V72" s="1" t="str">
        <f t="shared" si="17"/>
        <v>L1</v>
      </c>
      <c r="W72" s="2">
        <f t="shared" si="30"/>
        <v>446.38428571428574</v>
      </c>
      <c r="X72" s="2">
        <f t="shared" si="31"/>
        <v>0</v>
      </c>
      <c r="Y72" s="18">
        <f t="shared" si="24"/>
        <v>37.21117981004021</v>
      </c>
      <c r="Z72" s="18">
        <f t="shared" si="32"/>
        <v>0</v>
      </c>
      <c r="AA72" s="2">
        <f t="shared" si="33"/>
        <v>16610.48592009065</v>
      </c>
    </row>
    <row r="73" spans="1:27" ht="12.75">
      <c r="A73">
        <v>2007</v>
      </c>
      <c r="C73" s="35">
        <f t="shared" si="25"/>
        <v>1356369.84</v>
      </c>
      <c r="D73" s="35">
        <v>0</v>
      </c>
      <c r="E73" s="35">
        <v>0</v>
      </c>
      <c r="F73" s="35">
        <v>11456.21</v>
      </c>
      <c r="G73" s="35">
        <f t="shared" si="26"/>
        <v>1344913.6300000001</v>
      </c>
      <c r="H73" s="28">
        <v>13.5</v>
      </c>
      <c r="M73" s="38">
        <f t="shared" si="34"/>
        <v>0</v>
      </c>
      <c r="R73" s="21">
        <f t="shared" si="27"/>
        <v>2007</v>
      </c>
      <c r="S73" s="4">
        <f t="shared" si="28"/>
        <v>0</v>
      </c>
      <c r="T73">
        <f t="shared" si="29"/>
        <v>0</v>
      </c>
      <c r="U73">
        <f>$V$94</f>
        <v>49</v>
      </c>
      <c r="V73" s="1" t="str">
        <f>$V$93</f>
        <v>L1</v>
      </c>
      <c r="W73" s="2">
        <f t="shared" si="30"/>
        <v>0</v>
      </c>
      <c r="X73" s="2">
        <f t="shared" si="31"/>
        <v>0</v>
      </c>
      <c r="Y73" s="18">
        <f t="shared" si="24"/>
        <v>37.8734638051257</v>
      </c>
      <c r="Z73" s="18">
        <f t="shared" si="32"/>
        <v>0</v>
      </c>
      <c r="AA73" s="2">
        <f t="shared" si="33"/>
        <v>0</v>
      </c>
    </row>
    <row r="74" spans="1:27" ht="12.75">
      <c r="A74">
        <v>2008</v>
      </c>
      <c r="C74" s="35">
        <f t="shared" si="25"/>
        <v>1344913.6300000001</v>
      </c>
      <c r="D74" s="35">
        <v>0</v>
      </c>
      <c r="E74" s="35">
        <v>48697.43</v>
      </c>
      <c r="F74" s="35">
        <v>10839.09</v>
      </c>
      <c r="G74" s="35">
        <f t="shared" si="26"/>
        <v>1382771.97</v>
      </c>
      <c r="H74" s="28">
        <v>12.5</v>
      </c>
      <c r="M74" s="38">
        <f t="shared" si="34"/>
        <v>48697.43</v>
      </c>
      <c r="R74" s="21">
        <f t="shared" si="27"/>
        <v>2008</v>
      </c>
      <c r="S74" s="4">
        <f t="shared" si="28"/>
        <v>48697.43</v>
      </c>
      <c r="T74">
        <f t="shared" si="29"/>
        <v>0</v>
      </c>
      <c r="U74">
        <f>$V$94</f>
        <v>49</v>
      </c>
      <c r="V74" s="1" t="str">
        <f>$V$93</f>
        <v>L1</v>
      </c>
      <c r="W74" s="2">
        <f t="shared" si="30"/>
        <v>993.8251020408163</v>
      </c>
      <c r="X74" s="2">
        <f t="shared" si="31"/>
        <v>0</v>
      </c>
      <c r="Y74" s="18">
        <f t="shared" si="24"/>
        <v>38.56019535815858</v>
      </c>
      <c r="Z74" s="18">
        <f t="shared" si="32"/>
        <v>0</v>
      </c>
      <c r="AA74" s="2">
        <f t="shared" si="33"/>
        <v>38322.09008653576</v>
      </c>
    </row>
    <row r="75" spans="1:27" ht="12.75">
      <c r="A75" s="29">
        <v>2009</v>
      </c>
      <c r="C75" s="35">
        <f t="shared" si="25"/>
        <v>1382771.97</v>
      </c>
      <c r="D75" s="35">
        <v>0</v>
      </c>
      <c r="E75" s="35">
        <v>14182.93</v>
      </c>
      <c r="F75" s="35">
        <v>200</v>
      </c>
      <c r="G75" s="35">
        <f t="shared" si="26"/>
        <v>1396754.9</v>
      </c>
      <c r="H75" s="28">
        <v>11.5</v>
      </c>
      <c r="M75" s="38">
        <f t="shared" si="34"/>
        <v>14182.93</v>
      </c>
      <c r="R75" s="21">
        <f t="shared" si="27"/>
        <v>2009</v>
      </c>
      <c r="S75" s="4">
        <f t="shared" si="28"/>
        <v>14182.93</v>
      </c>
      <c r="T75">
        <f t="shared" si="29"/>
        <v>0</v>
      </c>
      <c r="U75">
        <f>$V$94</f>
        <v>49</v>
      </c>
      <c r="V75" s="1" t="str">
        <f>$V$93</f>
        <v>L1</v>
      </c>
      <c r="W75" s="2">
        <f t="shared" si="30"/>
        <v>289.4475510204082</v>
      </c>
      <c r="X75" s="2">
        <f t="shared" si="31"/>
        <v>0</v>
      </c>
      <c r="Y75" s="18">
        <f t="shared" si="24"/>
        <v>39.27130324675335</v>
      </c>
      <c r="Z75" s="18">
        <f t="shared" si="32"/>
        <v>0</v>
      </c>
      <c r="AA75" s="2">
        <f t="shared" si="33"/>
        <v>11366.982550152561</v>
      </c>
    </row>
    <row r="76" spans="1:27" ht="12.75">
      <c r="A76" s="29">
        <v>2010</v>
      </c>
      <c r="C76" s="35">
        <f aca="true" t="shared" si="35" ref="C76:C86">G75</f>
        <v>1396754.9</v>
      </c>
      <c r="D76" s="35">
        <v>38409.78</v>
      </c>
      <c r="E76" s="35">
        <v>171558.83</v>
      </c>
      <c r="F76" s="35">
        <v>5885.74</v>
      </c>
      <c r="G76" s="35">
        <f aca="true" t="shared" si="36" ref="G76:G86">C76+D76+E76-F76</f>
        <v>1600837.77</v>
      </c>
      <c r="H76" s="28">
        <v>10.5</v>
      </c>
      <c r="M76" s="38">
        <f t="shared" si="34"/>
        <v>209968.61</v>
      </c>
      <c r="R76" s="21">
        <f aca="true" t="shared" si="37" ref="R76:R86">A76</f>
        <v>2010</v>
      </c>
      <c r="S76" s="4">
        <f aca="true" t="shared" si="38" ref="S76:S86">E76</f>
        <v>171558.83</v>
      </c>
      <c r="T76">
        <f aca="true" t="shared" si="39" ref="T76:T86">IF(D76&gt;0,IF(J76&gt;0,D76,0),0)</f>
        <v>0</v>
      </c>
      <c r="U76">
        <f aca="true" t="shared" si="40" ref="U76:U86">$V$94</f>
        <v>49</v>
      </c>
      <c r="V76" s="1" t="str">
        <f aca="true" t="shared" si="41" ref="V76:V86">$V$93</f>
        <v>L1</v>
      </c>
      <c r="W76" s="2">
        <f aca="true" t="shared" si="42" ref="W76:W86">S76/U76</f>
        <v>3501.200612244898</v>
      </c>
      <c r="X76" s="2">
        <f aca="true" t="shared" si="43" ref="X76:X86">T76/U76</f>
        <v>0</v>
      </c>
      <c r="Y76" s="18">
        <f aca="true" t="shared" si="44" ref="Y76:Y86">Prob_life(V76,H76,U76)</f>
        <v>40.006561562314616</v>
      </c>
      <c r="Z76" s="18">
        <f aca="true" t="shared" si="45" ref="Z76:Z86">IF(J76&gt;0,Prob_life(V76,J76+0.5,U76),0)</f>
        <v>0</v>
      </c>
      <c r="AA76" s="2">
        <f aca="true" t="shared" si="46" ref="AA76:AA86">W76*Y76+X76*Z76</f>
        <v>140070.99783578914</v>
      </c>
    </row>
    <row r="77" spans="1:27" ht="12.75">
      <c r="A77" s="29">
        <v>2011</v>
      </c>
      <c r="C77" s="35">
        <f t="shared" si="35"/>
        <v>1600837.77</v>
      </c>
      <c r="D77" s="35">
        <v>1000</v>
      </c>
      <c r="E77" s="35">
        <v>183981.5</v>
      </c>
      <c r="F77" s="35">
        <v>18834.15</v>
      </c>
      <c r="G77" s="35">
        <f t="shared" si="36"/>
        <v>1766985.12</v>
      </c>
      <c r="H77" s="28">
        <v>9.5</v>
      </c>
      <c r="M77" s="38">
        <f t="shared" si="34"/>
        <v>184981.5</v>
      </c>
      <c r="R77" s="21">
        <f t="shared" si="37"/>
        <v>2011</v>
      </c>
      <c r="S77" s="4">
        <f t="shared" si="38"/>
        <v>183981.5</v>
      </c>
      <c r="T77">
        <f t="shared" si="39"/>
        <v>0</v>
      </c>
      <c r="U77">
        <f t="shared" si="40"/>
        <v>49</v>
      </c>
      <c r="V77" s="1" t="str">
        <f t="shared" si="41"/>
        <v>L1</v>
      </c>
      <c r="W77" s="2">
        <f t="shared" si="42"/>
        <v>3754.7244897959185</v>
      </c>
      <c r="X77" s="2">
        <f t="shared" si="43"/>
        <v>0</v>
      </c>
      <c r="Y77" s="18">
        <f t="shared" si="44"/>
        <v>40.765589868680586</v>
      </c>
      <c r="Z77" s="18">
        <f t="shared" si="45"/>
        <v>0</v>
      </c>
      <c r="AA77" s="2">
        <f t="shared" si="46"/>
        <v>153063.55862091138</v>
      </c>
    </row>
    <row r="78" spans="1:27" ht="12.75">
      <c r="A78" s="29">
        <v>2012</v>
      </c>
      <c r="C78" s="35">
        <f t="shared" si="35"/>
        <v>1766985.12</v>
      </c>
      <c r="D78" s="35">
        <v>0</v>
      </c>
      <c r="E78" s="35">
        <v>98827.23</v>
      </c>
      <c r="F78" s="35">
        <v>4837.33</v>
      </c>
      <c r="G78" s="35">
        <f t="shared" si="36"/>
        <v>1860975.02</v>
      </c>
      <c r="H78" s="28">
        <v>8.5</v>
      </c>
      <c r="M78" s="38">
        <f t="shared" si="34"/>
        <v>98827.23</v>
      </c>
      <c r="R78" s="21">
        <f t="shared" si="37"/>
        <v>2012</v>
      </c>
      <c r="S78" s="4">
        <f t="shared" si="38"/>
        <v>98827.23</v>
      </c>
      <c r="T78">
        <f t="shared" si="39"/>
        <v>0</v>
      </c>
      <c r="U78">
        <f t="shared" si="40"/>
        <v>49</v>
      </c>
      <c r="V78" s="1" t="str">
        <f t="shared" si="41"/>
        <v>L1</v>
      </c>
      <c r="W78" s="2">
        <f t="shared" si="42"/>
        <v>2016.882244897959</v>
      </c>
      <c r="X78" s="2">
        <f t="shared" si="43"/>
        <v>0</v>
      </c>
      <c r="Y78" s="18">
        <f t="shared" si="44"/>
        <v>41.547854352001615</v>
      </c>
      <c r="Z78" s="18">
        <f t="shared" si="45"/>
        <v>0</v>
      </c>
      <c r="AA78" s="2">
        <f t="shared" si="46"/>
        <v>83797.12975615845</v>
      </c>
    </row>
    <row r="79" spans="1:27" ht="12.75">
      <c r="A79" s="29">
        <v>2013</v>
      </c>
      <c r="C79" s="35">
        <f t="shared" si="35"/>
        <v>1860975.02</v>
      </c>
      <c r="D79" s="35">
        <v>0</v>
      </c>
      <c r="E79" s="35">
        <v>9495.35</v>
      </c>
      <c r="F79" s="35">
        <v>1247.16</v>
      </c>
      <c r="G79" s="35">
        <f t="shared" si="36"/>
        <v>1869223.2100000002</v>
      </c>
      <c r="H79" s="28">
        <v>7.5</v>
      </c>
      <c r="M79" s="38">
        <f t="shared" si="34"/>
        <v>9495.35</v>
      </c>
      <c r="R79" s="21">
        <f t="shared" si="37"/>
        <v>2013</v>
      </c>
      <c r="S79" s="4">
        <f t="shared" si="38"/>
        <v>9495.35</v>
      </c>
      <c r="T79">
        <f t="shared" si="39"/>
        <v>0</v>
      </c>
      <c r="U79">
        <f t="shared" si="40"/>
        <v>49</v>
      </c>
      <c r="V79" s="1" t="str">
        <f t="shared" si="41"/>
        <v>L1</v>
      </c>
      <c r="W79" s="2">
        <f t="shared" si="42"/>
        <v>193.7826530612245</v>
      </c>
      <c r="X79" s="2">
        <f t="shared" si="43"/>
        <v>0</v>
      </c>
      <c r="Y79" s="18">
        <f t="shared" si="44"/>
        <v>42.3526703750355</v>
      </c>
      <c r="Z79" s="18">
        <f t="shared" si="45"/>
        <v>0</v>
      </c>
      <c r="AA79" s="2">
        <f t="shared" si="46"/>
        <v>8207.212829501905</v>
      </c>
    </row>
    <row r="80" spans="1:27" ht="12.75">
      <c r="A80" s="29">
        <v>2014</v>
      </c>
      <c r="C80" s="35">
        <f t="shared" si="35"/>
        <v>1869223.2100000002</v>
      </c>
      <c r="D80" s="35">
        <v>0</v>
      </c>
      <c r="E80" s="35">
        <v>128519.47</v>
      </c>
      <c r="F80" s="35">
        <v>2008.81</v>
      </c>
      <c r="G80" s="35">
        <f t="shared" si="36"/>
        <v>1995733.87</v>
      </c>
      <c r="H80" s="28">
        <v>6.5</v>
      </c>
      <c r="M80" s="38">
        <f t="shared" si="34"/>
        <v>128519.47</v>
      </c>
      <c r="R80" s="21">
        <f t="shared" si="37"/>
        <v>2014</v>
      </c>
      <c r="S80" s="4">
        <f t="shared" si="38"/>
        <v>128519.47</v>
      </c>
      <c r="T80">
        <f t="shared" si="39"/>
        <v>0</v>
      </c>
      <c r="U80">
        <f t="shared" si="40"/>
        <v>49</v>
      </c>
      <c r="V80" s="1" t="str">
        <f t="shared" si="41"/>
        <v>L1</v>
      </c>
      <c r="W80" s="2">
        <f t="shared" si="42"/>
        <v>2622.8463265306123</v>
      </c>
      <c r="X80" s="2">
        <f t="shared" si="43"/>
        <v>0</v>
      </c>
      <c r="Y80" s="18">
        <f t="shared" si="44"/>
        <v>43.17920685143683</v>
      </c>
      <c r="Z80" s="18">
        <f t="shared" si="45"/>
        <v>0</v>
      </c>
      <c r="AA80" s="2">
        <f t="shared" si="46"/>
        <v>113252.42407279654</v>
      </c>
    </row>
    <row r="81" spans="1:27" ht="12.75">
      <c r="A81" s="29">
        <v>2015</v>
      </c>
      <c r="C81" s="35">
        <f t="shared" si="35"/>
        <v>1995733.87</v>
      </c>
      <c r="D81" s="35">
        <v>0</v>
      </c>
      <c r="E81" s="35">
        <v>74727.09</v>
      </c>
      <c r="F81" s="35">
        <v>4825.41</v>
      </c>
      <c r="G81" s="35">
        <f t="shared" si="36"/>
        <v>2065635.5500000003</v>
      </c>
      <c r="H81" s="28">
        <v>5.5</v>
      </c>
      <c r="M81" s="38">
        <f t="shared" si="34"/>
        <v>74727.09</v>
      </c>
      <c r="R81" s="21">
        <f t="shared" si="37"/>
        <v>2015</v>
      </c>
      <c r="S81" s="4">
        <f t="shared" si="38"/>
        <v>74727.09</v>
      </c>
      <c r="T81">
        <f t="shared" si="39"/>
        <v>0</v>
      </c>
      <c r="U81">
        <f t="shared" si="40"/>
        <v>49</v>
      </c>
      <c r="V81" s="1" t="str">
        <f t="shared" si="41"/>
        <v>L1</v>
      </c>
      <c r="W81" s="2">
        <f t="shared" si="42"/>
        <v>1525.0426530612244</v>
      </c>
      <c r="X81" s="2">
        <f t="shared" si="43"/>
        <v>0</v>
      </c>
      <c r="Y81" s="18">
        <f t="shared" si="44"/>
        <v>44.02649283685574</v>
      </c>
      <c r="Z81" s="18">
        <f t="shared" si="45"/>
        <v>0</v>
      </c>
      <c r="AA81" s="2">
        <f t="shared" si="46"/>
        <v>67142.27944089947</v>
      </c>
    </row>
    <row r="82" spans="1:27" ht="12.75">
      <c r="A82" s="29">
        <v>2016</v>
      </c>
      <c r="C82" s="35">
        <f t="shared" si="35"/>
        <v>2065635.5500000003</v>
      </c>
      <c r="D82" s="35">
        <v>0</v>
      </c>
      <c r="E82" s="35">
        <v>16268.16</v>
      </c>
      <c r="F82" s="35">
        <v>1925.44</v>
      </c>
      <c r="G82" s="35">
        <f t="shared" si="36"/>
        <v>2079978.2700000003</v>
      </c>
      <c r="H82" s="28">
        <v>4.5</v>
      </c>
      <c r="M82" s="38">
        <f t="shared" si="34"/>
        <v>16268.16</v>
      </c>
      <c r="R82" s="21">
        <f t="shared" si="37"/>
        <v>2016</v>
      </c>
      <c r="S82" s="4">
        <f t="shared" si="38"/>
        <v>16268.16</v>
      </c>
      <c r="T82">
        <f t="shared" si="39"/>
        <v>0</v>
      </c>
      <c r="U82">
        <f t="shared" si="40"/>
        <v>49</v>
      </c>
      <c r="V82" s="1" t="str">
        <f t="shared" si="41"/>
        <v>L1</v>
      </c>
      <c r="W82" s="2">
        <f t="shared" si="42"/>
        <v>332.00326530612244</v>
      </c>
      <c r="X82" s="2">
        <f t="shared" si="43"/>
        <v>0</v>
      </c>
      <c r="Y82" s="18">
        <f t="shared" si="44"/>
        <v>44.893426690406855</v>
      </c>
      <c r="Z82" s="18">
        <f t="shared" si="45"/>
        <v>0</v>
      </c>
      <c r="AA82" s="2">
        <f t="shared" si="46"/>
        <v>14904.764251996106</v>
      </c>
    </row>
    <row r="83" spans="1:27" ht="12.75">
      <c r="A83" s="29">
        <v>2017</v>
      </c>
      <c r="C83" s="35">
        <f t="shared" si="35"/>
        <v>2079978.2700000003</v>
      </c>
      <c r="D83" s="35">
        <v>0</v>
      </c>
      <c r="E83" s="35">
        <v>2773.09</v>
      </c>
      <c r="F83" s="35">
        <v>6042.8</v>
      </c>
      <c r="G83" s="35">
        <f t="shared" si="36"/>
        <v>2076708.5600000003</v>
      </c>
      <c r="H83" s="28">
        <v>3.5</v>
      </c>
      <c r="M83" s="38">
        <f t="shared" si="34"/>
        <v>2773.09</v>
      </c>
      <c r="R83" s="21">
        <f t="shared" si="37"/>
        <v>2017</v>
      </c>
      <c r="S83" s="4">
        <f t="shared" si="38"/>
        <v>2773.09</v>
      </c>
      <c r="T83">
        <f t="shared" si="39"/>
        <v>0</v>
      </c>
      <c r="U83">
        <f t="shared" si="40"/>
        <v>49</v>
      </c>
      <c r="V83" s="1" t="str">
        <f t="shared" si="41"/>
        <v>L1</v>
      </c>
      <c r="W83" s="2">
        <f t="shared" si="42"/>
        <v>56.59367346938776</v>
      </c>
      <c r="X83" s="2">
        <f t="shared" si="43"/>
        <v>0</v>
      </c>
      <c r="Y83" s="18">
        <f t="shared" si="44"/>
        <v>45.77878808954057</v>
      </c>
      <c r="Z83" s="18">
        <f t="shared" si="45"/>
        <v>0</v>
      </c>
      <c r="AA83" s="2">
        <f t="shared" si="46"/>
        <v>2590.7897849637566</v>
      </c>
    </row>
    <row r="84" spans="1:27" ht="12.75">
      <c r="A84" s="29">
        <v>2018</v>
      </c>
      <c r="C84" s="35">
        <f t="shared" si="35"/>
        <v>2076708.5600000003</v>
      </c>
      <c r="D84" s="35">
        <v>0</v>
      </c>
      <c r="E84" s="35">
        <v>44965.13</v>
      </c>
      <c r="F84" s="35">
        <v>12767.76</v>
      </c>
      <c r="G84" s="35">
        <f t="shared" si="36"/>
        <v>2108905.9300000006</v>
      </c>
      <c r="H84" s="28">
        <v>2.5</v>
      </c>
      <c r="M84" s="38">
        <f t="shared" si="34"/>
        <v>44965.13</v>
      </c>
      <c r="R84" s="21">
        <f t="shared" si="37"/>
        <v>2018</v>
      </c>
      <c r="S84" s="4">
        <f t="shared" si="38"/>
        <v>44965.13</v>
      </c>
      <c r="T84">
        <f t="shared" si="39"/>
        <v>0</v>
      </c>
      <c r="U84">
        <f t="shared" si="40"/>
        <v>49</v>
      </c>
      <c r="V84" s="1" t="str">
        <f t="shared" si="41"/>
        <v>L1</v>
      </c>
      <c r="W84" s="2">
        <f t="shared" si="42"/>
        <v>917.6557142857142</v>
      </c>
      <c r="X84" s="2">
        <f t="shared" si="43"/>
        <v>0</v>
      </c>
      <c r="Y84" s="18">
        <f t="shared" si="44"/>
        <v>46.68125308179575</v>
      </c>
      <c r="Z84" s="18">
        <f t="shared" si="45"/>
        <v>0</v>
      </c>
      <c r="AA84" s="2">
        <f t="shared" si="46"/>
        <v>42837.31864052748</v>
      </c>
    </row>
    <row r="85" spans="1:27" ht="12.75">
      <c r="A85" s="29">
        <v>2019</v>
      </c>
      <c r="C85" s="35">
        <f t="shared" si="35"/>
        <v>2108905.9300000006</v>
      </c>
      <c r="D85" s="35">
        <v>0</v>
      </c>
      <c r="E85" s="35">
        <v>68280.22</v>
      </c>
      <c r="F85" s="35">
        <v>6217.13</v>
      </c>
      <c r="G85" s="35">
        <f t="shared" si="36"/>
        <v>2170969.020000001</v>
      </c>
      <c r="H85" s="28">
        <v>1.5</v>
      </c>
      <c r="M85" s="38">
        <f t="shared" si="34"/>
        <v>68280.22</v>
      </c>
      <c r="R85" s="21">
        <f t="shared" si="37"/>
        <v>2019</v>
      </c>
      <c r="S85" s="4">
        <f t="shared" si="38"/>
        <v>68280.22</v>
      </c>
      <c r="T85">
        <f t="shared" si="39"/>
        <v>0</v>
      </c>
      <c r="U85">
        <f t="shared" si="40"/>
        <v>49</v>
      </c>
      <c r="V85" s="1" t="str">
        <f t="shared" si="41"/>
        <v>L1</v>
      </c>
      <c r="W85" s="2">
        <f t="shared" si="42"/>
        <v>1393.4738775510205</v>
      </c>
      <c r="X85" s="2">
        <f t="shared" si="43"/>
        <v>0</v>
      </c>
      <c r="Y85" s="18">
        <f t="shared" si="44"/>
        <v>47.59941222813344</v>
      </c>
      <c r="Z85" s="18">
        <f t="shared" si="45"/>
        <v>0</v>
      </c>
      <c r="AA85" s="2">
        <f t="shared" si="46"/>
        <v>66328.53752668656</v>
      </c>
    </row>
    <row r="86" spans="1:27" ht="12.75">
      <c r="A86" s="29">
        <v>2020</v>
      </c>
      <c r="C86" s="35">
        <f t="shared" si="35"/>
        <v>2170969.020000001</v>
      </c>
      <c r="D86" s="35">
        <v>0</v>
      </c>
      <c r="E86" s="35">
        <v>28511.83</v>
      </c>
      <c r="F86" s="35">
        <v>5146.95</v>
      </c>
      <c r="G86" s="35">
        <f t="shared" si="36"/>
        <v>2194333.900000001</v>
      </c>
      <c r="H86" s="28">
        <v>0.5</v>
      </c>
      <c r="M86" s="38">
        <f t="shared" si="34"/>
        <v>28511.83</v>
      </c>
      <c r="R86" s="21">
        <f t="shared" si="37"/>
        <v>2020</v>
      </c>
      <c r="S86" s="4">
        <f t="shared" si="38"/>
        <v>28511.83</v>
      </c>
      <c r="T86">
        <f t="shared" si="39"/>
        <v>0</v>
      </c>
      <c r="U86">
        <f t="shared" si="40"/>
        <v>49</v>
      </c>
      <c r="V86" s="1" t="str">
        <f t="shared" si="41"/>
        <v>L1</v>
      </c>
      <c r="W86" s="2">
        <f t="shared" si="42"/>
        <v>581.8740816326531</v>
      </c>
      <c r="X86" s="2">
        <f t="shared" si="43"/>
        <v>0</v>
      </c>
      <c r="Y86" s="18">
        <f t="shared" si="44"/>
        <v>48.53179173637677</v>
      </c>
      <c r="Z86" s="18">
        <f t="shared" si="45"/>
        <v>0</v>
      </c>
      <c r="AA86" s="2">
        <f t="shared" si="46"/>
        <v>28239.391746591413</v>
      </c>
    </row>
    <row r="87" spans="3:27" ht="12.75">
      <c r="C87" s="8"/>
      <c r="D87" s="8"/>
      <c r="E87" s="8"/>
      <c r="F87" s="8"/>
      <c r="G87" s="8"/>
      <c r="W87" s="2"/>
      <c r="X87" s="2"/>
      <c r="AA87" s="2"/>
    </row>
    <row r="88" spans="7:27" ht="12.75">
      <c r="G88" s="4">
        <f>SUM(G82:G87)/5</f>
        <v>2126179.136000001</v>
      </c>
      <c r="I88" s="8"/>
      <c r="S88" s="4">
        <f>SUM(S6:S87)</f>
        <v>2520097.3700000006</v>
      </c>
      <c r="T88" s="4">
        <f>SUM(T6:T87)</f>
        <v>0</v>
      </c>
      <c r="W88" s="2">
        <f>SUM(W6:W87)</f>
        <v>51430.55857142856</v>
      </c>
      <c r="X88" s="2">
        <f>SUM(X6:X87)</f>
        <v>0</v>
      </c>
      <c r="Y88" s="19">
        <f>AA88/W88</f>
        <v>34.934447571784816</v>
      </c>
      <c r="Z88" s="18"/>
      <c r="AA88" s="2">
        <f>SUM(AA6:AA87)</f>
        <v>1796698.1520011793</v>
      </c>
    </row>
    <row r="90" spans="2:27" ht="12.75">
      <c r="B90" t="s">
        <v>7</v>
      </c>
      <c r="D90" s="4"/>
      <c r="G90" s="10"/>
      <c r="W90" t="s">
        <v>35</v>
      </c>
      <c r="AA90" s="15">
        <f>AA88/(W88+X88)</f>
        <v>34.934447571784816</v>
      </c>
    </row>
    <row r="92" spans="2:7" ht="12.75">
      <c r="B92" t="s">
        <v>8</v>
      </c>
      <c r="D92" s="8"/>
      <c r="G92" s="10"/>
    </row>
    <row r="93" spans="20:22" ht="12.75">
      <c r="T93" s="20" t="s">
        <v>26</v>
      </c>
      <c r="V93" s="32" t="s">
        <v>16</v>
      </c>
    </row>
    <row r="94" spans="2:22" ht="12.75">
      <c r="B94" t="s">
        <v>9</v>
      </c>
      <c r="G94">
        <v>0.03</v>
      </c>
      <c r="T94" s="20" t="s">
        <v>11</v>
      </c>
      <c r="V94">
        <v>49</v>
      </c>
    </row>
    <row r="96" ht="12.75">
      <c r="B96" t="s">
        <v>10</v>
      </c>
    </row>
    <row r="98" spans="3:11" ht="12.75">
      <c r="C98" s="24"/>
      <c r="D98" s="23"/>
      <c r="E98" s="23"/>
      <c r="F98" s="23"/>
      <c r="G98" s="23"/>
      <c r="H98" s="23"/>
      <c r="I98" s="23"/>
      <c r="J98" s="23"/>
      <c r="K98" s="23"/>
    </row>
    <row r="99" spans="3:11" ht="12.75">
      <c r="C99" s="24"/>
      <c r="D99" s="43"/>
      <c r="E99" s="23"/>
      <c r="F99" s="23"/>
      <c r="G99" s="23"/>
      <c r="H99" s="23"/>
      <c r="I99" s="23"/>
      <c r="J99" s="23"/>
      <c r="K99" s="16"/>
    </row>
    <row r="100" spans="3:11" ht="12.75">
      <c r="C100" s="24"/>
      <c r="D100" s="24"/>
      <c r="E100" s="24"/>
      <c r="F100" s="42"/>
      <c r="G100" s="42"/>
      <c r="H100" s="44"/>
      <c r="I100" s="44"/>
      <c r="J100" s="44"/>
      <c r="K100" s="24"/>
    </row>
    <row r="101" spans="3:11" ht="12.75">
      <c r="C101" s="24"/>
      <c r="D101" s="24"/>
      <c r="E101" s="24"/>
      <c r="F101" s="42"/>
      <c r="G101" s="42"/>
      <c r="H101" s="44"/>
      <c r="I101" s="44"/>
      <c r="J101" s="44"/>
      <c r="K101" s="24"/>
    </row>
    <row r="102" spans="3:11" ht="12.75">
      <c r="C102" s="24"/>
      <c r="D102" s="24"/>
      <c r="E102" s="24"/>
      <c r="F102" s="42"/>
      <c r="G102" s="42"/>
      <c r="H102" s="44"/>
      <c r="I102" s="44"/>
      <c r="J102" s="44"/>
      <c r="K102" s="24"/>
    </row>
    <row r="103" spans="3:11" ht="12.75">
      <c r="C103" s="24"/>
      <c r="D103" s="24"/>
      <c r="E103" s="24"/>
      <c r="F103" s="42"/>
      <c r="G103" s="42"/>
      <c r="H103" s="44"/>
      <c r="I103" s="44"/>
      <c r="J103" s="44"/>
      <c r="K103" s="24"/>
    </row>
    <row r="104" spans="3:11" ht="12.75">
      <c r="C104" s="24"/>
      <c r="D104" s="24"/>
      <c r="E104" s="24"/>
      <c r="F104" s="42"/>
      <c r="G104" s="42"/>
      <c r="H104" s="44"/>
      <c r="I104" s="44"/>
      <c r="J104" s="44"/>
      <c r="K104" s="24"/>
    </row>
    <row r="105" spans="3:11" ht="12.75">
      <c r="C105" s="24"/>
      <c r="D105" s="24"/>
      <c r="E105" s="24"/>
      <c r="F105" s="42"/>
      <c r="G105" s="42"/>
      <c r="H105" s="44"/>
      <c r="I105" s="44"/>
      <c r="J105" s="44"/>
      <c r="K105" s="24"/>
    </row>
    <row r="106" spans="3:11" ht="12.75">
      <c r="C106" s="24"/>
      <c r="D106" s="24"/>
      <c r="E106" s="24"/>
      <c r="F106" s="42"/>
      <c r="G106" s="42"/>
      <c r="H106" s="44"/>
      <c r="I106" s="44"/>
      <c r="J106" s="44"/>
      <c r="K106" s="24"/>
    </row>
    <row r="107" spans="3:11" ht="12.75">
      <c r="C107" s="24"/>
      <c r="D107" s="24"/>
      <c r="E107" s="24"/>
      <c r="F107" s="42"/>
      <c r="G107" s="42"/>
      <c r="H107" s="44"/>
      <c r="I107" s="44"/>
      <c r="J107" s="44"/>
      <c r="K107" s="24"/>
    </row>
    <row r="108" spans="3:11" ht="12.75">
      <c r="C108" s="24"/>
      <c r="D108" s="24"/>
      <c r="E108" s="24"/>
      <c r="F108" s="42"/>
      <c r="G108" s="42"/>
      <c r="H108" s="44"/>
      <c r="I108" s="44"/>
      <c r="J108" s="44"/>
      <c r="K108" s="24"/>
    </row>
    <row r="109" spans="3:11" ht="12.75">
      <c r="C109" s="24"/>
      <c r="D109" s="24"/>
      <c r="E109" s="24"/>
      <c r="F109" s="42"/>
      <c r="G109" s="42"/>
      <c r="H109" s="44"/>
      <c r="I109" s="44"/>
      <c r="J109" s="44"/>
      <c r="K109" s="24"/>
    </row>
    <row r="110" spans="3:11" ht="12.75">
      <c r="C110" s="24"/>
      <c r="D110" s="24"/>
      <c r="E110" s="24"/>
      <c r="F110" s="42"/>
      <c r="G110" s="42"/>
      <c r="H110" s="44"/>
      <c r="I110" s="44"/>
      <c r="J110" s="44"/>
      <c r="K110" s="24"/>
    </row>
    <row r="111" spans="3:11" ht="12.75">
      <c r="C111" s="24"/>
      <c r="D111" s="24"/>
      <c r="E111" s="24"/>
      <c r="F111" s="42"/>
      <c r="G111" s="42"/>
      <c r="H111" s="44"/>
      <c r="I111" s="44"/>
      <c r="J111" s="44"/>
      <c r="K111" s="24"/>
    </row>
    <row r="112" spans="3:11" ht="12.75">
      <c r="C112" s="24"/>
      <c r="D112" s="24"/>
      <c r="E112" s="24"/>
      <c r="F112" s="42"/>
      <c r="G112" s="42"/>
      <c r="H112" s="44"/>
      <c r="I112" s="44"/>
      <c r="J112" s="44"/>
      <c r="K112" s="24"/>
    </row>
    <row r="113" spans="3:11" ht="12.75">
      <c r="C113" s="24"/>
      <c r="D113" s="24"/>
      <c r="E113" s="24"/>
      <c r="F113" s="42"/>
      <c r="G113" s="42"/>
      <c r="H113" s="44"/>
      <c r="I113" s="44"/>
      <c r="J113" s="44"/>
      <c r="K113" s="24"/>
    </row>
    <row r="114" spans="3:11" ht="12.75">
      <c r="C114" s="24"/>
      <c r="D114" s="24"/>
      <c r="E114" s="24"/>
      <c r="F114" s="42"/>
      <c r="G114" s="42"/>
      <c r="H114" s="44"/>
      <c r="I114" s="44"/>
      <c r="J114" s="44"/>
      <c r="K114" s="24"/>
    </row>
    <row r="115" spans="3:11" ht="12.75">
      <c r="C115" s="24"/>
      <c r="D115" s="24"/>
      <c r="E115" s="24"/>
      <c r="F115" s="42"/>
      <c r="G115" s="42"/>
      <c r="H115" s="44"/>
      <c r="I115" s="44"/>
      <c r="J115" s="44"/>
      <c r="K115" s="24"/>
    </row>
    <row r="116" spans="3:11" ht="12.75">
      <c r="C116" s="24"/>
      <c r="D116" s="24"/>
      <c r="E116" s="24"/>
      <c r="F116" s="42"/>
      <c r="G116" s="42"/>
      <c r="H116" s="44"/>
      <c r="I116" s="44"/>
      <c r="J116" s="44"/>
      <c r="K116" s="24"/>
    </row>
    <row r="117" spans="3:11" ht="12.75">
      <c r="C117" s="24"/>
      <c r="D117" s="24"/>
      <c r="E117" s="24"/>
      <c r="F117" s="42"/>
      <c r="G117" s="42"/>
      <c r="H117" s="44"/>
      <c r="I117" s="44"/>
      <c r="J117" s="44"/>
      <c r="K117" s="24"/>
    </row>
    <row r="118" spans="3:11" ht="12.75">
      <c r="C118" s="24"/>
      <c r="D118" s="24"/>
      <c r="E118" s="24"/>
      <c r="F118" s="42"/>
      <c r="G118" s="42"/>
      <c r="H118" s="44"/>
      <c r="I118" s="44"/>
      <c r="J118" s="44"/>
      <c r="K118" s="24"/>
    </row>
    <row r="119" spans="3:11" ht="12.75">
      <c r="C119" s="24"/>
      <c r="D119" s="24"/>
      <c r="E119" s="24"/>
      <c r="F119" s="42"/>
      <c r="G119" s="42"/>
      <c r="H119" s="44"/>
      <c r="I119" s="44"/>
      <c r="J119" s="44"/>
      <c r="K119" s="24"/>
    </row>
    <row r="120" spans="3:11" ht="12.75">
      <c r="C120" s="24"/>
      <c r="D120" s="24"/>
      <c r="E120" s="24"/>
      <c r="F120" s="42"/>
      <c r="G120" s="42"/>
      <c r="H120" s="44"/>
      <c r="I120" s="44"/>
      <c r="J120" s="44"/>
      <c r="K120" s="24"/>
    </row>
    <row r="121" spans="3:11" ht="12.75">
      <c r="C121" s="24"/>
      <c r="D121" s="24"/>
      <c r="E121" s="24"/>
      <c r="F121" s="42"/>
      <c r="G121" s="42"/>
      <c r="H121" s="44"/>
      <c r="I121" s="44"/>
      <c r="J121" s="44"/>
      <c r="K121" s="24"/>
    </row>
    <row r="122" spans="3:11" ht="12.75"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3:11" ht="12.75">
      <c r="C123" s="24"/>
      <c r="D123" s="45"/>
      <c r="E123" s="46"/>
      <c r="F123" s="24"/>
      <c r="G123" s="24"/>
      <c r="H123" s="24"/>
      <c r="I123" s="24"/>
      <c r="J123" s="24"/>
      <c r="K123" s="24"/>
    </row>
    <row r="124" ht="12.75">
      <c r="K124" s="24"/>
    </row>
    <row r="125" ht="12.75">
      <c r="K125" s="24"/>
    </row>
    <row r="126" ht="12.75">
      <c r="K126" s="24"/>
    </row>
    <row r="127" ht="12.75">
      <c r="K127" s="24"/>
    </row>
    <row r="128" ht="12.75">
      <c r="K128" s="24"/>
    </row>
    <row r="129" ht="12.75">
      <c r="K129" s="24"/>
    </row>
  </sheetData>
  <sheetProtection/>
  <printOptions/>
  <pageMargins left="0.75" right="0.75" top="1.32" bottom="1" header="0.5" footer="0.5"/>
  <pageSetup horizontalDpi="600" verticalDpi="600" orientation="portrait" scale="80" r:id="rId1"/>
  <headerFooter alignWithMargins="0">
    <oddHeader>&amp;C&amp;"Arial,Bold"&amp;12Delta Natural Gas Company
Account Investment Summary
378 -- Measuring &amp; Regulating Equipment - General</oddHeader>
  </headerFooter>
  <rowBreaks count="1" manualBreakCount="1">
    <brk id="97" max="255" man="1"/>
  </rowBreaks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2">
    <tabColor rgb="FF00B050"/>
  </sheetPr>
  <dimension ref="A1:AA124"/>
  <sheetViews>
    <sheetView zoomScalePageLayoutView="0" workbookViewId="0" topLeftCell="A81">
      <selection activeCell="C98" sqref="C98:J121"/>
    </sheetView>
  </sheetViews>
  <sheetFormatPr defaultColWidth="9.140625" defaultRowHeight="12.75"/>
  <cols>
    <col min="3" max="3" width="14.8515625" style="0" customWidth="1"/>
    <col min="4" max="6" width="13.421875" style="0" customWidth="1"/>
    <col min="7" max="7" width="16.8515625" style="0" customWidth="1"/>
    <col min="9" max="9" width="12.8515625" style="0" bestFit="1" customWidth="1"/>
    <col min="13" max="13" width="12.8515625" style="0" bestFit="1" customWidth="1"/>
    <col min="15" max="15" width="12.8515625" style="0" bestFit="1" customWidth="1"/>
    <col min="19" max="19" width="10.28125" style="0" customWidth="1"/>
    <col min="22" max="27" width="15.28125" style="0" customWidth="1"/>
  </cols>
  <sheetData>
    <row r="1" ht="12.75">
      <c r="R1" s="22"/>
    </row>
    <row r="2" spans="3:27" ht="12.75">
      <c r="C2" s="3" t="s">
        <v>0</v>
      </c>
      <c r="D2" s="3"/>
      <c r="E2" s="3"/>
      <c r="F2" s="3"/>
      <c r="G2" s="3" t="s">
        <v>0</v>
      </c>
      <c r="I2" s="3" t="s">
        <v>2</v>
      </c>
      <c r="V2" s="3" t="s">
        <v>30</v>
      </c>
      <c r="W2" s="16" t="s">
        <v>32</v>
      </c>
      <c r="X2" s="16" t="s">
        <v>32</v>
      </c>
      <c r="Y2" s="16" t="s">
        <v>33</v>
      </c>
      <c r="Z2" s="16" t="s">
        <v>33</v>
      </c>
      <c r="AA2" s="3" t="s">
        <v>34</v>
      </c>
    </row>
    <row r="3" spans="1:27" ht="13.5" thickBot="1">
      <c r="A3" s="14" t="s">
        <v>5</v>
      </c>
      <c r="B3" s="12"/>
      <c r="C3" s="13" t="s">
        <v>1</v>
      </c>
      <c r="D3" s="13" t="s">
        <v>2</v>
      </c>
      <c r="E3" s="13" t="s">
        <v>3</v>
      </c>
      <c r="F3" s="13" t="s">
        <v>4</v>
      </c>
      <c r="G3" s="13" t="s">
        <v>1</v>
      </c>
      <c r="H3" s="12"/>
      <c r="I3" s="13" t="s">
        <v>21</v>
      </c>
      <c r="J3" s="13" t="s">
        <v>22</v>
      </c>
      <c r="R3" s="14" t="s">
        <v>6</v>
      </c>
      <c r="S3" s="17" t="s">
        <v>3</v>
      </c>
      <c r="T3" s="13" t="s">
        <v>27</v>
      </c>
      <c r="U3" s="17" t="s">
        <v>11</v>
      </c>
      <c r="V3" s="17" t="s">
        <v>31</v>
      </c>
      <c r="W3" s="17" t="s">
        <v>28</v>
      </c>
      <c r="X3" s="17" t="s">
        <v>29</v>
      </c>
      <c r="Y3" s="17" t="s">
        <v>28</v>
      </c>
      <c r="Z3" s="17" t="s">
        <v>29</v>
      </c>
      <c r="AA3" s="17" t="s">
        <v>25</v>
      </c>
    </row>
    <row r="4" spans="3:7" ht="12.75">
      <c r="C4" s="1"/>
      <c r="D4" s="1"/>
      <c r="E4" s="1"/>
      <c r="F4" s="1"/>
      <c r="G4" s="1"/>
    </row>
    <row r="5" spans="3:7" ht="12.75">
      <c r="C5" s="1"/>
      <c r="D5" s="1"/>
      <c r="E5" s="1"/>
      <c r="F5" s="1"/>
      <c r="G5" s="1"/>
    </row>
    <row r="6" spans="1:27" ht="12.75">
      <c r="A6">
        <v>1940</v>
      </c>
      <c r="C6" s="35">
        <v>0</v>
      </c>
      <c r="D6" s="35">
        <v>0</v>
      </c>
      <c r="E6" s="35">
        <v>0</v>
      </c>
      <c r="F6" s="35">
        <v>0</v>
      </c>
      <c r="G6" s="35">
        <f aca="true" t="shared" si="0" ref="G6:G69">C6+D6+E6-F6</f>
        <v>0</v>
      </c>
      <c r="H6" s="28">
        <v>80.5</v>
      </c>
      <c r="I6" s="29">
        <v>0</v>
      </c>
      <c r="J6" s="29">
        <f aca="true" t="shared" si="1" ref="J6:J51">IF(I6=0,0,ROUND((I6/D6/$G$94)+H6,1))</f>
        <v>0</v>
      </c>
      <c r="R6" s="21">
        <f>A6</f>
        <v>1940</v>
      </c>
      <c r="S6" s="4">
        <f aca="true" t="shared" si="2" ref="S6:S69">E6</f>
        <v>0</v>
      </c>
      <c r="T6">
        <f aca="true" t="shared" si="3" ref="T6:T69">IF(D6&gt;0,IF(J6&gt;0,D6,0),0)</f>
        <v>0</v>
      </c>
      <c r="U6">
        <f aca="true" t="shared" si="4" ref="U6:U69">$V$94</f>
        <v>53</v>
      </c>
      <c r="V6" s="1" t="str">
        <f aca="true" t="shared" si="5" ref="V6:V69">$V$93</f>
        <v>L0</v>
      </c>
      <c r="W6" s="2">
        <f aca="true" t="shared" si="6" ref="W6:W69">S6/U6</f>
        <v>0</v>
      </c>
      <c r="X6" s="2">
        <f>T6/U6</f>
        <v>0</v>
      </c>
      <c r="Y6" s="18">
        <f aca="true" t="shared" si="7" ref="Y6:Y66">Prob_life(V6,H6,U6)</f>
        <v>23.216258896765087</v>
      </c>
      <c r="Z6" s="18">
        <f aca="true" t="shared" si="8" ref="Z6:Z69">IF(J6&gt;0,Prob_life(V6,J6+0.5,U6),0)</f>
        <v>0</v>
      </c>
      <c r="AA6" s="2">
        <f>W6*Y6+X6*Z6</f>
        <v>0</v>
      </c>
    </row>
    <row r="7" spans="1:27" ht="12.75">
      <c r="A7">
        <v>1941</v>
      </c>
      <c r="C7" s="35">
        <f aca="true" t="shared" si="9" ref="C7:C70">G6</f>
        <v>0</v>
      </c>
      <c r="D7" s="35">
        <v>0</v>
      </c>
      <c r="E7" s="35">
        <v>0</v>
      </c>
      <c r="F7" s="35">
        <v>0</v>
      </c>
      <c r="G7" s="35">
        <f t="shared" si="0"/>
        <v>0</v>
      </c>
      <c r="H7" s="28">
        <v>79.5</v>
      </c>
      <c r="I7" s="29">
        <v>0</v>
      </c>
      <c r="J7" s="29">
        <f t="shared" si="1"/>
        <v>0</v>
      </c>
      <c r="R7" s="21">
        <f aca="true" t="shared" si="10" ref="R7:R70">A7</f>
        <v>1941</v>
      </c>
      <c r="S7" s="4">
        <f t="shared" si="2"/>
        <v>0</v>
      </c>
      <c r="T7">
        <f t="shared" si="3"/>
        <v>0</v>
      </c>
      <c r="U7">
        <f t="shared" si="4"/>
        <v>53</v>
      </c>
      <c r="V7" s="1" t="str">
        <f t="shared" si="5"/>
        <v>L0</v>
      </c>
      <c r="W7" s="2">
        <f t="shared" si="6"/>
        <v>0</v>
      </c>
      <c r="X7" s="2">
        <f aca="true" t="shared" si="11" ref="X7:X70">T7/U7</f>
        <v>0</v>
      </c>
      <c r="Y7" s="18">
        <f t="shared" si="7"/>
        <v>23.45063952643908</v>
      </c>
      <c r="Z7" s="18">
        <f t="shared" si="8"/>
        <v>0</v>
      </c>
      <c r="AA7" s="2">
        <f aca="true" t="shared" si="12" ref="AA7:AA70">W7*Y7+X7*Z7</f>
        <v>0</v>
      </c>
    </row>
    <row r="8" spans="1:27" ht="12.75">
      <c r="A8">
        <v>1942</v>
      </c>
      <c r="C8" s="35">
        <f t="shared" si="9"/>
        <v>0</v>
      </c>
      <c r="D8" s="35">
        <v>0</v>
      </c>
      <c r="E8" s="35">
        <v>0</v>
      </c>
      <c r="F8" s="35">
        <v>0</v>
      </c>
      <c r="G8" s="35">
        <f t="shared" si="0"/>
        <v>0</v>
      </c>
      <c r="H8" s="28">
        <v>78.5</v>
      </c>
      <c r="I8" s="29">
        <v>0</v>
      </c>
      <c r="J8" s="29">
        <f t="shared" si="1"/>
        <v>0</v>
      </c>
      <c r="R8" s="21">
        <f t="shared" si="10"/>
        <v>1942</v>
      </c>
      <c r="S8" s="4">
        <f t="shared" si="2"/>
        <v>0</v>
      </c>
      <c r="T8">
        <f t="shared" si="3"/>
        <v>0</v>
      </c>
      <c r="U8">
        <f t="shared" si="4"/>
        <v>53</v>
      </c>
      <c r="V8" s="1" t="str">
        <f t="shared" si="5"/>
        <v>L0</v>
      </c>
      <c r="W8" s="2">
        <f t="shared" si="6"/>
        <v>0</v>
      </c>
      <c r="X8" s="2">
        <f t="shared" si="11"/>
        <v>0</v>
      </c>
      <c r="Y8" s="18">
        <f t="shared" si="7"/>
        <v>23.686937073373485</v>
      </c>
      <c r="Z8" s="18">
        <f t="shared" si="8"/>
        <v>0</v>
      </c>
      <c r="AA8" s="2">
        <f t="shared" si="12"/>
        <v>0</v>
      </c>
    </row>
    <row r="9" spans="1:27" ht="12.75">
      <c r="A9">
        <v>1943</v>
      </c>
      <c r="C9" s="35">
        <f t="shared" si="9"/>
        <v>0</v>
      </c>
      <c r="D9" s="35">
        <v>0</v>
      </c>
      <c r="E9" s="35">
        <v>0</v>
      </c>
      <c r="F9" s="35">
        <v>0</v>
      </c>
      <c r="G9" s="35">
        <f t="shared" si="0"/>
        <v>0</v>
      </c>
      <c r="H9" s="28">
        <v>77.5</v>
      </c>
      <c r="I9" s="29">
        <v>0</v>
      </c>
      <c r="J9" s="29">
        <f t="shared" si="1"/>
        <v>0</v>
      </c>
      <c r="R9" s="21">
        <f t="shared" si="10"/>
        <v>1943</v>
      </c>
      <c r="S9" s="4">
        <f t="shared" si="2"/>
        <v>0</v>
      </c>
      <c r="T9">
        <f t="shared" si="3"/>
        <v>0</v>
      </c>
      <c r="U9">
        <f t="shared" si="4"/>
        <v>53</v>
      </c>
      <c r="V9" s="1" t="str">
        <f t="shared" si="5"/>
        <v>L0</v>
      </c>
      <c r="W9" s="2">
        <f t="shared" si="6"/>
        <v>0</v>
      </c>
      <c r="X9" s="2">
        <f t="shared" si="11"/>
        <v>0</v>
      </c>
      <c r="Y9" s="18">
        <f t="shared" si="7"/>
        <v>23.92517609216141</v>
      </c>
      <c r="Z9" s="18">
        <f t="shared" si="8"/>
        <v>0</v>
      </c>
      <c r="AA9" s="2">
        <f t="shared" si="12"/>
        <v>0</v>
      </c>
    </row>
    <row r="10" spans="1:27" ht="12.75">
      <c r="A10">
        <v>1944</v>
      </c>
      <c r="C10" s="35">
        <f t="shared" si="9"/>
        <v>0</v>
      </c>
      <c r="D10" s="35">
        <v>0</v>
      </c>
      <c r="E10" s="35">
        <v>0</v>
      </c>
      <c r="F10" s="35">
        <v>0</v>
      </c>
      <c r="G10" s="35">
        <f t="shared" si="0"/>
        <v>0</v>
      </c>
      <c r="H10" s="28">
        <v>76.5</v>
      </c>
      <c r="I10" s="29">
        <v>0</v>
      </c>
      <c r="J10" s="29">
        <f t="shared" si="1"/>
        <v>0</v>
      </c>
      <c r="R10" s="21">
        <f t="shared" si="10"/>
        <v>1944</v>
      </c>
      <c r="S10" s="4">
        <f t="shared" si="2"/>
        <v>0</v>
      </c>
      <c r="T10">
        <f t="shared" si="3"/>
        <v>0</v>
      </c>
      <c r="U10">
        <f t="shared" si="4"/>
        <v>53</v>
      </c>
      <c r="V10" s="1" t="str">
        <f t="shared" si="5"/>
        <v>L0</v>
      </c>
      <c r="W10" s="2">
        <f t="shared" si="6"/>
        <v>0</v>
      </c>
      <c r="X10" s="2">
        <f t="shared" si="11"/>
        <v>0</v>
      </c>
      <c r="Y10" s="18">
        <f t="shared" si="7"/>
        <v>24.165381482420006</v>
      </c>
      <c r="Z10" s="18">
        <f t="shared" si="8"/>
        <v>0</v>
      </c>
      <c r="AA10" s="2">
        <f t="shared" si="12"/>
        <v>0</v>
      </c>
    </row>
    <row r="11" spans="1:27" ht="12.75">
      <c r="A11">
        <v>1945</v>
      </c>
      <c r="C11" s="35">
        <f t="shared" si="9"/>
        <v>0</v>
      </c>
      <c r="D11" s="35">
        <v>0</v>
      </c>
      <c r="E11" s="35">
        <v>0</v>
      </c>
      <c r="F11" s="35">
        <v>0</v>
      </c>
      <c r="G11" s="35">
        <f t="shared" si="0"/>
        <v>0</v>
      </c>
      <c r="H11" s="28">
        <v>75.5</v>
      </c>
      <c r="I11" s="29">
        <v>0</v>
      </c>
      <c r="J11" s="29">
        <f t="shared" si="1"/>
        <v>0</v>
      </c>
      <c r="R11" s="21">
        <f t="shared" si="10"/>
        <v>1945</v>
      </c>
      <c r="S11" s="4">
        <f t="shared" si="2"/>
        <v>0</v>
      </c>
      <c r="T11">
        <f t="shared" si="3"/>
        <v>0</v>
      </c>
      <c r="U11">
        <f t="shared" si="4"/>
        <v>53</v>
      </c>
      <c r="V11" s="1" t="str">
        <f t="shared" si="5"/>
        <v>L0</v>
      </c>
      <c r="W11" s="2">
        <f t="shared" si="6"/>
        <v>0</v>
      </c>
      <c r="X11" s="2">
        <f t="shared" si="11"/>
        <v>0</v>
      </c>
      <c r="Y11" s="18">
        <f t="shared" si="7"/>
        <v>24.407578486870136</v>
      </c>
      <c r="Z11" s="18">
        <f t="shared" si="8"/>
        <v>0</v>
      </c>
      <c r="AA11" s="2">
        <f t="shared" si="12"/>
        <v>0</v>
      </c>
    </row>
    <row r="12" spans="1:27" ht="12.75">
      <c r="A12">
        <v>1946</v>
      </c>
      <c r="C12" s="35">
        <f t="shared" si="9"/>
        <v>0</v>
      </c>
      <c r="D12" s="35">
        <v>0</v>
      </c>
      <c r="E12" s="35">
        <v>0</v>
      </c>
      <c r="F12" s="35">
        <v>0</v>
      </c>
      <c r="G12" s="35">
        <f t="shared" si="0"/>
        <v>0</v>
      </c>
      <c r="H12" s="28">
        <v>74.5</v>
      </c>
      <c r="I12" s="29">
        <v>0</v>
      </c>
      <c r="J12" s="29">
        <f t="shared" si="1"/>
        <v>0</v>
      </c>
      <c r="R12" s="21">
        <f t="shared" si="10"/>
        <v>1946</v>
      </c>
      <c r="S12" s="4">
        <f t="shared" si="2"/>
        <v>0</v>
      </c>
      <c r="T12">
        <f t="shared" si="3"/>
        <v>0</v>
      </c>
      <c r="U12">
        <f t="shared" si="4"/>
        <v>53</v>
      </c>
      <c r="V12" s="1" t="str">
        <f t="shared" si="5"/>
        <v>L0</v>
      </c>
      <c r="W12" s="2">
        <f t="shared" si="6"/>
        <v>0</v>
      </c>
      <c r="X12" s="2">
        <f t="shared" si="11"/>
        <v>0</v>
      </c>
      <c r="Y12" s="18">
        <f t="shared" si="7"/>
        <v>24.651792693474846</v>
      </c>
      <c r="Z12" s="18">
        <f t="shared" si="8"/>
        <v>0</v>
      </c>
      <c r="AA12" s="2">
        <f t="shared" si="12"/>
        <v>0</v>
      </c>
    </row>
    <row r="13" spans="1:27" ht="12.75">
      <c r="A13">
        <v>1947</v>
      </c>
      <c r="C13" s="35">
        <f t="shared" si="9"/>
        <v>0</v>
      </c>
      <c r="D13" s="35">
        <v>0</v>
      </c>
      <c r="E13" s="35">
        <v>0</v>
      </c>
      <c r="F13" s="35">
        <v>0</v>
      </c>
      <c r="G13" s="35">
        <f t="shared" si="0"/>
        <v>0</v>
      </c>
      <c r="H13" s="28">
        <v>73.5</v>
      </c>
      <c r="I13" s="29">
        <v>0</v>
      </c>
      <c r="J13" s="29">
        <f t="shared" si="1"/>
        <v>0</v>
      </c>
      <c r="R13" s="21">
        <f t="shared" si="10"/>
        <v>1947</v>
      </c>
      <c r="S13" s="4">
        <f t="shared" si="2"/>
        <v>0</v>
      </c>
      <c r="T13">
        <f t="shared" si="3"/>
        <v>0</v>
      </c>
      <c r="U13">
        <f t="shared" si="4"/>
        <v>53</v>
      </c>
      <c r="V13" s="1" t="str">
        <f t="shared" si="5"/>
        <v>L0</v>
      </c>
      <c r="W13" s="2">
        <f t="shared" si="6"/>
        <v>0</v>
      </c>
      <c r="X13" s="2">
        <f t="shared" si="11"/>
        <v>0</v>
      </c>
      <c r="Y13" s="18">
        <f t="shared" si="7"/>
        <v>24.898050040885856</v>
      </c>
      <c r="Z13" s="18">
        <f t="shared" si="8"/>
        <v>0</v>
      </c>
      <c r="AA13" s="2">
        <f t="shared" si="12"/>
        <v>0</v>
      </c>
    </row>
    <row r="14" spans="1:27" ht="12.75">
      <c r="A14">
        <v>1948</v>
      </c>
      <c r="C14" s="35">
        <f t="shared" si="9"/>
        <v>0</v>
      </c>
      <c r="D14" s="35">
        <v>0</v>
      </c>
      <c r="E14" s="35">
        <v>0</v>
      </c>
      <c r="F14" s="35">
        <v>0</v>
      </c>
      <c r="G14" s="35">
        <f t="shared" si="0"/>
        <v>0</v>
      </c>
      <c r="H14" s="28">
        <v>72.5</v>
      </c>
      <c r="I14" s="29">
        <v>0</v>
      </c>
      <c r="J14" s="29">
        <f t="shared" si="1"/>
        <v>0</v>
      </c>
      <c r="R14" s="21">
        <f t="shared" si="10"/>
        <v>1948</v>
      </c>
      <c r="S14" s="4">
        <f t="shared" si="2"/>
        <v>0</v>
      </c>
      <c r="T14">
        <f t="shared" si="3"/>
        <v>0</v>
      </c>
      <c r="U14">
        <f t="shared" si="4"/>
        <v>53</v>
      </c>
      <c r="V14" s="1" t="str">
        <f t="shared" si="5"/>
        <v>L0</v>
      </c>
      <c r="W14" s="2">
        <f t="shared" si="6"/>
        <v>0</v>
      </c>
      <c r="X14" s="2">
        <f t="shared" si="11"/>
        <v>0</v>
      </c>
      <c r="Y14" s="18">
        <f t="shared" si="7"/>
        <v>25.146376816621867</v>
      </c>
      <c r="Z14" s="18">
        <f t="shared" si="8"/>
        <v>0</v>
      </c>
      <c r="AA14" s="2">
        <f t="shared" si="12"/>
        <v>0</v>
      </c>
    </row>
    <row r="15" spans="1:27" ht="12.75">
      <c r="A15">
        <v>1949</v>
      </c>
      <c r="C15" s="35">
        <f t="shared" si="9"/>
        <v>0</v>
      </c>
      <c r="D15" s="35">
        <v>0</v>
      </c>
      <c r="E15" s="35">
        <v>0</v>
      </c>
      <c r="F15" s="35">
        <v>0</v>
      </c>
      <c r="G15" s="35">
        <f t="shared" si="0"/>
        <v>0</v>
      </c>
      <c r="H15" s="28">
        <v>71.5</v>
      </c>
      <c r="I15" s="29">
        <v>0</v>
      </c>
      <c r="J15" s="29">
        <f t="shared" si="1"/>
        <v>0</v>
      </c>
      <c r="R15" s="21">
        <f t="shared" si="10"/>
        <v>1949</v>
      </c>
      <c r="S15" s="4">
        <f t="shared" si="2"/>
        <v>0</v>
      </c>
      <c r="T15">
        <f t="shared" si="3"/>
        <v>0</v>
      </c>
      <c r="U15">
        <f t="shared" si="4"/>
        <v>53</v>
      </c>
      <c r="V15" s="1" t="str">
        <f t="shared" si="5"/>
        <v>L0</v>
      </c>
      <c r="W15" s="2">
        <f t="shared" si="6"/>
        <v>0</v>
      </c>
      <c r="X15" s="2">
        <f t="shared" si="11"/>
        <v>0</v>
      </c>
      <c r="Y15" s="18">
        <f t="shared" si="7"/>
        <v>25.396799659092938</v>
      </c>
      <c r="Z15" s="18">
        <f t="shared" si="8"/>
        <v>0</v>
      </c>
      <c r="AA15" s="2">
        <f t="shared" si="12"/>
        <v>0</v>
      </c>
    </row>
    <row r="16" spans="1:27" ht="12.75">
      <c r="A16">
        <v>1950</v>
      </c>
      <c r="C16" s="35">
        <f t="shared" si="9"/>
        <v>0</v>
      </c>
      <c r="D16" s="35">
        <v>0</v>
      </c>
      <c r="E16" s="35">
        <v>0</v>
      </c>
      <c r="F16" s="35">
        <v>0</v>
      </c>
      <c r="G16" s="35">
        <f t="shared" si="0"/>
        <v>0</v>
      </c>
      <c r="H16" s="28">
        <v>70.5</v>
      </c>
      <c r="I16" s="29">
        <v>0</v>
      </c>
      <c r="J16" s="29">
        <f t="shared" si="1"/>
        <v>0</v>
      </c>
      <c r="R16" s="21">
        <f t="shared" si="10"/>
        <v>1950</v>
      </c>
      <c r="S16" s="4">
        <f t="shared" si="2"/>
        <v>0</v>
      </c>
      <c r="T16">
        <f t="shared" si="3"/>
        <v>0</v>
      </c>
      <c r="U16">
        <f t="shared" si="4"/>
        <v>53</v>
      </c>
      <c r="V16" s="1" t="str">
        <f t="shared" si="5"/>
        <v>L0</v>
      </c>
      <c r="W16" s="2">
        <f t="shared" si="6"/>
        <v>0</v>
      </c>
      <c r="X16" s="2">
        <f t="shared" si="11"/>
        <v>0</v>
      </c>
      <c r="Y16" s="18">
        <f t="shared" si="7"/>
        <v>25.649345562905598</v>
      </c>
      <c r="Z16" s="18">
        <f t="shared" si="8"/>
        <v>0</v>
      </c>
      <c r="AA16" s="2">
        <f t="shared" si="12"/>
        <v>0</v>
      </c>
    </row>
    <row r="17" spans="1:27" ht="12.75">
      <c r="A17">
        <v>1951</v>
      </c>
      <c r="C17" s="35">
        <f t="shared" si="9"/>
        <v>0</v>
      </c>
      <c r="D17" s="35">
        <v>0</v>
      </c>
      <c r="E17" s="35">
        <v>0</v>
      </c>
      <c r="F17" s="35">
        <v>0</v>
      </c>
      <c r="G17" s="35">
        <f t="shared" si="0"/>
        <v>0</v>
      </c>
      <c r="H17" s="28">
        <v>69.5</v>
      </c>
      <c r="I17" s="29">
        <v>0</v>
      </c>
      <c r="J17" s="29">
        <f t="shared" si="1"/>
        <v>0</v>
      </c>
      <c r="R17" s="21">
        <f t="shared" si="10"/>
        <v>1951</v>
      </c>
      <c r="S17" s="4">
        <f t="shared" si="2"/>
        <v>0</v>
      </c>
      <c r="T17">
        <f t="shared" si="3"/>
        <v>0</v>
      </c>
      <c r="U17">
        <f t="shared" si="4"/>
        <v>53</v>
      </c>
      <c r="V17" s="1" t="str">
        <f t="shared" si="5"/>
        <v>L0</v>
      </c>
      <c r="W17" s="2">
        <f t="shared" si="6"/>
        <v>0</v>
      </c>
      <c r="X17" s="2">
        <f t="shared" si="11"/>
        <v>0</v>
      </c>
      <c r="Y17" s="18">
        <f t="shared" si="7"/>
        <v>25.90404187715418</v>
      </c>
      <c r="Z17" s="18">
        <f t="shared" si="8"/>
        <v>0</v>
      </c>
      <c r="AA17" s="2">
        <f t="shared" si="12"/>
        <v>0</v>
      </c>
    </row>
    <row r="18" spans="1:27" ht="12.75">
      <c r="A18">
        <v>1952</v>
      </c>
      <c r="C18" s="35">
        <f t="shared" si="9"/>
        <v>0</v>
      </c>
      <c r="D18" s="35">
        <v>0</v>
      </c>
      <c r="E18" s="35">
        <v>0</v>
      </c>
      <c r="F18" s="35">
        <v>0</v>
      </c>
      <c r="G18" s="35">
        <f t="shared" si="0"/>
        <v>0</v>
      </c>
      <c r="H18" s="28">
        <v>68.5</v>
      </c>
      <c r="I18" s="29">
        <v>0</v>
      </c>
      <c r="J18" s="29">
        <f t="shared" si="1"/>
        <v>0</v>
      </c>
      <c r="R18" s="21">
        <f t="shared" si="10"/>
        <v>1952</v>
      </c>
      <c r="S18" s="4">
        <f t="shared" si="2"/>
        <v>0</v>
      </c>
      <c r="T18">
        <f t="shared" si="3"/>
        <v>0</v>
      </c>
      <c r="U18">
        <f t="shared" si="4"/>
        <v>53</v>
      </c>
      <c r="V18" s="1" t="str">
        <f t="shared" si="5"/>
        <v>L0</v>
      </c>
      <c r="W18" s="2">
        <f t="shared" si="6"/>
        <v>0</v>
      </c>
      <c r="X18" s="2">
        <f t="shared" si="11"/>
        <v>0</v>
      </c>
      <c r="Y18" s="18">
        <f t="shared" si="7"/>
        <v>26.16091630760679</v>
      </c>
      <c r="Z18" s="18">
        <f t="shared" si="8"/>
        <v>0</v>
      </c>
      <c r="AA18" s="2">
        <f t="shared" si="12"/>
        <v>0</v>
      </c>
    </row>
    <row r="19" spans="1:27" ht="12.75">
      <c r="A19">
        <v>1953</v>
      </c>
      <c r="C19" s="35">
        <f t="shared" si="9"/>
        <v>0</v>
      </c>
      <c r="D19" s="35">
        <v>0</v>
      </c>
      <c r="E19" s="35">
        <v>0</v>
      </c>
      <c r="F19" s="35">
        <v>0</v>
      </c>
      <c r="G19" s="35">
        <f t="shared" si="0"/>
        <v>0</v>
      </c>
      <c r="H19" s="28">
        <v>67.5</v>
      </c>
      <c r="I19" s="29">
        <v>0</v>
      </c>
      <c r="J19" s="29">
        <f t="shared" si="1"/>
        <v>0</v>
      </c>
      <c r="R19" s="21">
        <f t="shared" si="10"/>
        <v>1953</v>
      </c>
      <c r="S19" s="4">
        <f t="shared" si="2"/>
        <v>0</v>
      </c>
      <c r="T19">
        <f t="shared" si="3"/>
        <v>0</v>
      </c>
      <c r="U19">
        <f t="shared" si="4"/>
        <v>53</v>
      </c>
      <c r="V19" s="1" t="str">
        <f t="shared" si="5"/>
        <v>L0</v>
      </c>
      <c r="W19" s="2">
        <f t="shared" si="6"/>
        <v>0</v>
      </c>
      <c r="X19" s="2">
        <f t="shared" si="11"/>
        <v>0</v>
      </c>
      <c r="Y19" s="18">
        <f t="shared" si="7"/>
        <v>26.419996921228762</v>
      </c>
      <c r="Z19" s="18">
        <f t="shared" si="8"/>
        <v>0</v>
      </c>
      <c r="AA19" s="2">
        <f t="shared" si="12"/>
        <v>0</v>
      </c>
    </row>
    <row r="20" spans="1:27" ht="12.75">
      <c r="A20">
        <v>1954</v>
      </c>
      <c r="C20" s="35">
        <f t="shared" si="9"/>
        <v>0</v>
      </c>
      <c r="D20" s="35">
        <v>0</v>
      </c>
      <c r="E20" s="35">
        <v>0</v>
      </c>
      <c r="F20" s="35">
        <v>0</v>
      </c>
      <c r="G20" s="35">
        <f t="shared" si="0"/>
        <v>0</v>
      </c>
      <c r="H20" s="28">
        <v>66.5</v>
      </c>
      <c r="I20" s="29">
        <v>0</v>
      </c>
      <c r="J20" s="29">
        <f t="shared" si="1"/>
        <v>0</v>
      </c>
      <c r="R20" s="21">
        <f t="shared" si="10"/>
        <v>1954</v>
      </c>
      <c r="S20" s="4">
        <f t="shared" si="2"/>
        <v>0</v>
      </c>
      <c r="T20">
        <f t="shared" si="3"/>
        <v>0</v>
      </c>
      <c r="U20">
        <f t="shared" si="4"/>
        <v>53</v>
      </c>
      <c r="V20" s="1" t="str">
        <f t="shared" si="5"/>
        <v>L0</v>
      </c>
      <c r="W20" s="2">
        <f t="shared" si="6"/>
        <v>0</v>
      </c>
      <c r="X20" s="2">
        <f t="shared" si="11"/>
        <v>0</v>
      </c>
      <c r="Y20" s="18">
        <f t="shared" si="7"/>
        <v>26.681312143982574</v>
      </c>
      <c r="Z20" s="18">
        <f t="shared" si="8"/>
        <v>0</v>
      </c>
      <c r="AA20" s="2">
        <f t="shared" si="12"/>
        <v>0</v>
      </c>
    </row>
    <row r="21" spans="1:27" ht="12.75">
      <c r="A21">
        <v>1955</v>
      </c>
      <c r="C21" s="35">
        <f t="shared" si="9"/>
        <v>0</v>
      </c>
      <c r="D21" s="35">
        <v>0</v>
      </c>
      <c r="E21" s="35">
        <v>0</v>
      </c>
      <c r="F21" s="35">
        <v>0</v>
      </c>
      <c r="G21" s="35">
        <f t="shared" si="0"/>
        <v>0</v>
      </c>
      <c r="H21" s="28">
        <v>65.5</v>
      </c>
      <c r="I21" s="29">
        <v>0</v>
      </c>
      <c r="J21" s="29">
        <f t="shared" si="1"/>
        <v>0</v>
      </c>
      <c r="R21" s="21">
        <f t="shared" si="10"/>
        <v>1955</v>
      </c>
      <c r="S21" s="4">
        <f t="shared" si="2"/>
        <v>0</v>
      </c>
      <c r="T21">
        <f t="shared" si="3"/>
        <v>0</v>
      </c>
      <c r="U21">
        <f t="shared" si="4"/>
        <v>53</v>
      </c>
      <c r="V21" s="1" t="str">
        <f t="shared" si="5"/>
        <v>L0</v>
      </c>
      <c r="W21" s="2">
        <f t="shared" si="6"/>
        <v>0</v>
      </c>
      <c r="X21" s="2">
        <f t="shared" si="11"/>
        <v>0</v>
      </c>
      <c r="Y21" s="18">
        <f t="shared" si="7"/>
        <v>26.944890765899043</v>
      </c>
      <c r="Z21" s="18">
        <f t="shared" si="8"/>
        <v>0</v>
      </c>
      <c r="AA21" s="2">
        <f t="shared" si="12"/>
        <v>0</v>
      </c>
    </row>
    <row r="22" spans="1:27" ht="12.75">
      <c r="A22">
        <v>1956</v>
      </c>
      <c r="C22" s="35">
        <f t="shared" si="9"/>
        <v>0</v>
      </c>
      <c r="D22" s="35">
        <v>0</v>
      </c>
      <c r="E22" s="35">
        <v>0</v>
      </c>
      <c r="F22" s="35">
        <v>0</v>
      </c>
      <c r="G22" s="35">
        <f t="shared" si="0"/>
        <v>0</v>
      </c>
      <c r="H22" s="28">
        <v>64.5</v>
      </c>
      <c r="I22" s="29">
        <v>0</v>
      </c>
      <c r="J22" s="29">
        <f t="shared" si="1"/>
        <v>0</v>
      </c>
      <c r="R22" s="21">
        <f t="shared" si="10"/>
        <v>1956</v>
      </c>
      <c r="S22" s="4">
        <f t="shared" si="2"/>
        <v>0</v>
      </c>
      <c r="T22">
        <f t="shared" si="3"/>
        <v>0</v>
      </c>
      <c r="U22">
        <f t="shared" si="4"/>
        <v>53</v>
      </c>
      <c r="V22" s="1" t="str">
        <f t="shared" si="5"/>
        <v>L0</v>
      </c>
      <c r="W22" s="2">
        <f t="shared" si="6"/>
        <v>0</v>
      </c>
      <c r="X22" s="2">
        <f t="shared" si="11"/>
        <v>0</v>
      </c>
      <c r="Y22" s="18">
        <f t="shared" si="7"/>
        <v>27.210761940403618</v>
      </c>
      <c r="Z22" s="18">
        <f t="shared" si="8"/>
        <v>0</v>
      </c>
      <c r="AA22" s="2">
        <f t="shared" si="12"/>
        <v>0</v>
      </c>
    </row>
    <row r="23" spans="1:27" ht="12.75">
      <c r="A23">
        <v>1957</v>
      </c>
      <c r="C23" s="35">
        <f t="shared" si="9"/>
        <v>0</v>
      </c>
      <c r="D23" s="35">
        <v>0</v>
      </c>
      <c r="E23" s="35">
        <v>0</v>
      </c>
      <c r="F23" s="35">
        <v>0</v>
      </c>
      <c r="G23" s="35">
        <f t="shared" si="0"/>
        <v>0</v>
      </c>
      <c r="H23" s="28">
        <v>63.5</v>
      </c>
      <c r="I23" s="29">
        <v>0</v>
      </c>
      <c r="J23" s="29">
        <f t="shared" si="1"/>
        <v>0</v>
      </c>
      <c r="R23" s="21">
        <f t="shared" si="10"/>
        <v>1957</v>
      </c>
      <c r="S23" s="4">
        <f t="shared" si="2"/>
        <v>0</v>
      </c>
      <c r="T23">
        <f t="shared" si="3"/>
        <v>0</v>
      </c>
      <c r="U23">
        <f t="shared" si="4"/>
        <v>53</v>
      </c>
      <c r="V23" s="1" t="str">
        <f t="shared" si="5"/>
        <v>L0</v>
      </c>
      <c r="W23" s="2">
        <f t="shared" si="6"/>
        <v>0</v>
      </c>
      <c r="X23" s="2">
        <f t="shared" si="11"/>
        <v>0</v>
      </c>
      <c r="Y23" s="18">
        <f t="shared" si="7"/>
        <v>27.478955185890502</v>
      </c>
      <c r="Z23" s="18">
        <f t="shared" si="8"/>
        <v>0</v>
      </c>
      <c r="AA23" s="2">
        <f t="shared" si="12"/>
        <v>0</v>
      </c>
    </row>
    <row r="24" spans="1:27" ht="12.75">
      <c r="A24">
        <v>1958</v>
      </c>
      <c r="C24" s="35">
        <f t="shared" si="9"/>
        <v>0</v>
      </c>
      <c r="D24" s="35">
        <v>0</v>
      </c>
      <c r="E24" s="35">
        <v>0</v>
      </c>
      <c r="F24" s="35">
        <v>0</v>
      </c>
      <c r="G24" s="35">
        <f t="shared" si="0"/>
        <v>0</v>
      </c>
      <c r="H24" s="28">
        <v>62.5</v>
      </c>
      <c r="I24" s="29">
        <v>0</v>
      </c>
      <c r="J24" s="29">
        <f t="shared" si="1"/>
        <v>0</v>
      </c>
      <c r="R24" s="21">
        <f t="shared" si="10"/>
        <v>1958</v>
      </c>
      <c r="S24" s="4">
        <f t="shared" si="2"/>
        <v>0</v>
      </c>
      <c r="T24">
        <f t="shared" si="3"/>
        <v>0</v>
      </c>
      <c r="U24">
        <f t="shared" si="4"/>
        <v>53</v>
      </c>
      <c r="V24" s="1" t="str">
        <f t="shared" si="5"/>
        <v>L0</v>
      </c>
      <c r="W24" s="2">
        <f t="shared" si="6"/>
        <v>0</v>
      </c>
      <c r="X24" s="2">
        <f t="shared" si="11"/>
        <v>0</v>
      </c>
      <c r="Y24" s="18">
        <f t="shared" si="7"/>
        <v>27.749500388117056</v>
      </c>
      <c r="Z24" s="18">
        <f t="shared" si="8"/>
        <v>0</v>
      </c>
      <c r="AA24" s="2">
        <f t="shared" si="12"/>
        <v>0</v>
      </c>
    </row>
    <row r="25" spans="1:27" ht="12.75">
      <c r="A25">
        <v>1959</v>
      </c>
      <c r="C25" s="35">
        <f t="shared" si="9"/>
        <v>0</v>
      </c>
      <c r="D25" s="35">
        <v>0</v>
      </c>
      <c r="E25" s="35">
        <v>0</v>
      </c>
      <c r="F25" s="35">
        <v>0</v>
      </c>
      <c r="G25" s="35">
        <f t="shared" si="0"/>
        <v>0</v>
      </c>
      <c r="H25" s="28">
        <v>61.5</v>
      </c>
      <c r="I25" s="29">
        <v>0</v>
      </c>
      <c r="J25" s="29">
        <f t="shared" si="1"/>
        <v>0</v>
      </c>
      <c r="R25" s="21">
        <f t="shared" si="10"/>
        <v>1959</v>
      </c>
      <c r="S25" s="4">
        <f t="shared" si="2"/>
        <v>0</v>
      </c>
      <c r="T25">
        <f t="shared" si="3"/>
        <v>0</v>
      </c>
      <c r="U25">
        <f t="shared" si="4"/>
        <v>53</v>
      </c>
      <c r="V25" s="1" t="str">
        <f t="shared" si="5"/>
        <v>L0</v>
      </c>
      <c r="W25" s="2">
        <f t="shared" si="6"/>
        <v>0</v>
      </c>
      <c r="X25" s="2">
        <f t="shared" si="11"/>
        <v>0</v>
      </c>
      <c r="Y25" s="18">
        <f t="shared" si="7"/>
        <v>28.02242780125807</v>
      </c>
      <c r="Z25" s="18">
        <f t="shared" si="8"/>
        <v>0</v>
      </c>
      <c r="AA25" s="2">
        <f t="shared" si="12"/>
        <v>0</v>
      </c>
    </row>
    <row r="26" spans="1:27" ht="12.75">
      <c r="A26">
        <v>1960</v>
      </c>
      <c r="C26" s="35">
        <f t="shared" si="9"/>
        <v>0</v>
      </c>
      <c r="D26" s="35">
        <v>0</v>
      </c>
      <c r="E26" s="35">
        <v>0</v>
      </c>
      <c r="F26" s="35">
        <v>0</v>
      </c>
      <c r="G26" s="35">
        <f t="shared" si="0"/>
        <v>0</v>
      </c>
      <c r="H26" s="28">
        <v>60.5</v>
      </c>
      <c r="I26" s="29">
        <v>0</v>
      </c>
      <c r="J26" s="29">
        <f t="shared" si="1"/>
        <v>0</v>
      </c>
      <c r="R26" s="21">
        <f t="shared" si="10"/>
        <v>1960</v>
      </c>
      <c r="S26" s="4">
        <f t="shared" si="2"/>
        <v>0</v>
      </c>
      <c r="T26">
        <f t="shared" si="3"/>
        <v>0</v>
      </c>
      <c r="U26">
        <f t="shared" si="4"/>
        <v>53</v>
      </c>
      <c r="V26" s="1" t="str">
        <f t="shared" si="5"/>
        <v>L0</v>
      </c>
      <c r="W26" s="2">
        <f t="shared" si="6"/>
        <v>0</v>
      </c>
      <c r="X26" s="2">
        <f t="shared" si="11"/>
        <v>0</v>
      </c>
      <c r="Y26" s="18">
        <f t="shared" si="7"/>
        <v>28.297768048134962</v>
      </c>
      <c r="Z26" s="18">
        <f t="shared" si="8"/>
        <v>0</v>
      </c>
      <c r="AA26" s="2">
        <f t="shared" si="12"/>
        <v>0</v>
      </c>
    </row>
    <row r="27" spans="1:27" ht="12.75">
      <c r="A27">
        <v>1961</v>
      </c>
      <c r="C27" s="35">
        <f t="shared" si="9"/>
        <v>0</v>
      </c>
      <c r="D27" s="35">
        <v>0</v>
      </c>
      <c r="E27" s="35">
        <v>0</v>
      </c>
      <c r="F27" s="35">
        <v>0</v>
      </c>
      <c r="G27" s="35">
        <f t="shared" si="0"/>
        <v>0</v>
      </c>
      <c r="H27" s="28">
        <v>59.5</v>
      </c>
      <c r="I27" s="29">
        <v>0</v>
      </c>
      <c r="J27" s="29">
        <f t="shared" si="1"/>
        <v>0</v>
      </c>
      <c r="R27" s="21">
        <f t="shared" si="10"/>
        <v>1961</v>
      </c>
      <c r="S27" s="4">
        <f t="shared" si="2"/>
        <v>0</v>
      </c>
      <c r="T27">
        <f t="shared" si="3"/>
        <v>0</v>
      </c>
      <c r="U27">
        <f t="shared" si="4"/>
        <v>53</v>
      </c>
      <c r="V27" s="1" t="str">
        <f t="shared" si="5"/>
        <v>L0</v>
      </c>
      <c r="W27" s="2">
        <f t="shared" si="6"/>
        <v>0</v>
      </c>
      <c r="X27" s="2">
        <f t="shared" si="11"/>
        <v>0</v>
      </c>
      <c r="Y27" s="18">
        <f t="shared" si="7"/>
        <v>28.575552121371043</v>
      </c>
      <c r="Z27" s="18">
        <f t="shared" si="8"/>
        <v>0</v>
      </c>
      <c r="AA27" s="2">
        <f t="shared" si="12"/>
        <v>0</v>
      </c>
    </row>
    <row r="28" spans="1:27" ht="12.75">
      <c r="A28">
        <v>1962</v>
      </c>
      <c r="C28" s="35">
        <f t="shared" si="9"/>
        <v>0</v>
      </c>
      <c r="D28" s="35">
        <v>0</v>
      </c>
      <c r="E28" s="35">
        <v>0</v>
      </c>
      <c r="F28" s="35">
        <v>0</v>
      </c>
      <c r="G28" s="35">
        <f t="shared" si="0"/>
        <v>0</v>
      </c>
      <c r="H28" s="28">
        <v>58.5</v>
      </c>
      <c r="I28" s="29">
        <v>0</v>
      </c>
      <c r="J28" s="29">
        <f t="shared" si="1"/>
        <v>0</v>
      </c>
      <c r="R28" s="21">
        <f t="shared" si="10"/>
        <v>1962</v>
      </c>
      <c r="S28" s="4">
        <f t="shared" si="2"/>
        <v>0</v>
      </c>
      <c r="T28">
        <f t="shared" si="3"/>
        <v>0</v>
      </c>
      <c r="U28">
        <f t="shared" si="4"/>
        <v>53</v>
      </c>
      <c r="V28" s="1" t="str">
        <f t="shared" si="5"/>
        <v>L0</v>
      </c>
      <c r="W28" s="2">
        <f t="shared" si="6"/>
        <v>0</v>
      </c>
      <c r="X28" s="2">
        <f t="shared" si="11"/>
        <v>0</v>
      </c>
      <c r="Y28" s="18">
        <f t="shared" si="7"/>
        <v>28.855811385359733</v>
      </c>
      <c r="Z28" s="18">
        <f t="shared" si="8"/>
        <v>0</v>
      </c>
      <c r="AA28" s="2">
        <f t="shared" si="12"/>
        <v>0</v>
      </c>
    </row>
    <row r="29" spans="1:27" ht="12.75">
      <c r="A29">
        <v>1963</v>
      </c>
      <c r="C29" s="35">
        <f t="shared" si="9"/>
        <v>0</v>
      </c>
      <c r="D29" s="35">
        <v>0</v>
      </c>
      <c r="E29" s="35">
        <v>0</v>
      </c>
      <c r="F29" s="35">
        <v>0</v>
      </c>
      <c r="G29" s="35">
        <f t="shared" si="0"/>
        <v>0</v>
      </c>
      <c r="H29" s="28">
        <v>57.5</v>
      </c>
      <c r="I29" s="29">
        <v>0</v>
      </c>
      <c r="J29" s="29">
        <f t="shared" si="1"/>
        <v>0</v>
      </c>
      <c r="R29" s="21">
        <f t="shared" si="10"/>
        <v>1963</v>
      </c>
      <c r="S29" s="4">
        <f t="shared" si="2"/>
        <v>0</v>
      </c>
      <c r="T29">
        <f t="shared" si="3"/>
        <v>0</v>
      </c>
      <c r="U29">
        <f t="shared" si="4"/>
        <v>53</v>
      </c>
      <c r="V29" s="1" t="str">
        <f t="shared" si="5"/>
        <v>L0</v>
      </c>
      <c r="W29" s="2">
        <f t="shared" si="6"/>
        <v>0</v>
      </c>
      <c r="X29" s="2">
        <f t="shared" si="11"/>
        <v>0</v>
      </c>
      <c r="Y29" s="18">
        <f t="shared" si="7"/>
        <v>29.138577575373052</v>
      </c>
      <c r="Z29" s="18">
        <f t="shared" si="8"/>
        <v>0</v>
      </c>
      <c r="AA29" s="2">
        <f t="shared" si="12"/>
        <v>0</v>
      </c>
    </row>
    <row r="30" spans="1:27" ht="12.75">
      <c r="A30">
        <v>1964</v>
      </c>
      <c r="C30" s="35">
        <f t="shared" si="9"/>
        <v>0</v>
      </c>
      <c r="D30" s="35">
        <v>0</v>
      </c>
      <c r="E30" s="35">
        <v>0</v>
      </c>
      <c r="F30" s="35">
        <v>0</v>
      </c>
      <c r="G30" s="35">
        <f t="shared" si="0"/>
        <v>0</v>
      </c>
      <c r="H30" s="28">
        <v>56.5</v>
      </c>
      <c r="I30" s="29">
        <v>0</v>
      </c>
      <c r="J30" s="29">
        <f t="shared" si="1"/>
        <v>0</v>
      </c>
      <c r="R30" s="21">
        <f t="shared" si="10"/>
        <v>1964</v>
      </c>
      <c r="S30" s="4">
        <f t="shared" si="2"/>
        <v>0</v>
      </c>
      <c r="T30">
        <f t="shared" si="3"/>
        <v>0</v>
      </c>
      <c r="U30">
        <f t="shared" si="4"/>
        <v>53</v>
      </c>
      <c r="V30" s="1" t="str">
        <f t="shared" si="5"/>
        <v>L0</v>
      </c>
      <c r="W30" s="2">
        <f t="shared" si="6"/>
        <v>0</v>
      </c>
      <c r="X30" s="2">
        <f t="shared" si="11"/>
        <v>0</v>
      </c>
      <c r="Y30" s="18">
        <f t="shared" si="7"/>
        <v>29.42388279961898</v>
      </c>
      <c r="Z30" s="18">
        <f t="shared" si="8"/>
        <v>0</v>
      </c>
      <c r="AA30" s="2">
        <f t="shared" si="12"/>
        <v>0</v>
      </c>
    </row>
    <row r="31" spans="1:27" ht="12.75">
      <c r="A31">
        <v>1965</v>
      </c>
      <c r="C31" s="35">
        <f t="shared" si="9"/>
        <v>0</v>
      </c>
      <c r="D31" s="35">
        <v>0</v>
      </c>
      <c r="E31" s="35">
        <v>0</v>
      </c>
      <c r="F31" s="35">
        <v>0</v>
      </c>
      <c r="G31" s="35">
        <f t="shared" si="0"/>
        <v>0</v>
      </c>
      <c r="H31" s="28">
        <v>55.5</v>
      </c>
      <c r="I31" s="29">
        <v>0</v>
      </c>
      <c r="J31" s="29">
        <f t="shared" si="1"/>
        <v>0</v>
      </c>
      <c r="R31" s="21">
        <f t="shared" si="10"/>
        <v>1965</v>
      </c>
      <c r="S31" s="4">
        <f t="shared" si="2"/>
        <v>0</v>
      </c>
      <c r="T31">
        <f t="shared" si="3"/>
        <v>0</v>
      </c>
      <c r="U31">
        <f t="shared" si="4"/>
        <v>53</v>
      </c>
      <c r="V31" s="1" t="str">
        <f t="shared" si="5"/>
        <v>L0</v>
      </c>
      <c r="W31" s="2">
        <f t="shared" si="6"/>
        <v>0</v>
      </c>
      <c r="X31" s="2">
        <f t="shared" si="11"/>
        <v>0</v>
      </c>
      <c r="Y31" s="18">
        <f t="shared" si="7"/>
        <v>29.711759538127254</v>
      </c>
      <c r="Z31" s="18">
        <f t="shared" si="8"/>
        <v>0</v>
      </c>
      <c r="AA31" s="2">
        <f t="shared" si="12"/>
        <v>0</v>
      </c>
    </row>
    <row r="32" spans="1:27" ht="12.75">
      <c r="A32">
        <v>1966</v>
      </c>
      <c r="C32" s="35">
        <f t="shared" si="9"/>
        <v>0</v>
      </c>
      <c r="D32" s="35">
        <v>0</v>
      </c>
      <c r="E32" s="35">
        <v>0</v>
      </c>
      <c r="F32" s="35">
        <v>0</v>
      </c>
      <c r="G32" s="35">
        <f t="shared" si="0"/>
        <v>0</v>
      </c>
      <c r="H32" s="28">
        <v>54.5</v>
      </c>
      <c r="I32" s="29">
        <v>0</v>
      </c>
      <c r="J32" s="29">
        <f t="shared" si="1"/>
        <v>0</v>
      </c>
      <c r="R32" s="21">
        <f t="shared" si="10"/>
        <v>1966</v>
      </c>
      <c r="S32" s="4">
        <f t="shared" si="2"/>
        <v>0</v>
      </c>
      <c r="T32">
        <f t="shared" si="3"/>
        <v>0</v>
      </c>
      <c r="U32">
        <f t="shared" si="4"/>
        <v>53</v>
      </c>
      <c r="V32" s="1" t="str">
        <f t="shared" si="5"/>
        <v>L0</v>
      </c>
      <c r="W32" s="2">
        <f t="shared" si="6"/>
        <v>0</v>
      </c>
      <c r="X32" s="2">
        <f t="shared" si="11"/>
        <v>0</v>
      </c>
      <c r="Y32" s="18">
        <f t="shared" si="7"/>
        <v>30.002240644221516</v>
      </c>
      <c r="Z32" s="18">
        <f t="shared" si="8"/>
        <v>0</v>
      </c>
      <c r="AA32" s="2">
        <f t="shared" si="12"/>
        <v>0</v>
      </c>
    </row>
    <row r="33" spans="1:27" ht="12.75">
      <c r="A33">
        <v>1967</v>
      </c>
      <c r="C33" s="35">
        <f t="shared" si="9"/>
        <v>0</v>
      </c>
      <c r="D33" s="35">
        <v>0</v>
      </c>
      <c r="E33" s="35">
        <v>0</v>
      </c>
      <c r="F33" s="35">
        <v>0</v>
      </c>
      <c r="G33" s="35">
        <f t="shared" si="0"/>
        <v>0</v>
      </c>
      <c r="H33" s="28">
        <v>53.5</v>
      </c>
      <c r="I33" s="29">
        <v>0</v>
      </c>
      <c r="J33" s="29">
        <f t="shared" si="1"/>
        <v>0</v>
      </c>
      <c r="R33" s="21">
        <f t="shared" si="10"/>
        <v>1967</v>
      </c>
      <c r="S33" s="4">
        <f t="shared" si="2"/>
        <v>0</v>
      </c>
      <c r="T33">
        <f t="shared" si="3"/>
        <v>0</v>
      </c>
      <c r="U33">
        <f t="shared" si="4"/>
        <v>53</v>
      </c>
      <c r="V33" s="1" t="str">
        <f t="shared" si="5"/>
        <v>L0</v>
      </c>
      <c r="W33" s="2">
        <f t="shared" si="6"/>
        <v>0</v>
      </c>
      <c r="X33" s="2">
        <f t="shared" si="11"/>
        <v>0</v>
      </c>
      <c r="Y33" s="18">
        <f t="shared" si="7"/>
        <v>30.29535934353785</v>
      </c>
      <c r="Z33" s="18">
        <f t="shared" si="8"/>
        <v>0</v>
      </c>
      <c r="AA33" s="2">
        <f t="shared" si="12"/>
        <v>0</v>
      </c>
    </row>
    <row r="34" spans="1:27" ht="12.75">
      <c r="A34">
        <v>1968</v>
      </c>
      <c r="C34" s="35">
        <f t="shared" si="9"/>
        <v>0</v>
      </c>
      <c r="D34" s="35">
        <v>0</v>
      </c>
      <c r="E34" s="35">
        <v>0</v>
      </c>
      <c r="F34" s="35">
        <v>0</v>
      </c>
      <c r="G34" s="35">
        <f t="shared" si="0"/>
        <v>0</v>
      </c>
      <c r="H34" s="28">
        <v>52.5</v>
      </c>
      <c r="I34" s="29">
        <v>0</v>
      </c>
      <c r="J34" s="29">
        <f t="shared" si="1"/>
        <v>0</v>
      </c>
      <c r="R34" s="21">
        <f t="shared" si="10"/>
        <v>1968</v>
      </c>
      <c r="S34" s="4">
        <f t="shared" si="2"/>
        <v>0</v>
      </c>
      <c r="T34">
        <f t="shared" si="3"/>
        <v>0</v>
      </c>
      <c r="U34">
        <f t="shared" si="4"/>
        <v>53</v>
      </c>
      <c r="V34" s="1" t="str">
        <f t="shared" si="5"/>
        <v>L0</v>
      </c>
      <c r="W34" s="2">
        <f t="shared" si="6"/>
        <v>0</v>
      </c>
      <c r="X34" s="2">
        <f t="shared" si="11"/>
        <v>0</v>
      </c>
      <c r="Y34" s="18">
        <f t="shared" si="7"/>
        <v>30.59114923445393</v>
      </c>
      <c r="Z34" s="18">
        <f t="shared" si="8"/>
        <v>0</v>
      </c>
      <c r="AA34" s="2">
        <f t="shared" si="12"/>
        <v>0</v>
      </c>
    </row>
    <row r="35" spans="1:27" ht="12.75">
      <c r="A35">
        <v>1969</v>
      </c>
      <c r="C35" s="35">
        <f t="shared" si="9"/>
        <v>0</v>
      </c>
      <c r="D35" s="35">
        <v>0</v>
      </c>
      <c r="E35" s="35">
        <v>0</v>
      </c>
      <c r="F35" s="35">
        <v>0</v>
      </c>
      <c r="G35" s="35">
        <f t="shared" si="0"/>
        <v>0</v>
      </c>
      <c r="H35" s="28">
        <v>51.5</v>
      </c>
      <c r="I35" s="29">
        <v>0</v>
      </c>
      <c r="J35" s="29">
        <f t="shared" si="1"/>
        <v>0</v>
      </c>
      <c r="R35" s="21">
        <f t="shared" si="10"/>
        <v>1969</v>
      </c>
      <c r="S35" s="4">
        <f t="shared" si="2"/>
        <v>0</v>
      </c>
      <c r="T35">
        <f t="shared" si="3"/>
        <v>0</v>
      </c>
      <c r="U35">
        <f t="shared" si="4"/>
        <v>53</v>
      </c>
      <c r="V35" s="1" t="str">
        <f t="shared" si="5"/>
        <v>L0</v>
      </c>
      <c r="W35" s="2">
        <f t="shared" si="6"/>
        <v>0</v>
      </c>
      <c r="X35" s="2">
        <f t="shared" si="11"/>
        <v>0</v>
      </c>
      <c r="Y35" s="18">
        <f t="shared" si="7"/>
        <v>30.889644287124078</v>
      </c>
      <c r="Z35" s="18">
        <f t="shared" si="8"/>
        <v>0</v>
      </c>
      <c r="AA35" s="2">
        <f t="shared" si="12"/>
        <v>0</v>
      </c>
    </row>
    <row r="36" spans="1:27" ht="12.75">
      <c r="A36">
        <v>1970</v>
      </c>
      <c r="C36" s="35">
        <f t="shared" si="9"/>
        <v>0</v>
      </c>
      <c r="D36" s="35">
        <v>0</v>
      </c>
      <c r="E36" s="35">
        <v>0</v>
      </c>
      <c r="F36" s="35">
        <v>0</v>
      </c>
      <c r="G36" s="35">
        <f t="shared" si="0"/>
        <v>0</v>
      </c>
      <c r="H36" s="28">
        <v>50.5</v>
      </c>
      <c r="I36" s="29">
        <v>0</v>
      </c>
      <c r="J36" s="29">
        <f t="shared" si="1"/>
        <v>0</v>
      </c>
      <c r="R36" s="21">
        <f t="shared" si="10"/>
        <v>1970</v>
      </c>
      <c r="S36" s="4">
        <f t="shared" si="2"/>
        <v>0</v>
      </c>
      <c r="T36">
        <f t="shared" si="3"/>
        <v>0</v>
      </c>
      <c r="U36">
        <f t="shared" si="4"/>
        <v>53</v>
      </c>
      <c r="V36" s="1" t="str">
        <f t="shared" si="5"/>
        <v>L0</v>
      </c>
      <c r="W36" s="2">
        <f t="shared" si="6"/>
        <v>0</v>
      </c>
      <c r="X36" s="2">
        <f t="shared" si="11"/>
        <v>0</v>
      </c>
      <c r="Y36" s="18">
        <f t="shared" si="7"/>
        <v>31.1908788433775</v>
      </c>
      <c r="Z36" s="18">
        <f t="shared" si="8"/>
        <v>0</v>
      </c>
      <c r="AA36" s="2">
        <f t="shared" si="12"/>
        <v>0</v>
      </c>
    </row>
    <row r="37" spans="1:27" ht="12.75">
      <c r="A37">
        <v>1971</v>
      </c>
      <c r="C37" s="35">
        <f t="shared" si="9"/>
        <v>0</v>
      </c>
      <c r="D37" s="35">
        <v>0</v>
      </c>
      <c r="E37" s="35">
        <v>0</v>
      </c>
      <c r="F37" s="35">
        <v>0</v>
      </c>
      <c r="G37" s="35">
        <f t="shared" si="0"/>
        <v>0</v>
      </c>
      <c r="H37" s="28">
        <v>49.5</v>
      </c>
      <c r="I37" s="29">
        <v>0</v>
      </c>
      <c r="J37" s="29">
        <f t="shared" si="1"/>
        <v>0</v>
      </c>
      <c r="R37" s="21">
        <f t="shared" si="10"/>
        <v>1971</v>
      </c>
      <c r="S37" s="4">
        <f t="shared" si="2"/>
        <v>0</v>
      </c>
      <c r="T37">
        <f t="shared" si="3"/>
        <v>0</v>
      </c>
      <c r="U37">
        <f t="shared" si="4"/>
        <v>53</v>
      </c>
      <c r="V37" s="1" t="str">
        <f t="shared" si="5"/>
        <v>L0</v>
      </c>
      <c r="W37" s="2">
        <f t="shared" si="6"/>
        <v>0</v>
      </c>
      <c r="X37" s="2">
        <f t="shared" si="11"/>
        <v>0</v>
      </c>
      <c r="Y37" s="18">
        <f t="shared" si="7"/>
        <v>31.494887615420275</v>
      </c>
      <c r="Z37" s="18">
        <f t="shared" si="8"/>
        <v>0</v>
      </c>
      <c r="AA37" s="2">
        <f t="shared" si="12"/>
        <v>0</v>
      </c>
    </row>
    <row r="38" spans="1:27" ht="12.75">
      <c r="A38">
        <v>1972</v>
      </c>
      <c r="C38" s="35">
        <f t="shared" si="9"/>
        <v>0</v>
      </c>
      <c r="D38" s="35">
        <v>0</v>
      </c>
      <c r="E38" s="35">
        <v>0</v>
      </c>
      <c r="F38" s="35">
        <v>0</v>
      </c>
      <c r="G38" s="35">
        <f t="shared" si="0"/>
        <v>0</v>
      </c>
      <c r="H38" s="28">
        <v>48.5</v>
      </c>
      <c r="I38" s="29">
        <v>0</v>
      </c>
      <c r="J38" s="29">
        <f t="shared" si="1"/>
        <v>0</v>
      </c>
      <c r="R38" s="21">
        <f t="shared" si="10"/>
        <v>1972</v>
      </c>
      <c r="S38" s="4">
        <f t="shared" si="2"/>
        <v>0</v>
      </c>
      <c r="T38">
        <f t="shared" si="3"/>
        <v>0</v>
      </c>
      <c r="U38">
        <f t="shared" si="4"/>
        <v>53</v>
      </c>
      <c r="V38" s="1" t="str">
        <f t="shared" si="5"/>
        <v>L0</v>
      </c>
      <c r="W38" s="2">
        <f t="shared" si="6"/>
        <v>0</v>
      </c>
      <c r="X38" s="2">
        <f t="shared" si="11"/>
        <v>0</v>
      </c>
      <c r="Y38" s="18">
        <f t="shared" si="7"/>
        <v>31.801705684808763</v>
      </c>
      <c r="Z38" s="18">
        <f t="shared" si="8"/>
        <v>0</v>
      </c>
      <c r="AA38" s="2">
        <f t="shared" si="12"/>
        <v>0</v>
      </c>
    </row>
    <row r="39" spans="1:27" ht="12.75">
      <c r="A39">
        <v>1973</v>
      </c>
      <c r="C39" s="35">
        <f t="shared" si="9"/>
        <v>0</v>
      </c>
      <c r="D39" s="35">
        <v>0</v>
      </c>
      <c r="E39" s="35">
        <v>0</v>
      </c>
      <c r="F39" s="35">
        <v>0</v>
      </c>
      <c r="G39" s="35">
        <f t="shared" si="0"/>
        <v>0</v>
      </c>
      <c r="H39" s="28">
        <v>47.5</v>
      </c>
      <c r="I39" s="29">
        <v>0</v>
      </c>
      <c r="J39" s="29">
        <f t="shared" si="1"/>
        <v>0</v>
      </c>
      <c r="R39" s="21">
        <f t="shared" si="10"/>
        <v>1973</v>
      </c>
      <c r="S39" s="4">
        <f t="shared" si="2"/>
        <v>0</v>
      </c>
      <c r="T39">
        <f t="shared" si="3"/>
        <v>0</v>
      </c>
      <c r="U39">
        <f t="shared" si="4"/>
        <v>53</v>
      </c>
      <c r="V39" s="1" t="str">
        <f t="shared" si="5"/>
        <v>L0</v>
      </c>
      <c r="W39" s="2">
        <f t="shared" si="6"/>
        <v>0</v>
      </c>
      <c r="X39" s="2">
        <f t="shared" si="11"/>
        <v>0</v>
      </c>
      <c r="Y39" s="18">
        <f t="shared" si="7"/>
        <v>32.11136850076964</v>
      </c>
      <c r="Z39" s="18">
        <f t="shared" si="8"/>
        <v>0</v>
      </c>
      <c r="AA39" s="2">
        <f t="shared" si="12"/>
        <v>0</v>
      </c>
    </row>
    <row r="40" spans="1:27" ht="12.75">
      <c r="A40">
        <v>1974</v>
      </c>
      <c r="C40" s="35">
        <f t="shared" si="9"/>
        <v>0</v>
      </c>
      <c r="D40" s="35">
        <v>0</v>
      </c>
      <c r="E40" s="35">
        <v>0</v>
      </c>
      <c r="F40" s="35">
        <v>0</v>
      </c>
      <c r="G40" s="35">
        <f t="shared" si="0"/>
        <v>0</v>
      </c>
      <c r="H40" s="28">
        <v>46.5</v>
      </c>
      <c r="I40" s="29">
        <v>0</v>
      </c>
      <c r="J40" s="29">
        <f t="shared" si="1"/>
        <v>0</v>
      </c>
      <c r="R40" s="21">
        <f t="shared" si="10"/>
        <v>1974</v>
      </c>
      <c r="S40" s="4">
        <f t="shared" si="2"/>
        <v>0</v>
      </c>
      <c r="T40">
        <f t="shared" si="3"/>
        <v>0</v>
      </c>
      <c r="U40">
        <f t="shared" si="4"/>
        <v>53</v>
      </c>
      <c r="V40" s="1" t="str">
        <f t="shared" si="5"/>
        <v>L0</v>
      </c>
      <c r="W40" s="2">
        <f t="shared" si="6"/>
        <v>0</v>
      </c>
      <c r="X40" s="2">
        <f t="shared" si="11"/>
        <v>0</v>
      </c>
      <c r="Y40" s="18">
        <f t="shared" si="7"/>
        <v>32.42391187906371</v>
      </c>
      <c r="Z40" s="18">
        <f t="shared" si="8"/>
        <v>0</v>
      </c>
      <c r="AA40" s="2">
        <f t="shared" si="12"/>
        <v>0</v>
      </c>
    </row>
    <row r="41" spans="1:27" ht="12.75">
      <c r="A41">
        <v>1975</v>
      </c>
      <c r="C41" s="35">
        <f t="shared" si="9"/>
        <v>0</v>
      </c>
      <c r="D41" s="35">
        <v>0</v>
      </c>
      <c r="E41" s="35">
        <v>0</v>
      </c>
      <c r="F41" s="35">
        <v>0</v>
      </c>
      <c r="G41" s="35">
        <f t="shared" si="0"/>
        <v>0</v>
      </c>
      <c r="H41" s="28">
        <v>45.5</v>
      </c>
      <c r="I41" s="29">
        <v>0</v>
      </c>
      <c r="J41" s="29">
        <f t="shared" si="1"/>
        <v>0</v>
      </c>
      <c r="R41" s="21">
        <f t="shared" si="10"/>
        <v>1975</v>
      </c>
      <c r="S41" s="4">
        <f t="shared" si="2"/>
        <v>0</v>
      </c>
      <c r="T41">
        <f t="shared" si="3"/>
        <v>0</v>
      </c>
      <c r="U41">
        <f t="shared" si="4"/>
        <v>53</v>
      </c>
      <c r="V41" s="1" t="str">
        <f t="shared" si="5"/>
        <v>L0</v>
      </c>
      <c r="W41" s="2">
        <f t="shared" si="6"/>
        <v>0</v>
      </c>
      <c r="X41" s="2">
        <f t="shared" si="11"/>
        <v>0</v>
      </c>
      <c r="Y41" s="18">
        <f t="shared" si="7"/>
        <v>32.73937199937953</v>
      </c>
      <c r="Z41" s="18">
        <f t="shared" si="8"/>
        <v>0</v>
      </c>
      <c r="AA41" s="2">
        <f t="shared" si="12"/>
        <v>0</v>
      </c>
    </row>
    <row r="42" spans="1:27" ht="12.75">
      <c r="A42">
        <v>1976</v>
      </c>
      <c r="C42" s="35">
        <f t="shared" si="9"/>
        <v>0</v>
      </c>
      <c r="D42" s="35">
        <v>0</v>
      </c>
      <c r="E42" s="35">
        <v>0</v>
      </c>
      <c r="F42" s="35">
        <v>0</v>
      </c>
      <c r="G42" s="35">
        <f t="shared" si="0"/>
        <v>0</v>
      </c>
      <c r="H42" s="28">
        <v>44.5</v>
      </c>
      <c r="I42" s="29">
        <v>0</v>
      </c>
      <c r="J42" s="29">
        <f t="shared" si="1"/>
        <v>0</v>
      </c>
      <c r="R42" s="21">
        <f t="shared" si="10"/>
        <v>1976</v>
      </c>
      <c r="S42" s="4">
        <f t="shared" si="2"/>
        <v>0</v>
      </c>
      <c r="T42">
        <f t="shared" si="3"/>
        <v>0</v>
      </c>
      <c r="U42">
        <f t="shared" si="4"/>
        <v>53</v>
      </c>
      <c r="V42" s="1" t="str">
        <f t="shared" si="5"/>
        <v>L0</v>
      </c>
      <c r="W42" s="2">
        <f t="shared" si="6"/>
        <v>0</v>
      </c>
      <c r="X42" s="2">
        <f t="shared" si="11"/>
        <v>0</v>
      </c>
      <c r="Y42" s="18">
        <f t="shared" si="7"/>
        <v>33.05778540347714</v>
      </c>
      <c r="Z42" s="18">
        <f t="shared" si="8"/>
        <v>0</v>
      </c>
      <c r="AA42" s="2">
        <f t="shared" si="12"/>
        <v>0</v>
      </c>
    </row>
    <row r="43" spans="1:27" ht="12.75">
      <c r="A43">
        <v>1977</v>
      </c>
      <c r="C43" s="35">
        <f t="shared" si="9"/>
        <v>0</v>
      </c>
      <c r="D43" s="35">
        <v>0</v>
      </c>
      <c r="E43" s="35">
        <v>0</v>
      </c>
      <c r="F43" s="35">
        <v>0</v>
      </c>
      <c r="G43" s="35">
        <f t="shared" si="0"/>
        <v>0</v>
      </c>
      <c r="H43" s="28">
        <v>43.5</v>
      </c>
      <c r="I43" s="29">
        <v>0</v>
      </c>
      <c r="J43" s="29">
        <f t="shared" si="1"/>
        <v>0</v>
      </c>
      <c r="R43" s="21">
        <f t="shared" si="10"/>
        <v>1977</v>
      </c>
      <c r="S43" s="4">
        <f t="shared" si="2"/>
        <v>0</v>
      </c>
      <c r="T43">
        <f t="shared" si="3"/>
        <v>0</v>
      </c>
      <c r="U43">
        <f t="shared" si="4"/>
        <v>53</v>
      </c>
      <c r="V43" s="1" t="str">
        <f t="shared" si="5"/>
        <v>L0</v>
      </c>
      <c r="W43" s="2">
        <f t="shared" si="6"/>
        <v>0</v>
      </c>
      <c r="X43" s="2">
        <f t="shared" si="11"/>
        <v>0</v>
      </c>
      <c r="Y43" s="18">
        <f t="shared" si="7"/>
        <v>33.379188992268766</v>
      </c>
      <c r="Z43" s="18">
        <f t="shared" si="8"/>
        <v>0</v>
      </c>
      <c r="AA43" s="2">
        <f t="shared" si="12"/>
        <v>0</v>
      </c>
    </row>
    <row r="44" spans="1:27" ht="12.75">
      <c r="A44">
        <v>1978</v>
      </c>
      <c r="C44" s="35">
        <f t="shared" si="9"/>
        <v>0</v>
      </c>
      <c r="D44" s="35">
        <v>0</v>
      </c>
      <c r="E44" s="35">
        <v>0</v>
      </c>
      <c r="F44" s="35">
        <v>0</v>
      </c>
      <c r="G44" s="35">
        <f t="shared" si="0"/>
        <v>0</v>
      </c>
      <c r="H44" s="28">
        <v>42.5</v>
      </c>
      <c r="I44" s="29">
        <v>0</v>
      </c>
      <c r="J44" s="29">
        <f t="shared" si="1"/>
        <v>0</v>
      </c>
      <c r="R44" s="21">
        <f t="shared" si="10"/>
        <v>1978</v>
      </c>
      <c r="S44" s="4">
        <f t="shared" si="2"/>
        <v>0</v>
      </c>
      <c r="T44">
        <f t="shared" si="3"/>
        <v>0</v>
      </c>
      <c r="U44">
        <f t="shared" si="4"/>
        <v>53</v>
      </c>
      <c r="V44" s="1" t="str">
        <f t="shared" si="5"/>
        <v>L0</v>
      </c>
      <c r="W44" s="2">
        <f t="shared" si="6"/>
        <v>0</v>
      </c>
      <c r="X44" s="2">
        <f t="shared" si="11"/>
        <v>0</v>
      </c>
      <c r="Y44" s="18">
        <f t="shared" si="7"/>
        <v>33.70362002298656</v>
      </c>
      <c r="Z44" s="18">
        <f t="shared" si="8"/>
        <v>0</v>
      </c>
      <c r="AA44" s="2">
        <f t="shared" si="12"/>
        <v>0</v>
      </c>
    </row>
    <row r="45" spans="1:27" ht="12.75">
      <c r="A45">
        <v>1979</v>
      </c>
      <c r="C45" s="35">
        <f t="shared" si="9"/>
        <v>0</v>
      </c>
      <c r="D45" s="35">
        <v>0</v>
      </c>
      <c r="E45" s="35">
        <v>0</v>
      </c>
      <c r="F45" s="35">
        <v>0</v>
      </c>
      <c r="G45" s="35">
        <f t="shared" si="0"/>
        <v>0</v>
      </c>
      <c r="H45" s="28">
        <v>41.5</v>
      </c>
      <c r="I45" s="29">
        <v>0</v>
      </c>
      <c r="J45" s="29">
        <f t="shared" si="1"/>
        <v>0</v>
      </c>
      <c r="R45" s="21">
        <f t="shared" si="10"/>
        <v>1979</v>
      </c>
      <c r="S45" s="4">
        <f t="shared" si="2"/>
        <v>0</v>
      </c>
      <c r="T45">
        <f t="shared" si="3"/>
        <v>0</v>
      </c>
      <c r="U45">
        <f t="shared" si="4"/>
        <v>53</v>
      </c>
      <c r="V45" s="1" t="str">
        <f t="shared" si="5"/>
        <v>L0</v>
      </c>
      <c r="W45" s="2">
        <f t="shared" si="6"/>
        <v>0</v>
      </c>
      <c r="X45" s="2">
        <f t="shared" si="11"/>
        <v>0</v>
      </c>
      <c r="Y45" s="18">
        <f t="shared" si="7"/>
        <v>34.0311161059165</v>
      </c>
      <c r="Z45" s="18">
        <f t="shared" si="8"/>
        <v>0</v>
      </c>
      <c r="AA45" s="2">
        <f t="shared" si="12"/>
        <v>0</v>
      </c>
    </row>
    <row r="46" spans="1:27" ht="12.75">
      <c r="A46">
        <v>1980</v>
      </c>
      <c r="C46" s="35">
        <f t="shared" si="9"/>
        <v>0</v>
      </c>
      <c r="D46" s="35">
        <v>0</v>
      </c>
      <c r="E46" s="35">
        <v>0</v>
      </c>
      <c r="F46" s="35">
        <v>0</v>
      </c>
      <c r="G46" s="35">
        <f t="shared" si="0"/>
        <v>0</v>
      </c>
      <c r="H46" s="28">
        <v>40.5</v>
      </c>
      <c r="I46" s="29">
        <v>0</v>
      </c>
      <c r="J46" s="29">
        <f t="shared" si="1"/>
        <v>0</v>
      </c>
      <c r="R46" s="21">
        <f t="shared" si="10"/>
        <v>1980</v>
      </c>
      <c r="S46" s="4">
        <f t="shared" si="2"/>
        <v>0</v>
      </c>
      <c r="T46">
        <f t="shared" si="3"/>
        <v>0</v>
      </c>
      <c r="U46">
        <f t="shared" si="4"/>
        <v>53</v>
      </c>
      <c r="V46" s="1" t="str">
        <f t="shared" si="5"/>
        <v>L0</v>
      </c>
      <c r="W46" s="2">
        <f t="shared" si="6"/>
        <v>0</v>
      </c>
      <c r="X46" s="2">
        <f t="shared" si="11"/>
        <v>0</v>
      </c>
      <c r="Y46" s="18">
        <f t="shared" si="7"/>
        <v>34.36171520061612</v>
      </c>
      <c r="Z46" s="18">
        <f t="shared" si="8"/>
        <v>0</v>
      </c>
      <c r="AA46" s="2">
        <f t="shared" si="12"/>
        <v>0</v>
      </c>
    </row>
    <row r="47" spans="1:27" ht="12.75">
      <c r="A47">
        <v>1981</v>
      </c>
      <c r="C47" s="35">
        <f t="shared" si="9"/>
        <v>0</v>
      </c>
      <c r="D47" s="35">
        <v>0</v>
      </c>
      <c r="E47" s="35">
        <v>0</v>
      </c>
      <c r="F47" s="35">
        <v>0</v>
      </c>
      <c r="G47" s="35">
        <f t="shared" si="0"/>
        <v>0</v>
      </c>
      <c r="H47" s="28">
        <v>39.5</v>
      </c>
      <c r="I47" s="29">
        <v>0</v>
      </c>
      <c r="J47" s="29">
        <f t="shared" si="1"/>
        <v>0</v>
      </c>
      <c r="R47" s="21">
        <f t="shared" si="10"/>
        <v>1981</v>
      </c>
      <c r="S47" s="4">
        <f t="shared" si="2"/>
        <v>0</v>
      </c>
      <c r="T47">
        <f t="shared" si="3"/>
        <v>0</v>
      </c>
      <c r="U47">
        <f t="shared" si="4"/>
        <v>53</v>
      </c>
      <c r="V47" s="1" t="str">
        <f t="shared" si="5"/>
        <v>L0</v>
      </c>
      <c r="W47" s="2">
        <f t="shared" si="6"/>
        <v>0</v>
      </c>
      <c r="X47" s="2">
        <f t="shared" si="11"/>
        <v>0</v>
      </c>
      <c r="Y47" s="18">
        <f t="shared" si="7"/>
        <v>34.69545561187113</v>
      </c>
      <c r="Z47" s="18">
        <f t="shared" si="8"/>
        <v>0</v>
      </c>
      <c r="AA47" s="2">
        <f t="shared" si="12"/>
        <v>0</v>
      </c>
    </row>
    <row r="48" spans="1:27" ht="12.75">
      <c r="A48">
        <v>1982</v>
      </c>
      <c r="C48" s="35">
        <f t="shared" si="9"/>
        <v>0</v>
      </c>
      <c r="D48" s="35">
        <v>0</v>
      </c>
      <c r="E48" s="35">
        <v>0</v>
      </c>
      <c r="F48" s="35">
        <v>0</v>
      </c>
      <c r="G48" s="35">
        <f t="shared" si="0"/>
        <v>0</v>
      </c>
      <c r="H48" s="28">
        <v>38.5</v>
      </c>
      <c r="I48" s="29">
        <v>0</v>
      </c>
      <c r="J48" s="29">
        <f t="shared" si="1"/>
        <v>0</v>
      </c>
      <c r="R48" s="21">
        <f t="shared" si="10"/>
        <v>1982</v>
      </c>
      <c r="S48" s="4">
        <f t="shared" si="2"/>
        <v>0</v>
      </c>
      <c r="T48">
        <f t="shared" si="3"/>
        <v>0</v>
      </c>
      <c r="U48">
        <f t="shared" si="4"/>
        <v>53</v>
      </c>
      <c r="V48" s="1" t="str">
        <f t="shared" si="5"/>
        <v>L0</v>
      </c>
      <c r="W48" s="2">
        <f t="shared" si="6"/>
        <v>0</v>
      </c>
      <c r="X48" s="2">
        <f t="shared" si="11"/>
        <v>0</v>
      </c>
      <c r="Y48" s="18">
        <f t="shared" si="7"/>
        <v>35.03237598527183</v>
      </c>
      <c r="Z48" s="18">
        <f t="shared" si="8"/>
        <v>0</v>
      </c>
      <c r="AA48" s="2">
        <f t="shared" si="12"/>
        <v>0</v>
      </c>
    </row>
    <row r="49" spans="1:27" ht="12.75">
      <c r="A49">
        <v>1983</v>
      </c>
      <c r="C49" s="35">
        <f t="shared" si="9"/>
        <v>0</v>
      </c>
      <c r="D49" s="35">
        <v>0</v>
      </c>
      <c r="E49" s="35">
        <v>0</v>
      </c>
      <c r="F49" s="35">
        <v>0</v>
      </c>
      <c r="G49" s="35">
        <f t="shared" si="0"/>
        <v>0</v>
      </c>
      <c r="H49" s="28">
        <v>37.5</v>
      </c>
      <c r="I49" s="29">
        <v>0</v>
      </c>
      <c r="J49" s="29">
        <f t="shared" si="1"/>
        <v>0</v>
      </c>
      <c r="R49" s="21">
        <f t="shared" si="10"/>
        <v>1983</v>
      </c>
      <c r="S49" s="4">
        <f t="shared" si="2"/>
        <v>0</v>
      </c>
      <c r="T49">
        <f t="shared" si="3"/>
        <v>0</v>
      </c>
      <c r="U49">
        <f t="shared" si="4"/>
        <v>53</v>
      </c>
      <c r="V49" s="1" t="str">
        <f t="shared" si="5"/>
        <v>L0</v>
      </c>
      <c r="W49" s="2">
        <f t="shared" si="6"/>
        <v>0</v>
      </c>
      <c r="X49" s="2">
        <f t="shared" si="11"/>
        <v>0</v>
      </c>
      <c r="Y49" s="18">
        <f t="shared" si="7"/>
        <v>35.37251530233873</v>
      </c>
      <c r="Z49" s="18">
        <f t="shared" si="8"/>
        <v>0</v>
      </c>
      <c r="AA49" s="2">
        <f t="shared" si="12"/>
        <v>0</v>
      </c>
    </row>
    <row r="50" spans="1:27" ht="12.75">
      <c r="A50">
        <v>1984</v>
      </c>
      <c r="C50" s="35">
        <f t="shared" si="9"/>
        <v>0</v>
      </c>
      <c r="D50" s="35">
        <v>0</v>
      </c>
      <c r="E50" s="35">
        <v>0</v>
      </c>
      <c r="F50" s="35">
        <v>0</v>
      </c>
      <c r="G50" s="35">
        <f t="shared" si="0"/>
        <v>0</v>
      </c>
      <c r="H50" s="28">
        <v>36.5</v>
      </c>
      <c r="I50" s="29">
        <v>0</v>
      </c>
      <c r="J50" s="29">
        <f t="shared" si="1"/>
        <v>0</v>
      </c>
      <c r="R50" s="21">
        <f t="shared" si="10"/>
        <v>1984</v>
      </c>
      <c r="S50" s="4">
        <f t="shared" si="2"/>
        <v>0</v>
      </c>
      <c r="T50">
        <f t="shared" si="3"/>
        <v>0</v>
      </c>
      <c r="U50">
        <f t="shared" si="4"/>
        <v>53</v>
      </c>
      <c r="V50" s="1" t="str">
        <f t="shared" si="5"/>
        <v>L0</v>
      </c>
      <c r="W50" s="2">
        <f t="shared" si="6"/>
        <v>0</v>
      </c>
      <c r="X50" s="2">
        <f t="shared" si="11"/>
        <v>0</v>
      </c>
      <c r="Y50" s="18">
        <f t="shared" si="7"/>
        <v>35.71591287529618</v>
      </c>
      <c r="Z50" s="18">
        <f t="shared" si="8"/>
        <v>0</v>
      </c>
      <c r="AA50" s="2">
        <f t="shared" si="12"/>
        <v>0</v>
      </c>
    </row>
    <row r="51" spans="1:27" ht="12.75">
      <c r="A51">
        <v>1985</v>
      </c>
      <c r="C51" s="35">
        <f t="shared" si="9"/>
        <v>0</v>
      </c>
      <c r="D51" s="35">
        <v>0</v>
      </c>
      <c r="E51" s="35">
        <v>0</v>
      </c>
      <c r="F51" s="35">
        <v>0</v>
      </c>
      <c r="G51" s="35">
        <f t="shared" si="0"/>
        <v>0</v>
      </c>
      <c r="H51" s="28">
        <v>35.5</v>
      </c>
      <c r="I51" s="29">
        <v>0</v>
      </c>
      <c r="J51" s="29">
        <f t="shared" si="1"/>
        <v>0</v>
      </c>
      <c r="R51" s="21">
        <f t="shared" si="10"/>
        <v>1985</v>
      </c>
      <c r="S51" s="4">
        <f t="shared" si="2"/>
        <v>0</v>
      </c>
      <c r="T51">
        <f t="shared" si="3"/>
        <v>0</v>
      </c>
      <c r="U51">
        <f t="shared" si="4"/>
        <v>53</v>
      </c>
      <c r="V51" s="1" t="str">
        <f t="shared" si="5"/>
        <v>L0</v>
      </c>
      <c r="W51" s="2">
        <f t="shared" si="6"/>
        <v>0</v>
      </c>
      <c r="X51" s="2">
        <f t="shared" si="11"/>
        <v>0</v>
      </c>
      <c r="Y51" s="18">
        <f t="shared" si="7"/>
        <v>36.06260834109903</v>
      </c>
      <c r="Z51" s="18">
        <f t="shared" si="8"/>
        <v>0</v>
      </c>
      <c r="AA51" s="2">
        <f t="shared" si="12"/>
        <v>0</v>
      </c>
    </row>
    <row r="52" spans="1:27" ht="12.75">
      <c r="A52">
        <v>1986</v>
      </c>
      <c r="C52" s="35">
        <f t="shared" si="9"/>
        <v>0</v>
      </c>
      <c r="D52" s="35">
        <v>0</v>
      </c>
      <c r="E52" s="35">
        <v>0</v>
      </c>
      <c r="F52" s="35">
        <v>0</v>
      </c>
      <c r="G52" s="35">
        <f t="shared" si="0"/>
        <v>0</v>
      </c>
      <c r="H52" s="28">
        <v>34.5</v>
      </c>
      <c r="I52" s="29">
        <v>0</v>
      </c>
      <c r="J52" s="29">
        <f>IF(I52=0,0,ROUND((I52/D52/$G$94)+H52,1))</f>
        <v>0</v>
      </c>
      <c r="R52" s="21">
        <f t="shared" si="10"/>
        <v>1986</v>
      </c>
      <c r="S52" s="4">
        <f t="shared" si="2"/>
        <v>0</v>
      </c>
      <c r="T52">
        <f t="shared" si="3"/>
        <v>0</v>
      </c>
      <c r="U52">
        <f t="shared" si="4"/>
        <v>53</v>
      </c>
      <c r="V52" s="1" t="str">
        <f t="shared" si="5"/>
        <v>L0</v>
      </c>
      <c r="W52" s="2">
        <f t="shared" si="6"/>
        <v>0</v>
      </c>
      <c r="X52" s="2">
        <f t="shared" si="11"/>
        <v>0</v>
      </c>
      <c r="Y52" s="18">
        <f t="shared" si="7"/>
        <v>36.41264165556202</v>
      </c>
      <c r="Z52" s="18">
        <f t="shared" si="8"/>
        <v>0</v>
      </c>
      <c r="AA52" s="2">
        <f t="shared" si="12"/>
        <v>0</v>
      </c>
    </row>
    <row r="53" spans="1:27" ht="12.75">
      <c r="A53">
        <v>1987</v>
      </c>
      <c r="C53" s="35">
        <f t="shared" si="9"/>
        <v>0</v>
      </c>
      <c r="D53" s="35">
        <v>0</v>
      </c>
      <c r="E53" s="35">
        <v>0</v>
      </c>
      <c r="F53" s="35">
        <f>832-832</f>
        <v>0</v>
      </c>
      <c r="G53" s="35">
        <f t="shared" si="0"/>
        <v>0</v>
      </c>
      <c r="H53" s="28">
        <v>33.5</v>
      </c>
      <c r="I53" s="29">
        <v>0</v>
      </c>
      <c r="J53" s="29">
        <f aca="true" t="shared" si="13" ref="J53:J68">IF(I53=0,0,ROUND((I53/D53/$G$94)+H53,1))</f>
        <v>0</v>
      </c>
      <c r="R53" s="21">
        <f t="shared" si="10"/>
        <v>1987</v>
      </c>
      <c r="S53" s="4">
        <f t="shared" si="2"/>
        <v>0</v>
      </c>
      <c r="T53">
        <f t="shared" si="3"/>
        <v>0</v>
      </c>
      <c r="U53">
        <f t="shared" si="4"/>
        <v>53</v>
      </c>
      <c r="V53" s="1" t="str">
        <f t="shared" si="5"/>
        <v>L0</v>
      </c>
      <c r="W53" s="2">
        <f t="shared" si="6"/>
        <v>0</v>
      </c>
      <c r="X53" s="2">
        <f t="shared" si="11"/>
        <v>0</v>
      </c>
      <c r="Y53" s="18">
        <f t="shared" si="7"/>
        <v>36.76605308630676</v>
      </c>
      <c r="Z53" s="18">
        <f t="shared" si="8"/>
        <v>0</v>
      </c>
      <c r="AA53" s="2">
        <f t="shared" si="12"/>
        <v>0</v>
      </c>
    </row>
    <row r="54" spans="1:27" ht="12.75">
      <c r="A54">
        <v>1988</v>
      </c>
      <c r="C54" s="35">
        <f t="shared" si="9"/>
        <v>0</v>
      </c>
      <c r="D54" s="35">
        <v>0</v>
      </c>
      <c r="E54" s="35">
        <f>41206-41206</f>
        <v>0</v>
      </c>
      <c r="F54" s="35">
        <v>0</v>
      </c>
      <c r="G54" s="35">
        <f t="shared" si="0"/>
        <v>0</v>
      </c>
      <c r="H54" s="28">
        <v>32.5</v>
      </c>
      <c r="I54" s="9">
        <v>0</v>
      </c>
      <c r="J54" s="29">
        <f t="shared" si="13"/>
        <v>0</v>
      </c>
      <c r="R54" s="21">
        <f t="shared" si="10"/>
        <v>1988</v>
      </c>
      <c r="S54" s="4">
        <f t="shared" si="2"/>
        <v>0</v>
      </c>
      <c r="T54">
        <f t="shared" si="3"/>
        <v>0</v>
      </c>
      <c r="U54">
        <f t="shared" si="4"/>
        <v>53</v>
      </c>
      <c r="V54" s="1" t="str">
        <f t="shared" si="5"/>
        <v>L0</v>
      </c>
      <c r="W54" s="2">
        <f t="shared" si="6"/>
        <v>0</v>
      </c>
      <c r="X54" s="2">
        <f t="shared" si="11"/>
        <v>0</v>
      </c>
      <c r="Y54" s="18">
        <f t="shared" si="7"/>
        <v>37.12288320590198</v>
      </c>
      <c r="Z54" s="18">
        <f t="shared" si="8"/>
        <v>0</v>
      </c>
      <c r="AA54" s="2">
        <f t="shared" si="12"/>
        <v>0</v>
      </c>
    </row>
    <row r="55" spans="1:27" ht="12.75">
      <c r="A55">
        <v>1989</v>
      </c>
      <c r="C55" s="35">
        <f t="shared" si="9"/>
        <v>0</v>
      </c>
      <c r="D55" s="35">
        <v>1307818</v>
      </c>
      <c r="E55" s="35">
        <v>142279</v>
      </c>
      <c r="F55" s="35">
        <v>1099</v>
      </c>
      <c r="G55" s="35">
        <f t="shared" si="0"/>
        <v>1448998</v>
      </c>
      <c r="H55" s="28">
        <v>31.5</v>
      </c>
      <c r="I55" s="29">
        <v>0</v>
      </c>
      <c r="J55" s="29">
        <f t="shared" si="13"/>
        <v>0</v>
      </c>
      <c r="M55" s="4">
        <f>D55+E55</f>
        <v>1450097</v>
      </c>
      <c r="N55" s="4">
        <f>F55</f>
        <v>1099</v>
      </c>
      <c r="O55" s="4">
        <f>G55</f>
        <v>1448998</v>
      </c>
      <c r="R55" s="21">
        <f t="shared" si="10"/>
        <v>1989</v>
      </c>
      <c r="S55" s="4">
        <f t="shared" si="2"/>
        <v>142279</v>
      </c>
      <c r="T55">
        <f t="shared" si="3"/>
        <v>0</v>
      </c>
      <c r="U55">
        <f t="shared" si="4"/>
        <v>53</v>
      </c>
      <c r="V55" s="1" t="str">
        <f t="shared" si="5"/>
        <v>L0</v>
      </c>
      <c r="W55" s="2">
        <f t="shared" si="6"/>
        <v>2684.509433962264</v>
      </c>
      <c r="X55" s="2">
        <f t="shared" si="11"/>
        <v>0</v>
      </c>
      <c r="Y55" s="18">
        <f t="shared" si="7"/>
        <v>37.483172883956136</v>
      </c>
      <c r="Z55" s="18">
        <f t="shared" si="8"/>
        <v>0</v>
      </c>
      <c r="AA55" s="2">
        <f t="shared" si="12"/>
        <v>100623.93122181878</v>
      </c>
    </row>
    <row r="56" spans="1:27" ht="12.75">
      <c r="A56">
        <v>1990</v>
      </c>
      <c r="C56" s="35">
        <f t="shared" si="9"/>
        <v>1448998</v>
      </c>
      <c r="D56" s="35">
        <v>0</v>
      </c>
      <c r="E56" s="35">
        <v>591398</v>
      </c>
      <c r="F56" s="35">
        <v>19776</v>
      </c>
      <c r="G56" s="35">
        <f t="shared" si="0"/>
        <v>2020620</v>
      </c>
      <c r="H56" s="28">
        <v>30.5</v>
      </c>
      <c r="I56" s="29">
        <v>0</v>
      </c>
      <c r="J56" s="29">
        <f t="shared" si="13"/>
        <v>0</v>
      </c>
      <c r="M56" s="4">
        <f aca="true" t="shared" si="14" ref="M56:M86">D56+E56</f>
        <v>591398</v>
      </c>
      <c r="N56" s="4">
        <f aca="true" t="shared" si="15" ref="N56:N86">F56</f>
        <v>19776</v>
      </c>
      <c r="O56" s="4">
        <f aca="true" t="shared" si="16" ref="O56:O86">G56</f>
        <v>2020620</v>
      </c>
      <c r="R56" s="21">
        <f t="shared" si="10"/>
        <v>1990</v>
      </c>
      <c r="S56" s="4">
        <f t="shared" si="2"/>
        <v>591398</v>
      </c>
      <c r="T56">
        <f t="shared" si="3"/>
        <v>0</v>
      </c>
      <c r="U56">
        <f t="shared" si="4"/>
        <v>53</v>
      </c>
      <c r="V56" s="1" t="str">
        <f t="shared" si="5"/>
        <v>L0</v>
      </c>
      <c r="W56" s="2">
        <f t="shared" si="6"/>
        <v>11158.452830188678</v>
      </c>
      <c r="X56" s="2">
        <f t="shared" si="11"/>
        <v>0</v>
      </c>
      <c r="Y56" s="18">
        <f t="shared" si="7"/>
        <v>37.84696327893672</v>
      </c>
      <c r="Z56" s="18">
        <f t="shared" si="8"/>
        <v>0</v>
      </c>
      <c r="AA56" s="2">
        <f t="shared" si="12"/>
        <v>422313.55451389845</v>
      </c>
    </row>
    <row r="57" spans="1:27" ht="12.75">
      <c r="A57">
        <v>1991</v>
      </c>
      <c r="C57" s="35">
        <f t="shared" si="9"/>
        <v>2020620</v>
      </c>
      <c r="D57" s="35">
        <v>0</v>
      </c>
      <c r="E57" s="35">
        <v>502230</v>
      </c>
      <c r="F57" s="35">
        <v>13138</v>
      </c>
      <c r="G57" s="35">
        <f t="shared" si="0"/>
        <v>2509712</v>
      </c>
      <c r="H57" s="28">
        <v>29.5</v>
      </c>
      <c r="I57" s="29">
        <v>0</v>
      </c>
      <c r="J57" s="29">
        <f t="shared" si="13"/>
        <v>0</v>
      </c>
      <c r="M57" s="4">
        <f t="shared" si="14"/>
        <v>502230</v>
      </c>
      <c r="N57" s="4">
        <f t="shared" si="15"/>
        <v>13138</v>
      </c>
      <c r="O57" s="4">
        <f t="shared" si="16"/>
        <v>2509712</v>
      </c>
      <c r="R57" s="21">
        <f t="shared" si="10"/>
        <v>1991</v>
      </c>
      <c r="S57" s="4">
        <f t="shared" si="2"/>
        <v>502230</v>
      </c>
      <c r="T57">
        <f t="shared" si="3"/>
        <v>0</v>
      </c>
      <c r="U57">
        <f t="shared" si="4"/>
        <v>53</v>
      </c>
      <c r="V57" s="1" t="str">
        <f t="shared" si="5"/>
        <v>L0</v>
      </c>
      <c r="W57" s="2">
        <f t="shared" si="6"/>
        <v>9476.037735849057</v>
      </c>
      <c r="X57" s="2">
        <f t="shared" si="11"/>
        <v>0</v>
      </c>
      <c r="Y57" s="18">
        <f t="shared" si="7"/>
        <v>38.2142958294097</v>
      </c>
      <c r="Z57" s="18">
        <f t="shared" si="8"/>
        <v>0</v>
      </c>
      <c r="AA57" s="2">
        <f t="shared" si="12"/>
        <v>362120.10932838556</v>
      </c>
    </row>
    <row r="58" spans="1:27" ht="12.75">
      <c r="A58">
        <v>1992</v>
      </c>
      <c r="C58" s="35">
        <f t="shared" si="9"/>
        <v>2509712</v>
      </c>
      <c r="D58" s="35">
        <v>0</v>
      </c>
      <c r="E58" s="35">
        <v>597650</v>
      </c>
      <c r="F58" s="35">
        <v>16757</v>
      </c>
      <c r="G58" s="35">
        <f t="shared" si="0"/>
        <v>3090605</v>
      </c>
      <c r="H58" s="28">
        <v>28.5</v>
      </c>
      <c r="I58" s="29">
        <v>0</v>
      </c>
      <c r="J58" s="29">
        <f t="shared" si="13"/>
        <v>0</v>
      </c>
      <c r="M58" s="4">
        <f t="shared" si="14"/>
        <v>597650</v>
      </c>
      <c r="N58" s="4">
        <f t="shared" si="15"/>
        <v>16757</v>
      </c>
      <c r="O58" s="4">
        <f t="shared" si="16"/>
        <v>3090605</v>
      </c>
      <c r="R58" s="21">
        <f t="shared" si="10"/>
        <v>1992</v>
      </c>
      <c r="S58" s="4">
        <f t="shared" si="2"/>
        <v>597650</v>
      </c>
      <c r="T58">
        <f t="shared" si="3"/>
        <v>0</v>
      </c>
      <c r="U58">
        <f t="shared" si="4"/>
        <v>53</v>
      </c>
      <c r="V58" s="1" t="str">
        <f t="shared" si="5"/>
        <v>L0</v>
      </c>
      <c r="W58" s="2">
        <f t="shared" si="6"/>
        <v>11276.415094339623</v>
      </c>
      <c r="X58" s="2">
        <f t="shared" si="11"/>
        <v>0</v>
      </c>
      <c r="Y58" s="18">
        <f t="shared" si="7"/>
        <v>38.585212244720395</v>
      </c>
      <c r="Z58" s="18">
        <f t="shared" si="8"/>
        <v>0</v>
      </c>
      <c r="AA58" s="2">
        <f t="shared" si="12"/>
        <v>435102.8697746631</v>
      </c>
    </row>
    <row r="59" spans="1:27" ht="12.75">
      <c r="A59">
        <v>1993</v>
      </c>
      <c r="C59" s="35">
        <f t="shared" si="9"/>
        <v>3090605</v>
      </c>
      <c r="D59" s="35">
        <v>0</v>
      </c>
      <c r="E59" s="35">
        <v>609177</v>
      </c>
      <c r="F59" s="35">
        <v>20071</v>
      </c>
      <c r="G59" s="35">
        <f t="shared" si="0"/>
        <v>3679711</v>
      </c>
      <c r="H59" s="28">
        <v>27.5</v>
      </c>
      <c r="I59" s="29"/>
      <c r="J59" s="29">
        <f t="shared" si="13"/>
        <v>0</v>
      </c>
      <c r="M59" s="4">
        <f t="shared" si="14"/>
        <v>609177</v>
      </c>
      <c r="N59" s="4">
        <f t="shared" si="15"/>
        <v>20071</v>
      </c>
      <c r="O59" s="4">
        <f t="shared" si="16"/>
        <v>3679711</v>
      </c>
      <c r="R59" s="21">
        <f t="shared" si="10"/>
        <v>1993</v>
      </c>
      <c r="S59" s="4">
        <f t="shared" si="2"/>
        <v>609177</v>
      </c>
      <c r="T59">
        <f t="shared" si="3"/>
        <v>0</v>
      </c>
      <c r="U59">
        <f t="shared" si="4"/>
        <v>53</v>
      </c>
      <c r="V59" s="1" t="str">
        <f t="shared" si="5"/>
        <v>L0</v>
      </c>
      <c r="W59" s="2">
        <f t="shared" si="6"/>
        <v>11493.905660377359</v>
      </c>
      <c r="X59" s="2">
        <f t="shared" si="11"/>
        <v>0</v>
      </c>
      <c r="Y59" s="18">
        <f t="shared" si="7"/>
        <v>38.959754494917654</v>
      </c>
      <c r="Z59" s="18">
        <f t="shared" si="8"/>
        <v>0</v>
      </c>
      <c r="AA59" s="2">
        <f t="shared" si="12"/>
        <v>447799.7427160463</v>
      </c>
    </row>
    <row r="60" spans="1:27" ht="12.75">
      <c r="A60">
        <v>1994</v>
      </c>
      <c r="C60" s="35">
        <f t="shared" si="9"/>
        <v>3679711</v>
      </c>
      <c r="D60" s="35">
        <v>0</v>
      </c>
      <c r="E60" s="35">
        <v>791561</v>
      </c>
      <c r="F60" s="35">
        <v>17854</v>
      </c>
      <c r="G60" s="35">
        <f t="shared" si="0"/>
        <v>4453418</v>
      </c>
      <c r="H60" s="28">
        <v>26.5</v>
      </c>
      <c r="I60" s="29">
        <v>0</v>
      </c>
      <c r="J60" s="29">
        <f t="shared" si="13"/>
        <v>0</v>
      </c>
      <c r="M60" s="4">
        <f t="shared" si="14"/>
        <v>791561</v>
      </c>
      <c r="N60" s="4">
        <f t="shared" si="15"/>
        <v>17854</v>
      </c>
      <c r="O60" s="4">
        <f t="shared" si="16"/>
        <v>4453418</v>
      </c>
      <c r="R60" s="21">
        <f t="shared" si="10"/>
        <v>1994</v>
      </c>
      <c r="S60" s="4">
        <f t="shared" si="2"/>
        <v>791561</v>
      </c>
      <c r="T60">
        <f t="shared" si="3"/>
        <v>0</v>
      </c>
      <c r="U60">
        <f t="shared" si="4"/>
        <v>53</v>
      </c>
      <c r="V60" s="1" t="str">
        <f t="shared" si="5"/>
        <v>L0</v>
      </c>
      <c r="W60" s="2">
        <f t="shared" si="6"/>
        <v>14935.11320754717</v>
      </c>
      <c r="X60" s="2">
        <f t="shared" si="11"/>
        <v>0</v>
      </c>
      <c r="Y60" s="18">
        <f t="shared" si="7"/>
        <v>39.3379648003675</v>
      </c>
      <c r="Z60" s="18">
        <f t="shared" si="8"/>
        <v>0</v>
      </c>
      <c r="AA60" s="2">
        <f t="shared" si="12"/>
        <v>587516.9576479944</v>
      </c>
    </row>
    <row r="61" spans="1:27" ht="12.75">
      <c r="A61">
        <v>1995</v>
      </c>
      <c r="C61" s="35">
        <f t="shared" si="9"/>
        <v>4453418</v>
      </c>
      <c r="D61" s="35">
        <v>0</v>
      </c>
      <c r="E61" s="35">
        <v>777027</v>
      </c>
      <c r="F61" s="35">
        <v>20972</v>
      </c>
      <c r="G61" s="35">
        <f t="shared" si="0"/>
        <v>5209473</v>
      </c>
      <c r="H61" s="28">
        <v>25.5</v>
      </c>
      <c r="I61" s="29"/>
      <c r="J61" s="29">
        <f t="shared" si="13"/>
        <v>0</v>
      </c>
      <c r="M61" s="4">
        <f t="shared" si="14"/>
        <v>777027</v>
      </c>
      <c r="N61" s="4">
        <f t="shared" si="15"/>
        <v>20972</v>
      </c>
      <c r="O61" s="4">
        <f t="shared" si="16"/>
        <v>5209473</v>
      </c>
      <c r="R61" s="21">
        <f t="shared" si="10"/>
        <v>1995</v>
      </c>
      <c r="S61" s="4">
        <f t="shared" si="2"/>
        <v>777027</v>
      </c>
      <c r="T61">
        <f t="shared" si="3"/>
        <v>0</v>
      </c>
      <c r="U61">
        <f t="shared" si="4"/>
        <v>53</v>
      </c>
      <c r="V61" s="1" t="str">
        <f t="shared" si="5"/>
        <v>L0</v>
      </c>
      <c r="W61" s="2">
        <f t="shared" si="6"/>
        <v>14660.88679245283</v>
      </c>
      <c r="X61" s="2">
        <f t="shared" si="11"/>
        <v>0</v>
      </c>
      <c r="Y61" s="18">
        <f t="shared" si="7"/>
        <v>39.71991603963555</v>
      </c>
      <c r="Z61" s="18">
        <f t="shared" si="8"/>
        <v>0</v>
      </c>
      <c r="AA61" s="2">
        <f t="shared" si="12"/>
        <v>582329.1924628281</v>
      </c>
    </row>
    <row r="62" spans="1:27" ht="12.75">
      <c r="A62">
        <v>1996</v>
      </c>
      <c r="C62" s="35">
        <f t="shared" si="9"/>
        <v>5209473</v>
      </c>
      <c r="D62" s="35">
        <v>0</v>
      </c>
      <c r="E62" s="35">
        <v>825079</v>
      </c>
      <c r="F62" s="35">
        <v>16854</v>
      </c>
      <c r="G62" s="35">
        <f t="shared" si="0"/>
        <v>6017698</v>
      </c>
      <c r="H62" s="28">
        <v>24.5</v>
      </c>
      <c r="I62" s="29">
        <v>0</v>
      </c>
      <c r="J62" s="29">
        <f t="shared" si="13"/>
        <v>0</v>
      </c>
      <c r="M62" s="4">
        <f t="shared" si="14"/>
        <v>825079</v>
      </c>
      <c r="N62" s="4">
        <f t="shared" si="15"/>
        <v>16854</v>
      </c>
      <c r="O62" s="4">
        <f t="shared" si="16"/>
        <v>6017698</v>
      </c>
      <c r="R62" s="21">
        <f t="shared" si="10"/>
        <v>1996</v>
      </c>
      <c r="S62" s="4">
        <f t="shared" si="2"/>
        <v>825079</v>
      </c>
      <c r="T62">
        <f t="shared" si="3"/>
        <v>0</v>
      </c>
      <c r="U62">
        <f t="shared" si="4"/>
        <v>53</v>
      </c>
      <c r="V62" s="1" t="str">
        <f t="shared" si="5"/>
        <v>L0</v>
      </c>
      <c r="W62" s="2">
        <f t="shared" si="6"/>
        <v>15567.528301886792</v>
      </c>
      <c r="X62" s="2">
        <f t="shared" si="11"/>
        <v>0</v>
      </c>
      <c r="Y62" s="18">
        <f t="shared" si="7"/>
        <v>40.10600688617867</v>
      </c>
      <c r="Z62" s="18">
        <f t="shared" si="8"/>
        <v>0</v>
      </c>
      <c r="AA62" s="2">
        <f t="shared" si="12"/>
        <v>624351.397276253</v>
      </c>
    </row>
    <row r="63" spans="1:27" ht="12.75">
      <c r="A63">
        <v>1997</v>
      </c>
      <c r="C63" s="35">
        <f t="shared" si="9"/>
        <v>6017698</v>
      </c>
      <c r="D63" s="35">
        <v>-1000</v>
      </c>
      <c r="E63" s="35">
        <v>872721</v>
      </c>
      <c r="F63" s="35">
        <v>64886</v>
      </c>
      <c r="G63" s="35">
        <f t="shared" si="0"/>
        <v>6824533</v>
      </c>
      <c r="H63" s="28">
        <v>23.5</v>
      </c>
      <c r="I63" s="9">
        <v>0</v>
      </c>
      <c r="J63" s="29">
        <f t="shared" si="13"/>
        <v>0</v>
      </c>
      <c r="M63" s="4">
        <f t="shared" si="14"/>
        <v>871721</v>
      </c>
      <c r="N63" s="4">
        <f t="shared" si="15"/>
        <v>64886</v>
      </c>
      <c r="O63" s="4">
        <f t="shared" si="16"/>
        <v>6824533</v>
      </c>
      <c r="R63" s="21">
        <f t="shared" si="10"/>
        <v>1997</v>
      </c>
      <c r="S63" s="4">
        <f t="shared" si="2"/>
        <v>872721</v>
      </c>
      <c r="T63">
        <f t="shared" si="3"/>
        <v>0</v>
      </c>
      <c r="U63">
        <f t="shared" si="4"/>
        <v>53</v>
      </c>
      <c r="V63" s="1" t="str">
        <f t="shared" si="5"/>
        <v>L0</v>
      </c>
      <c r="W63" s="2">
        <f t="shared" si="6"/>
        <v>16466.43396226415</v>
      </c>
      <c r="X63" s="2">
        <f t="shared" si="11"/>
        <v>0</v>
      </c>
      <c r="Y63" s="18">
        <f t="shared" si="7"/>
        <v>40.49682100656545</v>
      </c>
      <c r="Z63" s="18">
        <f t="shared" si="8"/>
        <v>0</v>
      </c>
      <c r="AA63" s="2">
        <f t="shared" si="12"/>
        <v>666838.2287862415</v>
      </c>
    </row>
    <row r="64" spans="1:27" ht="12.75">
      <c r="A64">
        <v>1998</v>
      </c>
      <c r="C64" s="35">
        <f t="shared" si="9"/>
        <v>6824533</v>
      </c>
      <c r="D64" s="35">
        <v>0</v>
      </c>
      <c r="E64" s="35">
        <v>853325</v>
      </c>
      <c r="F64" s="35">
        <v>43205</v>
      </c>
      <c r="G64" s="35">
        <f t="shared" si="0"/>
        <v>7634653</v>
      </c>
      <c r="H64" s="28">
        <v>22.5</v>
      </c>
      <c r="I64" s="29"/>
      <c r="J64" s="29">
        <f t="shared" si="13"/>
        <v>0</v>
      </c>
      <c r="M64" s="4">
        <f t="shared" si="14"/>
        <v>853325</v>
      </c>
      <c r="N64" s="4">
        <f t="shared" si="15"/>
        <v>43205</v>
      </c>
      <c r="O64" s="4">
        <f t="shared" si="16"/>
        <v>7634653</v>
      </c>
      <c r="R64" s="21">
        <f t="shared" si="10"/>
        <v>1998</v>
      </c>
      <c r="S64" s="4">
        <f t="shared" si="2"/>
        <v>853325</v>
      </c>
      <c r="T64">
        <f t="shared" si="3"/>
        <v>0</v>
      </c>
      <c r="U64">
        <f t="shared" si="4"/>
        <v>53</v>
      </c>
      <c r="V64" s="1" t="str">
        <f t="shared" si="5"/>
        <v>L0</v>
      </c>
      <c r="W64" s="2">
        <f t="shared" si="6"/>
        <v>16100.471698113208</v>
      </c>
      <c r="X64" s="2">
        <f t="shared" si="11"/>
        <v>0</v>
      </c>
      <c r="Y64" s="18">
        <f t="shared" si="7"/>
        <v>40.89292809372249</v>
      </c>
      <c r="Z64" s="18">
        <f t="shared" si="8"/>
        <v>0</v>
      </c>
      <c r="AA64" s="2">
        <f t="shared" si="12"/>
        <v>658395.4314259575</v>
      </c>
    </row>
    <row r="65" spans="1:27" ht="12.75">
      <c r="A65">
        <v>1999</v>
      </c>
      <c r="C65" s="35">
        <f t="shared" si="9"/>
        <v>7634653</v>
      </c>
      <c r="D65" s="35">
        <v>-350</v>
      </c>
      <c r="E65" s="35">
        <v>834400</v>
      </c>
      <c r="F65" s="35">
        <v>59319</v>
      </c>
      <c r="G65" s="35">
        <f t="shared" si="0"/>
        <v>8409384</v>
      </c>
      <c r="H65" s="28">
        <v>21.5</v>
      </c>
      <c r="I65" s="29">
        <v>0</v>
      </c>
      <c r="J65" s="29">
        <f t="shared" si="13"/>
        <v>0</v>
      </c>
      <c r="M65" s="4">
        <f t="shared" si="14"/>
        <v>834050</v>
      </c>
      <c r="N65" s="4">
        <f t="shared" si="15"/>
        <v>59319</v>
      </c>
      <c r="O65" s="4">
        <f t="shared" si="16"/>
        <v>8409384</v>
      </c>
      <c r="R65" s="21">
        <f t="shared" si="10"/>
        <v>1999</v>
      </c>
      <c r="S65" s="4">
        <f t="shared" si="2"/>
        <v>834400</v>
      </c>
      <c r="T65">
        <f t="shared" si="3"/>
        <v>0</v>
      </c>
      <c r="U65">
        <f t="shared" si="4"/>
        <v>53</v>
      </c>
      <c r="V65" s="1" t="str">
        <f t="shared" si="5"/>
        <v>L0</v>
      </c>
      <c r="W65" s="2">
        <f t="shared" si="6"/>
        <v>15743.396226415094</v>
      </c>
      <c r="X65" s="2">
        <f t="shared" si="11"/>
        <v>0</v>
      </c>
      <c r="Y65" s="18">
        <f t="shared" si="7"/>
        <v>41.294887378940274</v>
      </c>
      <c r="Z65" s="18">
        <f t="shared" si="8"/>
        <v>0</v>
      </c>
      <c r="AA65" s="2">
        <f t="shared" si="12"/>
        <v>650121.7741318446</v>
      </c>
    </row>
    <row r="66" spans="1:27" ht="12.75">
      <c r="A66">
        <v>2000</v>
      </c>
      <c r="C66" s="35">
        <f t="shared" si="9"/>
        <v>8409384</v>
      </c>
      <c r="D66" s="35">
        <v>3948</v>
      </c>
      <c r="E66" s="35">
        <v>594874</v>
      </c>
      <c r="F66" s="35">
        <v>81731</v>
      </c>
      <c r="G66" s="35">
        <f t="shared" si="0"/>
        <v>8926475</v>
      </c>
      <c r="H66" s="28">
        <v>20.5</v>
      </c>
      <c r="I66" s="29"/>
      <c r="J66" s="29">
        <f t="shared" si="13"/>
        <v>0</v>
      </c>
      <c r="M66" s="4">
        <f t="shared" si="14"/>
        <v>598822</v>
      </c>
      <c r="N66" s="4">
        <f t="shared" si="15"/>
        <v>81731</v>
      </c>
      <c r="O66" s="4">
        <f t="shared" si="16"/>
        <v>8926475</v>
      </c>
      <c r="R66" s="21">
        <f t="shared" si="10"/>
        <v>2000</v>
      </c>
      <c r="S66" s="4">
        <f t="shared" si="2"/>
        <v>594874</v>
      </c>
      <c r="T66">
        <f t="shared" si="3"/>
        <v>0</v>
      </c>
      <c r="U66">
        <f t="shared" si="4"/>
        <v>53</v>
      </c>
      <c r="V66" s="1" t="str">
        <f t="shared" si="5"/>
        <v>L0</v>
      </c>
      <c r="W66" s="2">
        <f t="shared" si="6"/>
        <v>11224.037735849057</v>
      </c>
      <c r="X66" s="2">
        <f t="shared" si="11"/>
        <v>0</v>
      </c>
      <c r="Y66" s="18">
        <f t="shared" si="7"/>
        <v>41.703254137143844</v>
      </c>
      <c r="Z66" s="18">
        <f t="shared" si="8"/>
        <v>0</v>
      </c>
      <c r="AA66" s="2">
        <f t="shared" si="12"/>
        <v>468078.8981430058</v>
      </c>
    </row>
    <row r="67" spans="1:27" ht="12.75">
      <c r="A67">
        <v>2001</v>
      </c>
      <c r="C67" s="35">
        <f t="shared" si="9"/>
        <v>8926475</v>
      </c>
      <c r="D67" s="35">
        <v>-6556</v>
      </c>
      <c r="E67" s="35">
        <v>770983</v>
      </c>
      <c r="F67" s="35">
        <v>91254</v>
      </c>
      <c r="G67" s="35">
        <f t="shared" si="0"/>
        <v>9599648</v>
      </c>
      <c r="H67" s="28">
        <v>19.5</v>
      </c>
      <c r="I67" s="9">
        <v>0</v>
      </c>
      <c r="J67" s="29">
        <f t="shared" si="13"/>
        <v>0</v>
      </c>
      <c r="M67" s="4">
        <f t="shared" si="14"/>
        <v>764427</v>
      </c>
      <c r="N67" s="4">
        <f t="shared" si="15"/>
        <v>91254</v>
      </c>
      <c r="O67" s="4">
        <f t="shared" si="16"/>
        <v>9599648</v>
      </c>
      <c r="R67" s="21">
        <f t="shared" si="10"/>
        <v>2001</v>
      </c>
      <c r="S67" s="4">
        <f t="shared" si="2"/>
        <v>770983</v>
      </c>
      <c r="T67">
        <f t="shared" si="3"/>
        <v>0</v>
      </c>
      <c r="U67">
        <f t="shared" si="4"/>
        <v>53</v>
      </c>
      <c r="V67" s="1" t="str">
        <f t="shared" si="5"/>
        <v>L0</v>
      </c>
      <c r="W67" s="2">
        <f t="shared" si="6"/>
        <v>14546.849056603774</v>
      </c>
      <c r="X67" s="2">
        <f t="shared" si="11"/>
        <v>0</v>
      </c>
      <c r="Y67" s="18">
        <f>Prob_life($V$67,H67,$U$67)</f>
        <v>42.1185863640963</v>
      </c>
      <c r="Z67" s="18">
        <f t="shared" si="8"/>
        <v>0</v>
      </c>
      <c r="AA67" s="2">
        <f t="shared" si="12"/>
        <v>612692.7183160388</v>
      </c>
    </row>
    <row r="68" spans="1:27" ht="12.75">
      <c r="A68">
        <v>2002</v>
      </c>
      <c r="C68" s="35">
        <f t="shared" si="9"/>
        <v>9599648</v>
      </c>
      <c r="D68" s="35">
        <v>0</v>
      </c>
      <c r="E68" s="35">
        <v>639556.19</v>
      </c>
      <c r="F68" s="35">
        <v>71940</v>
      </c>
      <c r="G68" s="35">
        <f t="shared" si="0"/>
        <v>10167264.19</v>
      </c>
      <c r="H68" s="28">
        <v>18.5</v>
      </c>
      <c r="I68" s="29">
        <v>0</v>
      </c>
      <c r="J68" s="29">
        <f t="shared" si="13"/>
        <v>0</v>
      </c>
      <c r="M68" s="4">
        <f t="shared" si="14"/>
        <v>639556.19</v>
      </c>
      <c r="N68" s="4">
        <f t="shared" si="15"/>
        <v>71940</v>
      </c>
      <c r="O68" s="4">
        <f t="shared" si="16"/>
        <v>10167264.19</v>
      </c>
      <c r="R68" s="21">
        <f t="shared" si="10"/>
        <v>2002</v>
      </c>
      <c r="S68" s="4">
        <f t="shared" si="2"/>
        <v>639556.19</v>
      </c>
      <c r="T68">
        <f t="shared" si="3"/>
        <v>0</v>
      </c>
      <c r="U68">
        <f t="shared" si="4"/>
        <v>53</v>
      </c>
      <c r="V68" s="1" t="str">
        <f t="shared" si="5"/>
        <v>L0</v>
      </c>
      <c r="W68" s="2">
        <f t="shared" si="6"/>
        <v>12067.097924528302</v>
      </c>
      <c r="X68" s="2">
        <f t="shared" si="11"/>
        <v>0</v>
      </c>
      <c r="Y68" s="18">
        <f aca="true" t="shared" si="17" ref="Y68:Y86">Prob_life(V68,H68,U68)</f>
        <v>42.54145178294117</v>
      </c>
      <c r="Z68" s="18">
        <f t="shared" si="8"/>
        <v>0</v>
      </c>
      <c r="AA68" s="2">
        <f t="shared" si="12"/>
        <v>513351.86451635015</v>
      </c>
    </row>
    <row r="69" spans="1:27" ht="12.75">
      <c r="A69">
        <v>2003</v>
      </c>
      <c r="C69" s="35">
        <f t="shared" si="9"/>
        <v>10167264.19</v>
      </c>
      <c r="D69" s="35">
        <v>0</v>
      </c>
      <c r="E69" s="35">
        <v>728084</v>
      </c>
      <c r="F69" s="35">
        <v>38495</v>
      </c>
      <c r="G69" s="35">
        <f t="shared" si="0"/>
        <v>10856853.19</v>
      </c>
      <c r="H69" s="28">
        <v>17.5</v>
      </c>
      <c r="I69" s="29"/>
      <c r="J69" s="29"/>
      <c r="M69" s="4">
        <f t="shared" si="14"/>
        <v>728084</v>
      </c>
      <c r="N69" s="4">
        <f t="shared" si="15"/>
        <v>38495</v>
      </c>
      <c r="O69" s="4">
        <f t="shared" si="16"/>
        <v>10856853.19</v>
      </c>
      <c r="R69" s="21">
        <f t="shared" si="10"/>
        <v>2003</v>
      </c>
      <c r="S69" s="4">
        <f t="shared" si="2"/>
        <v>728084</v>
      </c>
      <c r="T69">
        <f t="shared" si="3"/>
        <v>0</v>
      </c>
      <c r="U69">
        <f t="shared" si="4"/>
        <v>53</v>
      </c>
      <c r="V69" s="1" t="str">
        <f t="shared" si="5"/>
        <v>L0</v>
      </c>
      <c r="W69" s="2">
        <f t="shared" si="6"/>
        <v>13737.433962264151</v>
      </c>
      <c r="X69" s="2">
        <f t="shared" si="11"/>
        <v>0</v>
      </c>
      <c r="Y69" s="18">
        <f t="shared" si="17"/>
        <v>42.97243536949971</v>
      </c>
      <c r="Z69" s="18">
        <f t="shared" si="8"/>
        <v>0</v>
      </c>
      <c r="AA69" s="2">
        <f t="shared" si="12"/>
        <v>590330.9930861666</v>
      </c>
    </row>
    <row r="70" spans="1:27" ht="12.75">
      <c r="A70">
        <v>2004</v>
      </c>
      <c r="C70" s="35">
        <f t="shared" si="9"/>
        <v>10856853.19</v>
      </c>
      <c r="D70" s="35">
        <v>-3288</v>
      </c>
      <c r="E70" s="35">
        <v>695654</v>
      </c>
      <c r="F70" s="35">
        <v>24586</v>
      </c>
      <c r="G70" s="35">
        <f aca="true" t="shared" si="18" ref="G70:G86">C70+D70+E70-F70</f>
        <v>11524633.19</v>
      </c>
      <c r="H70" s="28">
        <v>16.5</v>
      </c>
      <c r="I70" s="29"/>
      <c r="J70" s="29"/>
      <c r="M70" s="4">
        <f t="shared" si="14"/>
        <v>692366</v>
      </c>
      <c r="N70" s="4">
        <f t="shared" si="15"/>
        <v>24586</v>
      </c>
      <c r="O70" s="4">
        <f t="shared" si="16"/>
        <v>11524633.19</v>
      </c>
      <c r="R70" s="21">
        <f t="shared" si="10"/>
        <v>2004</v>
      </c>
      <c r="S70" s="4">
        <f aca="true" t="shared" si="19" ref="S70:S86">E70</f>
        <v>695654</v>
      </c>
      <c r="T70">
        <f aca="true" t="shared" si="20" ref="T70:T86">IF(D70&gt;0,IF(J70&gt;0,D70,0),0)</f>
        <v>0</v>
      </c>
      <c r="U70">
        <f aca="true" t="shared" si="21" ref="U70:U86">$V$94</f>
        <v>53</v>
      </c>
      <c r="V70" s="1" t="str">
        <f aca="true" t="shared" si="22" ref="V70:V86">$V$93</f>
        <v>L0</v>
      </c>
      <c r="W70" s="2">
        <f aca="true" t="shared" si="23" ref="W70:W86">S70/U70</f>
        <v>13125.547169811322</v>
      </c>
      <c r="X70" s="2">
        <f t="shared" si="11"/>
        <v>0</v>
      </c>
      <c r="Y70" s="18">
        <f t="shared" si="17"/>
        <v>43.41214763125356</v>
      </c>
      <c r="Z70" s="18">
        <f aca="true" t="shared" si="24" ref="Z70:Z86">IF(J70&gt;0,Prob_life(V70,J70+0.5,U70),0)</f>
        <v>0</v>
      </c>
      <c r="AA70" s="2">
        <f t="shared" si="12"/>
        <v>569808.1914768314</v>
      </c>
    </row>
    <row r="71" spans="1:27" ht="12.75">
      <c r="A71">
        <v>2005</v>
      </c>
      <c r="C71" s="35">
        <f>G70</f>
        <v>11524633.19</v>
      </c>
      <c r="D71" s="35">
        <v>829.54</v>
      </c>
      <c r="E71" s="35">
        <v>634736.61</v>
      </c>
      <c r="F71" s="35">
        <v>23299.69</v>
      </c>
      <c r="G71" s="35">
        <f t="shared" si="18"/>
        <v>12136899.649999999</v>
      </c>
      <c r="H71" s="28">
        <v>15.5</v>
      </c>
      <c r="I71" s="29"/>
      <c r="J71" s="29"/>
      <c r="M71" s="4">
        <f t="shared" si="14"/>
        <v>635566.15</v>
      </c>
      <c r="N71" s="4">
        <f t="shared" si="15"/>
        <v>23299.69</v>
      </c>
      <c r="O71" s="4">
        <f t="shared" si="16"/>
        <v>12136899.649999999</v>
      </c>
      <c r="R71" s="21">
        <f aca="true" t="shared" si="25" ref="R71:R86">A71</f>
        <v>2005</v>
      </c>
      <c r="S71" s="4">
        <f t="shared" si="19"/>
        <v>634736.61</v>
      </c>
      <c r="T71">
        <f t="shared" si="20"/>
        <v>0</v>
      </c>
      <c r="U71">
        <f t="shared" si="21"/>
        <v>53</v>
      </c>
      <c r="V71" s="1" t="str">
        <f t="shared" si="22"/>
        <v>L0</v>
      </c>
      <c r="W71" s="2">
        <f t="shared" si="23"/>
        <v>11976.162452830189</v>
      </c>
      <c r="X71" s="2">
        <f aca="true" t="shared" si="26" ref="X71:X86">T71/U71</f>
        <v>0</v>
      </c>
      <c r="Y71" s="18">
        <f t="shared" si="17"/>
        <v>43.86123393976078</v>
      </c>
      <c r="Z71" s="18">
        <f t="shared" si="24"/>
        <v>0</v>
      </c>
      <c r="AA71" s="2">
        <f aca="true" t="shared" si="27" ref="AA71:AA86">W71*Y71+X71*Z71</f>
        <v>525289.2630441642</v>
      </c>
    </row>
    <row r="72" spans="1:27" ht="12.75">
      <c r="A72">
        <v>2006</v>
      </c>
      <c r="C72" s="35">
        <f aca="true" t="shared" si="28" ref="C72:C86">G71</f>
        <v>12136899.649999999</v>
      </c>
      <c r="D72" s="35">
        <v>0</v>
      </c>
      <c r="E72" s="35">
        <v>558976.64</v>
      </c>
      <c r="F72" s="35">
        <v>37401.28</v>
      </c>
      <c r="G72" s="35">
        <f t="shared" si="18"/>
        <v>12658475.01</v>
      </c>
      <c r="H72" s="28">
        <v>14.5</v>
      </c>
      <c r="I72" s="29"/>
      <c r="J72" s="29"/>
      <c r="M72" s="4">
        <f t="shared" si="14"/>
        <v>558976.64</v>
      </c>
      <c r="N72" s="4">
        <f t="shared" si="15"/>
        <v>37401.28</v>
      </c>
      <c r="O72" s="4">
        <f t="shared" si="16"/>
        <v>12658475.01</v>
      </c>
      <c r="R72" s="21">
        <f t="shared" si="25"/>
        <v>2006</v>
      </c>
      <c r="S72" s="4">
        <f t="shared" si="19"/>
        <v>558976.64</v>
      </c>
      <c r="T72">
        <f t="shared" si="20"/>
        <v>0</v>
      </c>
      <c r="U72">
        <f t="shared" si="21"/>
        <v>53</v>
      </c>
      <c r="V72" s="1" t="str">
        <f t="shared" si="22"/>
        <v>L0</v>
      </c>
      <c r="W72" s="2">
        <f t="shared" si="23"/>
        <v>10546.729056603774</v>
      </c>
      <c r="X72" s="2">
        <f t="shared" si="26"/>
        <v>0</v>
      </c>
      <c r="Y72" s="18">
        <f t="shared" si="17"/>
        <v>44.32038530934458</v>
      </c>
      <c r="Z72" s="18">
        <f t="shared" si="24"/>
        <v>0</v>
      </c>
      <c r="AA72" s="2">
        <f t="shared" si="27"/>
        <v>467435.0955419395</v>
      </c>
    </row>
    <row r="73" spans="1:27" ht="12.75">
      <c r="A73">
        <v>2007</v>
      </c>
      <c r="C73" s="35">
        <f t="shared" si="28"/>
        <v>12658475.01</v>
      </c>
      <c r="D73" s="35">
        <v>-102.28</v>
      </c>
      <c r="E73" s="35">
        <v>404224.64</v>
      </c>
      <c r="F73" s="35">
        <v>154298.95</v>
      </c>
      <c r="G73" s="35">
        <f t="shared" si="18"/>
        <v>12908298.420000002</v>
      </c>
      <c r="H73" s="28">
        <v>13.5</v>
      </c>
      <c r="I73" s="29"/>
      <c r="J73" s="29"/>
      <c r="M73" s="4">
        <f t="shared" si="14"/>
        <v>404122.36</v>
      </c>
      <c r="N73" s="4">
        <f t="shared" si="15"/>
        <v>154298.95</v>
      </c>
      <c r="O73" s="4">
        <f t="shared" si="16"/>
        <v>12908298.420000002</v>
      </c>
      <c r="R73" s="21">
        <f t="shared" si="25"/>
        <v>2007</v>
      </c>
      <c r="S73" s="4">
        <f t="shared" si="19"/>
        <v>404224.64</v>
      </c>
      <c r="T73">
        <f t="shared" si="20"/>
        <v>0</v>
      </c>
      <c r="U73">
        <f t="shared" si="21"/>
        <v>53</v>
      </c>
      <c r="V73" s="1" t="str">
        <f t="shared" si="22"/>
        <v>L0</v>
      </c>
      <c r="W73" s="2">
        <f t="shared" si="23"/>
        <v>7626.88</v>
      </c>
      <c r="X73" s="2">
        <f t="shared" si="26"/>
        <v>0</v>
      </c>
      <c r="Y73" s="18">
        <f t="shared" si="17"/>
        <v>44.79035115044589</v>
      </c>
      <c r="Z73" s="18">
        <f t="shared" si="24"/>
        <v>0</v>
      </c>
      <c r="AA73" s="2">
        <f t="shared" si="27"/>
        <v>341610.6333823128</v>
      </c>
    </row>
    <row r="74" spans="1:27" ht="12.75">
      <c r="A74">
        <v>2008</v>
      </c>
      <c r="C74" s="35">
        <f t="shared" si="28"/>
        <v>12908298.420000002</v>
      </c>
      <c r="D74" s="35">
        <v>-1034.47</v>
      </c>
      <c r="E74" s="35">
        <v>579457.51</v>
      </c>
      <c r="F74" s="35">
        <v>204123.29</v>
      </c>
      <c r="G74" s="35">
        <f t="shared" si="18"/>
        <v>13282598.170000002</v>
      </c>
      <c r="H74" s="28">
        <v>12.5</v>
      </c>
      <c r="I74" s="29"/>
      <c r="J74" s="29"/>
      <c r="M74" s="4">
        <f t="shared" si="14"/>
        <v>578423.04</v>
      </c>
      <c r="N74" s="4">
        <f t="shared" si="15"/>
        <v>204123.29</v>
      </c>
      <c r="O74" s="4">
        <f t="shared" si="16"/>
        <v>13282598.170000002</v>
      </c>
      <c r="R74" s="21">
        <f t="shared" si="25"/>
        <v>2008</v>
      </c>
      <c r="S74" s="4">
        <f t="shared" si="19"/>
        <v>579457.51</v>
      </c>
      <c r="T74">
        <f t="shared" si="20"/>
        <v>0</v>
      </c>
      <c r="U74">
        <f t="shared" si="21"/>
        <v>53</v>
      </c>
      <c r="V74" s="1" t="str">
        <f t="shared" si="22"/>
        <v>L0</v>
      </c>
      <c r="W74" s="2">
        <f t="shared" si="23"/>
        <v>10933.160566037735</v>
      </c>
      <c r="X74" s="2">
        <f t="shared" si="26"/>
        <v>0</v>
      </c>
      <c r="Y74" s="18">
        <f t="shared" si="17"/>
        <v>45.27195472702312</v>
      </c>
      <c r="Z74" s="18">
        <f t="shared" si="24"/>
        <v>0</v>
      </c>
      <c r="AA74" s="2">
        <f t="shared" si="27"/>
        <v>494965.55016893486</v>
      </c>
    </row>
    <row r="75" spans="1:27" ht="12.75">
      <c r="A75" s="29">
        <v>2009</v>
      </c>
      <c r="C75" s="35">
        <f t="shared" si="28"/>
        <v>13282598.170000002</v>
      </c>
      <c r="D75" s="35">
        <v>0</v>
      </c>
      <c r="E75" s="35">
        <v>458826.6</v>
      </c>
      <c r="F75" s="35">
        <v>179350.47</v>
      </c>
      <c r="G75" s="35">
        <f t="shared" si="18"/>
        <v>13562074.3</v>
      </c>
      <c r="H75" s="28">
        <v>11.5</v>
      </c>
      <c r="I75" s="29"/>
      <c r="J75" s="29"/>
      <c r="M75" s="4">
        <f t="shared" si="14"/>
        <v>458826.6</v>
      </c>
      <c r="N75" s="4">
        <f t="shared" si="15"/>
        <v>179350.47</v>
      </c>
      <c r="O75" s="4">
        <f t="shared" si="16"/>
        <v>13562074.3</v>
      </c>
      <c r="R75" s="21">
        <f t="shared" si="25"/>
        <v>2009</v>
      </c>
      <c r="S75" s="4">
        <f t="shared" si="19"/>
        <v>458826.6</v>
      </c>
      <c r="T75">
        <f t="shared" si="20"/>
        <v>0</v>
      </c>
      <c r="U75">
        <f t="shared" si="21"/>
        <v>53</v>
      </c>
      <c r="V75" s="1" t="str">
        <f t="shared" si="22"/>
        <v>L0</v>
      </c>
      <c r="W75" s="2">
        <f t="shared" si="23"/>
        <v>8657.105660377358</v>
      </c>
      <c r="X75" s="2">
        <f t="shared" si="26"/>
        <v>0</v>
      </c>
      <c r="Y75" s="18">
        <f t="shared" si="17"/>
        <v>45.7661123521843</v>
      </c>
      <c r="Z75" s="18">
        <f t="shared" si="24"/>
        <v>0</v>
      </c>
      <c r="AA75" s="2">
        <f t="shared" si="27"/>
        <v>396202.07029756083</v>
      </c>
    </row>
    <row r="76" spans="1:27" ht="12.75">
      <c r="A76" s="29">
        <v>2010</v>
      </c>
      <c r="C76" s="35">
        <f t="shared" si="28"/>
        <v>13562074.3</v>
      </c>
      <c r="D76" s="35">
        <v>-180.95</v>
      </c>
      <c r="E76" s="35">
        <v>608073.62</v>
      </c>
      <c r="F76" s="35">
        <v>257168.77</v>
      </c>
      <c r="G76" s="35">
        <f t="shared" si="18"/>
        <v>13912798.200000001</v>
      </c>
      <c r="H76" s="28">
        <v>10.5</v>
      </c>
      <c r="I76" s="29"/>
      <c r="J76" s="29"/>
      <c r="M76" s="4">
        <f t="shared" si="14"/>
        <v>607892.67</v>
      </c>
      <c r="N76" s="4">
        <f t="shared" si="15"/>
        <v>257168.77</v>
      </c>
      <c r="O76" s="4">
        <f t="shared" si="16"/>
        <v>13912798.200000001</v>
      </c>
      <c r="R76" s="21">
        <f t="shared" si="25"/>
        <v>2010</v>
      </c>
      <c r="S76" s="4">
        <f t="shared" si="19"/>
        <v>608073.62</v>
      </c>
      <c r="T76">
        <f t="shared" si="20"/>
        <v>0</v>
      </c>
      <c r="U76">
        <f t="shared" si="21"/>
        <v>53</v>
      </c>
      <c r="V76" s="1" t="str">
        <f t="shared" si="22"/>
        <v>L0</v>
      </c>
      <c r="W76" s="2">
        <f t="shared" si="23"/>
        <v>11473.08716981132</v>
      </c>
      <c r="X76" s="2">
        <f t="shared" si="26"/>
        <v>0</v>
      </c>
      <c r="Y76" s="18">
        <f t="shared" si="17"/>
        <v>46.27385783105606</v>
      </c>
      <c r="Z76" s="18">
        <f t="shared" si="24"/>
        <v>0</v>
      </c>
      <c r="AA76" s="2">
        <f t="shared" si="27"/>
        <v>530904.0045791625</v>
      </c>
    </row>
    <row r="77" spans="1:27" ht="12.75">
      <c r="A77" s="29">
        <v>2011</v>
      </c>
      <c r="C77" s="35">
        <f t="shared" si="28"/>
        <v>13912798.200000001</v>
      </c>
      <c r="D77" s="35">
        <v>-6896.47</v>
      </c>
      <c r="E77" s="35">
        <v>721374.54</v>
      </c>
      <c r="F77" s="35">
        <v>191583.56</v>
      </c>
      <c r="G77" s="35">
        <f t="shared" si="18"/>
        <v>14435692.709999999</v>
      </c>
      <c r="H77" s="28">
        <v>9.5</v>
      </c>
      <c r="I77" s="29"/>
      <c r="J77" s="29"/>
      <c r="M77" s="4">
        <f t="shared" si="14"/>
        <v>714478.0700000001</v>
      </c>
      <c r="N77" s="4">
        <f t="shared" si="15"/>
        <v>191583.56</v>
      </c>
      <c r="O77" s="4">
        <f t="shared" si="16"/>
        <v>14435692.709999999</v>
      </c>
      <c r="R77" s="21">
        <f t="shared" si="25"/>
        <v>2011</v>
      </c>
      <c r="S77" s="4">
        <f t="shared" si="19"/>
        <v>721374.54</v>
      </c>
      <c r="T77">
        <f t="shared" si="20"/>
        <v>0</v>
      </c>
      <c r="U77">
        <f t="shared" si="21"/>
        <v>53</v>
      </c>
      <c r="V77" s="1" t="str">
        <f t="shared" si="22"/>
        <v>L0</v>
      </c>
      <c r="W77" s="2">
        <f t="shared" si="23"/>
        <v>13610.84037735849</v>
      </c>
      <c r="X77" s="2">
        <f t="shared" si="26"/>
        <v>0</v>
      </c>
      <c r="Y77" s="18">
        <f t="shared" si="17"/>
        <v>46.79637442352371</v>
      </c>
      <c r="Z77" s="18">
        <f t="shared" si="24"/>
        <v>0</v>
      </c>
      <c r="AA77" s="2">
        <f t="shared" si="27"/>
        <v>636937.9825176826</v>
      </c>
    </row>
    <row r="78" spans="1:27" ht="12.75">
      <c r="A78" s="29">
        <v>2012</v>
      </c>
      <c r="C78" s="35">
        <f t="shared" si="28"/>
        <v>14435692.709999999</v>
      </c>
      <c r="D78" s="35">
        <v>0</v>
      </c>
      <c r="E78" s="35">
        <v>1226494.25</v>
      </c>
      <c r="F78" s="35">
        <v>240844.74</v>
      </c>
      <c r="G78" s="35">
        <f t="shared" si="18"/>
        <v>15421342.219999999</v>
      </c>
      <c r="H78" s="28">
        <v>8.5</v>
      </c>
      <c r="I78" s="29"/>
      <c r="J78" s="29"/>
      <c r="M78" s="4">
        <f t="shared" si="14"/>
        <v>1226494.25</v>
      </c>
      <c r="N78" s="4">
        <f t="shared" si="15"/>
        <v>240844.74</v>
      </c>
      <c r="O78" s="4">
        <f t="shared" si="16"/>
        <v>15421342.219999999</v>
      </c>
      <c r="R78" s="21">
        <f t="shared" si="25"/>
        <v>2012</v>
      </c>
      <c r="S78" s="4">
        <f t="shared" si="19"/>
        <v>1226494.25</v>
      </c>
      <c r="T78">
        <f t="shared" si="20"/>
        <v>0</v>
      </c>
      <c r="U78">
        <f t="shared" si="21"/>
        <v>53</v>
      </c>
      <c r="V78" s="1" t="str">
        <f t="shared" si="22"/>
        <v>L0</v>
      </c>
      <c r="W78" s="2">
        <f t="shared" si="23"/>
        <v>23141.400943396227</v>
      </c>
      <c r="X78" s="2">
        <f t="shared" si="26"/>
        <v>0</v>
      </c>
      <c r="Y78" s="18">
        <f t="shared" si="17"/>
        <v>47.33503787487533</v>
      </c>
      <c r="Z78" s="18">
        <f t="shared" si="24"/>
        <v>0</v>
      </c>
      <c r="AA78" s="2">
        <f t="shared" si="27"/>
        <v>1095399.0901333361</v>
      </c>
    </row>
    <row r="79" spans="1:27" ht="12.75">
      <c r="A79" s="29">
        <v>2013</v>
      </c>
      <c r="C79" s="35">
        <f t="shared" si="28"/>
        <v>15421342.219999999</v>
      </c>
      <c r="D79" s="35">
        <v>0</v>
      </c>
      <c r="E79" s="35">
        <v>964107.39</v>
      </c>
      <c r="F79" s="35">
        <v>310167.89</v>
      </c>
      <c r="G79" s="35">
        <f t="shared" si="18"/>
        <v>16075281.719999999</v>
      </c>
      <c r="H79" s="28">
        <v>7.5</v>
      </c>
      <c r="I79" s="29"/>
      <c r="J79" s="29"/>
      <c r="M79" s="4">
        <f t="shared" si="14"/>
        <v>964107.39</v>
      </c>
      <c r="N79" s="4">
        <f t="shared" si="15"/>
        <v>310167.89</v>
      </c>
      <c r="O79" s="4">
        <f t="shared" si="16"/>
        <v>16075281.719999999</v>
      </c>
      <c r="R79" s="21">
        <f t="shared" si="25"/>
        <v>2013</v>
      </c>
      <c r="S79" s="4">
        <f t="shared" si="19"/>
        <v>964107.39</v>
      </c>
      <c r="T79">
        <f t="shared" si="20"/>
        <v>0</v>
      </c>
      <c r="U79">
        <f t="shared" si="21"/>
        <v>53</v>
      </c>
      <c r="V79" s="1" t="str">
        <f t="shared" si="22"/>
        <v>L0</v>
      </c>
      <c r="W79" s="2">
        <f t="shared" si="23"/>
        <v>18190.705471698115</v>
      </c>
      <c r="X79" s="2">
        <f t="shared" si="26"/>
        <v>0</v>
      </c>
      <c r="Y79" s="18">
        <f t="shared" si="17"/>
        <v>47.89147629082017</v>
      </c>
      <c r="Z79" s="18">
        <f t="shared" si="24"/>
        <v>0</v>
      </c>
      <c r="AA79" s="2">
        <f t="shared" si="27"/>
        <v>871179.739811123</v>
      </c>
    </row>
    <row r="80" spans="1:27" ht="12.75">
      <c r="A80" s="29">
        <v>2014</v>
      </c>
      <c r="C80" s="35">
        <f t="shared" si="28"/>
        <v>16075281.719999999</v>
      </c>
      <c r="D80" s="35">
        <v>-591</v>
      </c>
      <c r="E80" s="35">
        <v>1050006.05</v>
      </c>
      <c r="F80" s="35">
        <v>77255.04</v>
      </c>
      <c r="G80" s="35">
        <f t="shared" si="18"/>
        <v>17047441.73</v>
      </c>
      <c r="H80" s="28">
        <v>6.5</v>
      </c>
      <c r="I80" s="29"/>
      <c r="J80" s="29"/>
      <c r="M80" s="4">
        <f t="shared" si="14"/>
        <v>1049415.05</v>
      </c>
      <c r="N80" s="4">
        <f t="shared" si="15"/>
        <v>77255.04</v>
      </c>
      <c r="O80" s="4">
        <f t="shared" si="16"/>
        <v>17047441.73</v>
      </c>
      <c r="R80" s="21">
        <f t="shared" si="25"/>
        <v>2014</v>
      </c>
      <c r="S80" s="4">
        <f t="shared" si="19"/>
        <v>1050006.05</v>
      </c>
      <c r="T80">
        <f t="shared" si="20"/>
        <v>0</v>
      </c>
      <c r="U80">
        <f t="shared" si="21"/>
        <v>53</v>
      </c>
      <c r="V80" s="1" t="str">
        <f t="shared" si="22"/>
        <v>L0</v>
      </c>
      <c r="W80" s="2">
        <f t="shared" si="23"/>
        <v>19811.43490566038</v>
      </c>
      <c r="X80" s="2">
        <f t="shared" si="26"/>
        <v>0</v>
      </c>
      <c r="Y80" s="18">
        <f t="shared" si="17"/>
        <v>48.467656745440955</v>
      </c>
      <c r="Z80" s="18">
        <f t="shared" si="24"/>
        <v>0</v>
      </c>
      <c r="AA80" s="2">
        <f t="shared" si="27"/>
        <v>960213.8266421946</v>
      </c>
    </row>
    <row r="81" spans="1:27" ht="12.75">
      <c r="A81" s="29">
        <v>2015</v>
      </c>
      <c r="C81" s="35">
        <f t="shared" si="28"/>
        <v>17047441.73</v>
      </c>
      <c r="D81" s="35">
        <v>0</v>
      </c>
      <c r="E81" s="35">
        <v>693282.27</v>
      </c>
      <c r="F81" s="35">
        <v>184254.54</v>
      </c>
      <c r="G81" s="35">
        <f t="shared" si="18"/>
        <v>17556469.46</v>
      </c>
      <c r="H81" s="28">
        <v>5.5</v>
      </c>
      <c r="I81" s="29"/>
      <c r="J81" s="29"/>
      <c r="M81" s="4">
        <f t="shared" si="14"/>
        <v>693282.27</v>
      </c>
      <c r="N81" s="4">
        <f t="shared" si="15"/>
        <v>184254.54</v>
      </c>
      <c r="O81" s="4">
        <f t="shared" si="16"/>
        <v>17556469.46</v>
      </c>
      <c r="R81" s="21">
        <f t="shared" si="25"/>
        <v>2015</v>
      </c>
      <c r="S81" s="4">
        <f t="shared" si="19"/>
        <v>693282.27</v>
      </c>
      <c r="T81">
        <f t="shared" si="20"/>
        <v>0</v>
      </c>
      <c r="U81">
        <f t="shared" si="21"/>
        <v>53</v>
      </c>
      <c r="V81" s="1" t="str">
        <f t="shared" si="22"/>
        <v>L0</v>
      </c>
      <c r="W81" s="2">
        <f t="shared" si="23"/>
        <v>13080.797547169812</v>
      </c>
      <c r="X81" s="2">
        <f t="shared" si="26"/>
        <v>0</v>
      </c>
      <c r="Y81" s="18">
        <f t="shared" si="17"/>
        <v>49.066016627195836</v>
      </c>
      <c r="Z81" s="18">
        <f t="shared" si="24"/>
        <v>0</v>
      </c>
      <c r="AA81" s="2">
        <f t="shared" si="27"/>
        <v>641822.6299464165</v>
      </c>
    </row>
    <row r="82" spans="1:27" ht="12.75">
      <c r="A82" s="29">
        <v>2016</v>
      </c>
      <c r="C82" s="35">
        <f t="shared" si="28"/>
        <v>17556469.46</v>
      </c>
      <c r="D82" s="35">
        <v>0</v>
      </c>
      <c r="E82" s="35">
        <v>872250.66</v>
      </c>
      <c r="F82" s="35">
        <v>331700.02</v>
      </c>
      <c r="G82" s="35">
        <f t="shared" si="18"/>
        <v>18097020.1</v>
      </c>
      <c r="H82" s="28">
        <v>4.5</v>
      </c>
      <c r="I82" s="29"/>
      <c r="J82" s="29"/>
      <c r="M82" s="4">
        <f t="shared" si="14"/>
        <v>872250.66</v>
      </c>
      <c r="N82" s="4">
        <f t="shared" si="15"/>
        <v>331700.02</v>
      </c>
      <c r="O82" s="4">
        <f t="shared" si="16"/>
        <v>18097020.1</v>
      </c>
      <c r="R82" s="21">
        <f t="shared" si="25"/>
        <v>2016</v>
      </c>
      <c r="S82" s="4">
        <f t="shared" si="19"/>
        <v>872250.66</v>
      </c>
      <c r="T82">
        <f t="shared" si="20"/>
        <v>0</v>
      </c>
      <c r="U82">
        <f t="shared" si="21"/>
        <v>53</v>
      </c>
      <c r="V82" s="1" t="str">
        <f t="shared" si="22"/>
        <v>L0</v>
      </c>
      <c r="W82" s="2">
        <f t="shared" si="23"/>
        <v>16457.55962264151</v>
      </c>
      <c r="X82" s="2">
        <f t="shared" si="26"/>
        <v>0</v>
      </c>
      <c r="Y82" s="18">
        <f t="shared" si="17"/>
        <v>49.68967517590503</v>
      </c>
      <c r="Z82" s="18">
        <f t="shared" si="24"/>
        <v>0</v>
      </c>
      <c r="AA82" s="2">
        <f t="shared" si="27"/>
        <v>817770.7918371469</v>
      </c>
    </row>
    <row r="83" spans="1:27" ht="12.75">
      <c r="A83" s="29">
        <v>2017</v>
      </c>
      <c r="C83" s="35">
        <f t="shared" si="28"/>
        <v>18097020.1</v>
      </c>
      <c r="D83" s="35">
        <v>0</v>
      </c>
      <c r="E83" s="35">
        <v>996124.65</v>
      </c>
      <c r="F83" s="35">
        <v>220800.54</v>
      </c>
      <c r="G83" s="35">
        <f t="shared" si="18"/>
        <v>18872344.21</v>
      </c>
      <c r="H83" s="28">
        <v>3.5</v>
      </c>
      <c r="I83" s="29"/>
      <c r="J83" s="29"/>
      <c r="M83" s="4">
        <f t="shared" si="14"/>
        <v>996124.65</v>
      </c>
      <c r="N83" s="4">
        <f t="shared" si="15"/>
        <v>220800.54</v>
      </c>
      <c r="O83" s="4">
        <f t="shared" si="16"/>
        <v>18872344.21</v>
      </c>
      <c r="R83" s="21">
        <f t="shared" si="25"/>
        <v>2017</v>
      </c>
      <c r="S83" s="4">
        <f t="shared" si="19"/>
        <v>996124.65</v>
      </c>
      <c r="T83">
        <f t="shared" si="20"/>
        <v>0</v>
      </c>
      <c r="U83">
        <f t="shared" si="21"/>
        <v>53</v>
      </c>
      <c r="V83" s="1" t="str">
        <f t="shared" si="22"/>
        <v>L0</v>
      </c>
      <c r="W83" s="2">
        <f t="shared" si="23"/>
        <v>18794.804716981133</v>
      </c>
      <c r="X83" s="2">
        <f t="shared" si="26"/>
        <v>0</v>
      </c>
      <c r="Y83" s="18">
        <f t="shared" si="17"/>
        <v>50.34280262633567</v>
      </c>
      <c r="Z83" s="18">
        <f t="shared" si="24"/>
        <v>0</v>
      </c>
      <c r="AA83" s="2">
        <f t="shared" si="27"/>
        <v>946183.1442675038</v>
      </c>
    </row>
    <row r="84" spans="1:27" ht="12.75">
      <c r="A84" s="29">
        <v>2018</v>
      </c>
      <c r="C84" s="35">
        <f t="shared" si="28"/>
        <v>18872344.21</v>
      </c>
      <c r="D84" s="35">
        <v>0</v>
      </c>
      <c r="E84" s="35">
        <v>1226931.78</v>
      </c>
      <c r="F84" s="35">
        <v>231528.03</v>
      </c>
      <c r="G84" s="35">
        <f t="shared" si="18"/>
        <v>19867747.96</v>
      </c>
      <c r="H84" s="28">
        <v>2.5</v>
      </c>
      <c r="I84" s="29"/>
      <c r="J84" s="29"/>
      <c r="M84" s="4">
        <f t="shared" si="14"/>
        <v>1226931.78</v>
      </c>
      <c r="N84" s="4">
        <f t="shared" si="15"/>
        <v>231528.03</v>
      </c>
      <c r="O84" s="4">
        <f t="shared" si="16"/>
        <v>19867747.96</v>
      </c>
      <c r="R84" s="21">
        <f t="shared" si="25"/>
        <v>2018</v>
      </c>
      <c r="S84" s="4">
        <f t="shared" si="19"/>
        <v>1226931.78</v>
      </c>
      <c r="T84">
        <f t="shared" si="20"/>
        <v>0</v>
      </c>
      <c r="U84">
        <f t="shared" si="21"/>
        <v>53</v>
      </c>
      <c r="V84" s="1" t="str">
        <f t="shared" si="22"/>
        <v>L0</v>
      </c>
      <c r="W84" s="2">
        <f t="shared" si="23"/>
        <v>23149.656226415096</v>
      </c>
      <c r="X84" s="2">
        <f t="shared" si="26"/>
        <v>0</v>
      </c>
      <c r="Y84" s="18">
        <f t="shared" si="17"/>
        <v>51.03134234867238</v>
      </c>
      <c r="Z84" s="18">
        <f t="shared" si="24"/>
        <v>0</v>
      </c>
      <c r="AA84" s="2">
        <f t="shared" si="27"/>
        <v>1181358.032144264</v>
      </c>
    </row>
    <row r="85" spans="1:27" ht="12.75">
      <c r="A85" s="29">
        <v>2019</v>
      </c>
      <c r="C85" s="35">
        <f t="shared" si="28"/>
        <v>19867747.96</v>
      </c>
      <c r="D85" s="35">
        <v>0</v>
      </c>
      <c r="E85" s="35">
        <v>1260097.86</v>
      </c>
      <c r="F85" s="35">
        <v>58560.1</v>
      </c>
      <c r="G85" s="35">
        <f t="shared" si="18"/>
        <v>21069285.72</v>
      </c>
      <c r="H85" s="28">
        <v>1.5</v>
      </c>
      <c r="I85" s="29"/>
      <c r="J85" s="29"/>
      <c r="M85" s="4">
        <f t="shared" si="14"/>
        <v>1260097.86</v>
      </c>
      <c r="N85" s="4">
        <f t="shared" si="15"/>
        <v>58560.1</v>
      </c>
      <c r="O85" s="4">
        <f t="shared" si="16"/>
        <v>21069285.72</v>
      </c>
      <c r="R85" s="21">
        <f t="shared" si="25"/>
        <v>2019</v>
      </c>
      <c r="S85" s="4">
        <f t="shared" si="19"/>
        <v>1260097.86</v>
      </c>
      <c r="T85">
        <f t="shared" si="20"/>
        <v>0</v>
      </c>
      <c r="U85">
        <f t="shared" si="21"/>
        <v>53</v>
      </c>
      <c r="V85" s="1" t="str">
        <f t="shared" si="22"/>
        <v>L0</v>
      </c>
      <c r="W85" s="2">
        <f t="shared" si="23"/>
        <v>23775.43132075472</v>
      </c>
      <c r="X85" s="2">
        <f t="shared" si="26"/>
        <v>0</v>
      </c>
      <c r="Y85" s="18">
        <f t="shared" si="17"/>
        <v>51.764702272905474</v>
      </c>
      <c r="Z85" s="18">
        <f t="shared" si="24"/>
        <v>0</v>
      </c>
      <c r="AA85" s="2">
        <f t="shared" si="27"/>
        <v>1230728.1237287798</v>
      </c>
    </row>
    <row r="86" spans="1:27" ht="12.75">
      <c r="A86" s="29">
        <v>2020</v>
      </c>
      <c r="C86" s="35">
        <f t="shared" si="28"/>
        <v>21069285.72</v>
      </c>
      <c r="D86" s="35">
        <v>4910.34</v>
      </c>
      <c r="E86" s="35">
        <v>1502589.24</v>
      </c>
      <c r="F86" s="35">
        <v>56562.36</v>
      </c>
      <c r="G86" s="35">
        <f t="shared" si="18"/>
        <v>22520222.939999998</v>
      </c>
      <c r="H86" s="28">
        <v>0.5</v>
      </c>
      <c r="I86" s="29"/>
      <c r="J86" s="29"/>
      <c r="M86" s="4">
        <f t="shared" si="14"/>
        <v>1507499.58</v>
      </c>
      <c r="N86" s="4">
        <f t="shared" si="15"/>
        <v>56562.36</v>
      </c>
      <c r="O86" s="4">
        <f t="shared" si="16"/>
        <v>22520222.939999998</v>
      </c>
      <c r="R86" s="21">
        <f t="shared" si="25"/>
        <v>2020</v>
      </c>
      <c r="S86" s="4">
        <f t="shared" si="19"/>
        <v>1502589.24</v>
      </c>
      <c r="T86">
        <f t="shared" si="20"/>
        <v>0</v>
      </c>
      <c r="U86">
        <f t="shared" si="21"/>
        <v>53</v>
      </c>
      <c r="V86" s="1" t="str">
        <f t="shared" si="22"/>
        <v>L0</v>
      </c>
      <c r="W86" s="2">
        <f t="shared" si="23"/>
        <v>28350.740377358492</v>
      </c>
      <c r="X86" s="2">
        <f t="shared" si="26"/>
        <v>0</v>
      </c>
      <c r="Y86" s="18">
        <f t="shared" si="17"/>
        <v>52.56137366502619</v>
      </c>
      <c r="Z86" s="18">
        <f t="shared" si="24"/>
        <v>0</v>
      </c>
      <c r="AA86" s="2">
        <f t="shared" si="27"/>
        <v>1490153.8586544853</v>
      </c>
    </row>
    <row r="87" spans="3:27" ht="12.75">
      <c r="C87" s="8"/>
      <c r="D87" s="8"/>
      <c r="E87" s="8"/>
      <c r="F87" s="8"/>
      <c r="G87" s="8"/>
      <c r="W87" s="2"/>
      <c r="X87" s="2"/>
      <c r="AA87" s="2"/>
    </row>
    <row r="88" spans="7:27" ht="12.75">
      <c r="G88" s="4">
        <f>SUM(G82:G87)/5</f>
        <v>20085324.186</v>
      </c>
      <c r="I88" s="8"/>
      <c r="S88" s="4">
        <f>SUM(S6:S87)</f>
        <v>24583552.499999996</v>
      </c>
      <c r="T88" s="4">
        <f>SUM(T6:T87)</f>
        <v>0</v>
      </c>
      <c r="W88" s="2">
        <f>SUM(W6:W87)</f>
        <v>463840.61320754717</v>
      </c>
      <c r="X88" s="2">
        <f>SUM(X6:X87)</f>
        <v>0</v>
      </c>
      <c r="Y88" s="19">
        <f>AA88/W88</f>
        <v>45.1015480228348</v>
      </c>
      <c r="Z88" s="18"/>
      <c r="AA88" s="2">
        <f>SUM(AA6:AA87)</f>
        <v>20919929.691521328</v>
      </c>
    </row>
    <row r="90" spans="2:27" ht="12.75">
      <c r="B90" t="s">
        <v>7</v>
      </c>
      <c r="D90" s="4"/>
      <c r="G90" s="10"/>
      <c r="W90" t="s">
        <v>35</v>
      </c>
      <c r="AA90" s="15">
        <f>AA88/(W88+X88)</f>
        <v>45.1015480228348</v>
      </c>
    </row>
    <row r="92" spans="2:7" ht="12.75">
      <c r="B92" t="s">
        <v>8</v>
      </c>
      <c r="D92" s="8"/>
      <c r="G92" s="10"/>
    </row>
    <row r="93" spans="20:22" ht="12.75">
      <c r="T93" s="20" t="s">
        <v>26</v>
      </c>
      <c r="V93" s="32" t="s">
        <v>15</v>
      </c>
    </row>
    <row r="94" spans="2:22" ht="12.75">
      <c r="B94" t="s">
        <v>9</v>
      </c>
      <c r="G94">
        <v>0.03</v>
      </c>
      <c r="T94" s="20" t="s">
        <v>11</v>
      </c>
      <c r="V94">
        <v>53</v>
      </c>
    </row>
    <row r="96" ht="12.75">
      <c r="B96" t="s">
        <v>10</v>
      </c>
    </row>
    <row r="98" spans="3:11" ht="12.75">
      <c r="C98" s="24"/>
      <c r="D98" s="23"/>
      <c r="E98" s="23"/>
      <c r="F98" s="23"/>
      <c r="G98" s="23"/>
      <c r="H98" s="23"/>
      <c r="I98" s="23"/>
      <c r="J98" s="23"/>
      <c r="K98" s="23"/>
    </row>
    <row r="99" spans="3:11" ht="12.75">
      <c r="C99" s="24"/>
      <c r="D99" s="43"/>
      <c r="E99" s="23"/>
      <c r="F99" s="23"/>
      <c r="G99" s="23"/>
      <c r="H99" s="23"/>
      <c r="I99" s="23"/>
      <c r="J99" s="23"/>
      <c r="K99" s="16"/>
    </row>
    <row r="100" spans="3:11" ht="12.75">
      <c r="C100" s="24"/>
      <c r="D100" s="24"/>
      <c r="E100" s="24"/>
      <c r="F100" s="42"/>
      <c r="G100" s="42"/>
      <c r="H100" s="44"/>
      <c r="I100" s="44"/>
      <c r="J100" s="44"/>
      <c r="K100" s="24"/>
    </row>
    <row r="101" spans="3:11" ht="12.75">
      <c r="C101" s="24"/>
      <c r="D101" s="24"/>
      <c r="E101" s="24"/>
      <c r="F101" s="42"/>
      <c r="G101" s="42"/>
      <c r="H101" s="44"/>
      <c r="I101" s="44"/>
      <c r="J101" s="44"/>
      <c r="K101" s="24"/>
    </row>
    <row r="102" spans="3:11" ht="12.75">
      <c r="C102" s="24"/>
      <c r="D102" s="24"/>
      <c r="E102" s="24"/>
      <c r="F102" s="42"/>
      <c r="G102" s="42"/>
      <c r="H102" s="44"/>
      <c r="I102" s="44"/>
      <c r="J102" s="44"/>
      <c r="K102" s="24"/>
    </row>
    <row r="103" spans="3:11" ht="12.75">
      <c r="C103" s="24"/>
      <c r="D103" s="24"/>
      <c r="E103" s="24"/>
      <c r="F103" s="42"/>
      <c r="G103" s="42"/>
      <c r="H103" s="44"/>
      <c r="I103" s="44"/>
      <c r="J103" s="44"/>
      <c r="K103" s="24"/>
    </row>
    <row r="104" spans="3:11" ht="12.75">
      <c r="C104" s="24"/>
      <c r="D104" s="24"/>
      <c r="E104" s="24"/>
      <c r="F104" s="42"/>
      <c r="G104" s="42"/>
      <c r="H104" s="44"/>
      <c r="I104" s="44"/>
      <c r="J104" s="44"/>
      <c r="K104" s="24"/>
    </row>
    <row r="105" spans="3:11" ht="12.75">
      <c r="C105" s="24"/>
      <c r="D105" s="24"/>
      <c r="E105" s="24"/>
      <c r="F105" s="42"/>
      <c r="G105" s="42"/>
      <c r="H105" s="44"/>
      <c r="I105" s="44"/>
      <c r="J105" s="44"/>
      <c r="K105" s="24"/>
    </row>
    <row r="106" spans="3:11" ht="12.75">
      <c r="C106" s="24"/>
      <c r="D106" s="24"/>
      <c r="E106" s="24"/>
      <c r="F106" s="42"/>
      <c r="G106" s="42"/>
      <c r="H106" s="44"/>
      <c r="I106" s="44"/>
      <c r="J106" s="44"/>
      <c r="K106" s="24"/>
    </row>
    <row r="107" spans="3:11" ht="12.75">
      <c r="C107" s="24"/>
      <c r="D107" s="24"/>
      <c r="E107" s="24"/>
      <c r="F107" s="42"/>
      <c r="G107" s="42"/>
      <c r="H107" s="44"/>
      <c r="I107" s="44"/>
      <c r="J107" s="44"/>
      <c r="K107" s="24"/>
    </row>
    <row r="108" spans="3:11" ht="12.75">
      <c r="C108" s="24"/>
      <c r="D108" s="24"/>
      <c r="E108" s="24"/>
      <c r="F108" s="42"/>
      <c r="G108" s="42"/>
      <c r="H108" s="44"/>
      <c r="I108" s="44"/>
      <c r="J108" s="44"/>
      <c r="K108" s="24"/>
    </row>
    <row r="109" spans="3:11" ht="12.75">
      <c r="C109" s="24"/>
      <c r="D109" s="24"/>
      <c r="E109" s="24"/>
      <c r="F109" s="42"/>
      <c r="G109" s="42"/>
      <c r="H109" s="44"/>
      <c r="I109" s="44"/>
      <c r="J109" s="44"/>
      <c r="K109" s="24"/>
    </row>
    <row r="110" spans="3:11" ht="12.75">
      <c r="C110" s="24"/>
      <c r="D110" s="24"/>
      <c r="E110" s="24"/>
      <c r="F110" s="42"/>
      <c r="G110" s="42"/>
      <c r="H110" s="44"/>
      <c r="I110" s="44"/>
      <c r="J110" s="44"/>
      <c r="K110" s="24"/>
    </row>
    <row r="111" spans="3:11" ht="12.75">
      <c r="C111" s="24"/>
      <c r="D111" s="24"/>
      <c r="E111" s="24"/>
      <c r="F111" s="42"/>
      <c r="G111" s="42"/>
      <c r="H111" s="44"/>
      <c r="I111" s="44"/>
      <c r="J111" s="44"/>
      <c r="K111" s="24"/>
    </row>
    <row r="112" spans="3:11" ht="12.75">
      <c r="C112" s="24"/>
      <c r="D112" s="24"/>
      <c r="E112" s="24"/>
      <c r="F112" s="42"/>
      <c r="G112" s="42"/>
      <c r="H112" s="44"/>
      <c r="I112" s="44"/>
      <c r="J112" s="44"/>
      <c r="K112" s="24"/>
    </row>
    <row r="113" spans="3:11" ht="12.75">
      <c r="C113" s="24"/>
      <c r="D113" s="24"/>
      <c r="E113" s="24"/>
      <c r="F113" s="42"/>
      <c r="G113" s="42"/>
      <c r="H113" s="44"/>
      <c r="I113" s="44"/>
      <c r="J113" s="44"/>
      <c r="K113" s="24"/>
    </row>
    <row r="114" spans="3:11" ht="12.75">
      <c r="C114" s="24"/>
      <c r="D114" s="24"/>
      <c r="E114" s="24"/>
      <c r="F114" s="42"/>
      <c r="G114" s="42"/>
      <c r="H114" s="44"/>
      <c r="I114" s="44"/>
      <c r="J114" s="44"/>
      <c r="K114" s="24"/>
    </row>
    <row r="115" spans="3:11" ht="12.75">
      <c r="C115" s="24"/>
      <c r="D115" s="24"/>
      <c r="E115" s="24"/>
      <c r="F115" s="42"/>
      <c r="G115" s="42"/>
      <c r="H115" s="44"/>
      <c r="I115" s="44"/>
      <c r="J115" s="44"/>
      <c r="K115" s="24"/>
    </row>
    <row r="116" spans="3:11" ht="12.75">
      <c r="C116" s="24"/>
      <c r="D116" s="24"/>
      <c r="E116" s="24"/>
      <c r="F116" s="42"/>
      <c r="G116" s="42"/>
      <c r="H116" s="44"/>
      <c r="I116" s="44"/>
      <c r="J116" s="44"/>
      <c r="K116" s="24"/>
    </row>
    <row r="117" spans="3:11" ht="12.75">
      <c r="C117" s="24"/>
      <c r="D117" s="24"/>
      <c r="E117" s="24"/>
      <c r="F117" s="42"/>
      <c r="G117" s="42"/>
      <c r="H117" s="44"/>
      <c r="I117" s="44"/>
      <c r="J117" s="44"/>
      <c r="K117" s="24"/>
    </row>
    <row r="118" spans="3:11" ht="12.75">
      <c r="C118" s="24"/>
      <c r="D118" s="24"/>
      <c r="E118" s="24"/>
      <c r="F118" s="42"/>
      <c r="G118" s="42"/>
      <c r="H118" s="44"/>
      <c r="I118" s="44"/>
      <c r="J118" s="44"/>
      <c r="K118" s="24"/>
    </row>
    <row r="119" spans="3:11" ht="12.75">
      <c r="C119" s="24"/>
      <c r="D119" s="24"/>
      <c r="E119" s="24"/>
      <c r="F119" s="42"/>
      <c r="G119" s="42"/>
      <c r="H119" s="44"/>
      <c r="I119" s="44"/>
      <c r="J119" s="44"/>
      <c r="K119" s="24"/>
    </row>
    <row r="120" spans="3:11" ht="12.75">
      <c r="C120" s="24"/>
      <c r="D120" s="24"/>
      <c r="E120" s="24"/>
      <c r="F120" s="42"/>
      <c r="G120" s="42"/>
      <c r="H120" s="44"/>
      <c r="I120" s="44"/>
      <c r="J120" s="44"/>
      <c r="K120" s="24"/>
    </row>
    <row r="121" spans="3:11" ht="12.75">
      <c r="C121" s="24"/>
      <c r="D121" s="24"/>
      <c r="E121" s="24"/>
      <c r="F121" s="42"/>
      <c r="G121" s="42"/>
      <c r="H121" s="44"/>
      <c r="I121" s="44"/>
      <c r="J121" s="44"/>
      <c r="K121" s="24"/>
    </row>
    <row r="124" spans="4:5" ht="12.75">
      <c r="D124" s="33" t="s">
        <v>36</v>
      </c>
      <c r="E124" s="34">
        <v>40270</v>
      </c>
    </row>
  </sheetData>
  <sheetProtection/>
  <printOptions/>
  <pageMargins left="0.7" right="0.49" top="1.44" bottom="1" header="0.5" footer="0.5"/>
  <pageSetup horizontalDpi="600" verticalDpi="600" orientation="portrait" scale="95" r:id="rId1"/>
  <headerFooter alignWithMargins="0">
    <oddHeader>&amp;C&amp;"Arial,Bold"&amp;12Delta Natural Gas Company
Account Investment Summary
Account 380 -- Services</oddHeader>
  </headerFooter>
  <rowBreaks count="1" manualBreakCount="1">
    <brk id="97" max="255" man="1"/>
  </rowBreaks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00B050"/>
  </sheetPr>
  <dimension ref="A1:AA125"/>
  <sheetViews>
    <sheetView zoomScalePageLayoutView="0" workbookViewId="0" topLeftCell="A81">
      <selection activeCell="C98" sqref="C98:J121"/>
    </sheetView>
  </sheetViews>
  <sheetFormatPr defaultColWidth="9.140625" defaultRowHeight="12.75"/>
  <cols>
    <col min="3" max="6" width="13.421875" style="0" customWidth="1"/>
    <col min="7" max="7" width="21.57421875" style="0" customWidth="1"/>
    <col min="9" max="9" width="12.8515625" style="0" bestFit="1" customWidth="1"/>
    <col min="13" max="13" width="13.140625" style="0" customWidth="1"/>
    <col min="19" max="19" width="11.8515625" style="0" customWidth="1"/>
    <col min="22" max="22" width="13.7109375" style="0" customWidth="1"/>
    <col min="23" max="27" width="17.8515625" style="0" customWidth="1"/>
  </cols>
  <sheetData>
    <row r="1" ht="12.75">
      <c r="R1" s="22"/>
    </row>
    <row r="2" spans="3:27" ht="12.75">
      <c r="C2" s="3" t="s">
        <v>0</v>
      </c>
      <c r="D2" s="3"/>
      <c r="E2" s="3"/>
      <c r="F2" s="3"/>
      <c r="G2" s="3" t="s">
        <v>0</v>
      </c>
      <c r="I2" s="3" t="s">
        <v>2</v>
      </c>
      <c r="V2" s="3" t="s">
        <v>30</v>
      </c>
      <c r="W2" s="16" t="s">
        <v>32</v>
      </c>
      <c r="X2" s="16" t="s">
        <v>32</v>
      </c>
      <c r="Y2" s="16" t="s">
        <v>33</v>
      </c>
      <c r="Z2" s="16" t="s">
        <v>33</v>
      </c>
      <c r="AA2" s="3" t="s">
        <v>34</v>
      </c>
    </row>
    <row r="3" spans="1:27" ht="13.5" thickBot="1">
      <c r="A3" s="14" t="s">
        <v>5</v>
      </c>
      <c r="B3" s="12"/>
      <c r="C3" s="13" t="s">
        <v>1</v>
      </c>
      <c r="D3" s="13" t="s">
        <v>2</v>
      </c>
      <c r="E3" s="13" t="s">
        <v>3</v>
      </c>
      <c r="F3" s="13" t="s">
        <v>4</v>
      </c>
      <c r="G3" s="13" t="s">
        <v>1</v>
      </c>
      <c r="H3" s="12"/>
      <c r="I3" s="13" t="s">
        <v>21</v>
      </c>
      <c r="J3" s="13" t="s">
        <v>22</v>
      </c>
      <c r="R3" s="14" t="s">
        <v>6</v>
      </c>
      <c r="S3" s="17" t="s">
        <v>3</v>
      </c>
      <c r="T3" s="13" t="s">
        <v>27</v>
      </c>
      <c r="U3" s="17" t="s">
        <v>11</v>
      </c>
      <c r="V3" s="17" t="s">
        <v>31</v>
      </c>
      <c r="W3" s="17" t="s">
        <v>28</v>
      </c>
      <c r="X3" s="17" t="s">
        <v>29</v>
      </c>
      <c r="Y3" s="17" t="s">
        <v>28</v>
      </c>
      <c r="Z3" s="17" t="s">
        <v>29</v>
      </c>
      <c r="AA3" s="17" t="s">
        <v>25</v>
      </c>
    </row>
    <row r="4" spans="3:7" ht="12.75">
      <c r="C4" s="1"/>
      <c r="D4" s="1"/>
      <c r="E4" s="1"/>
      <c r="F4" s="1"/>
      <c r="G4" s="1"/>
    </row>
    <row r="5" spans="3:7" ht="12.75">
      <c r="C5" s="1"/>
      <c r="D5" s="1"/>
      <c r="E5" s="1"/>
      <c r="F5" s="1"/>
      <c r="G5" s="1"/>
    </row>
    <row r="6" spans="1:27" ht="12.75">
      <c r="A6">
        <v>1940</v>
      </c>
      <c r="C6" s="36">
        <v>0</v>
      </c>
      <c r="D6" s="36">
        <v>0</v>
      </c>
      <c r="E6" s="36">
        <v>1300</v>
      </c>
      <c r="F6" s="36">
        <v>0</v>
      </c>
      <c r="G6" s="36">
        <f aca="true" t="shared" si="0" ref="G6:G51">C6+D6+E6-F6</f>
        <v>1300</v>
      </c>
      <c r="H6" s="27">
        <v>80.5</v>
      </c>
      <c r="I6" s="25">
        <v>0</v>
      </c>
      <c r="J6" s="25">
        <f aca="true" t="shared" si="1" ref="J6:J51">IF(I6=0,0,ROUND((I6/D6/$G$94)+H6,1))</f>
        <v>0</v>
      </c>
      <c r="M6" s="38">
        <f>D6+E6</f>
        <v>1300</v>
      </c>
      <c r="R6" s="21">
        <f>A6</f>
        <v>1940</v>
      </c>
      <c r="S6" s="4">
        <f aca="true" t="shared" si="2" ref="S6:S37">E6</f>
        <v>1300</v>
      </c>
      <c r="T6">
        <f aca="true" t="shared" si="3" ref="T6:T37">IF(D6&gt;0,IF(J6&gt;0,D6,0),0)</f>
        <v>0</v>
      </c>
      <c r="U6">
        <f aca="true" t="shared" si="4" ref="U6:U37">$V$94</f>
        <v>46</v>
      </c>
      <c r="V6" s="1" t="str">
        <f aca="true" t="shared" si="5" ref="V6:V37">$V$93</f>
        <v>O2</v>
      </c>
      <c r="W6" s="2">
        <f aca="true" t="shared" si="6" ref="W6:W37">S6/U6</f>
        <v>28.26086956521739</v>
      </c>
      <c r="X6" s="2">
        <f>T6/U6</f>
        <v>0</v>
      </c>
      <c r="Y6" s="18">
        <f aca="true" t="shared" si="7" ref="Y6:Y37">Prob_life(V6,H6,U6)</f>
        <v>24.73805250173549</v>
      </c>
      <c r="Z6" s="18">
        <f aca="true" t="shared" si="8" ref="Z6:Z37">IF(J6&gt;0,Prob_life(V6,J6+0.5,U6),0)</f>
        <v>0</v>
      </c>
      <c r="AA6" s="2">
        <f>W6*Y6+X6*Z6</f>
        <v>699.1188750490464</v>
      </c>
    </row>
    <row r="7" spans="1:27" ht="12.75">
      <c r="A7">
        <v>1941</v>
      </c>
      <c r="C7" s="36">
        <f aca="true" t="shared" si="9" ref="C7:C51">G6</f>
        <v>1300</v>
      </c>
      <c r="D7" s="36">
        <v>0</v>
      </c>
      <c r="E7" s="36">
        <v>0</v>
      </c>
      <c r="F7" s="36">
        <v>0</v>
      </c>
      <c r="G7" s="36">
        <f t="shared" si="0"/>
        <v>1300</v>
      </c>
      <c r="H7" s="27">
        <v>79.5</v>
      </c>
      <c r="I7" s="25">
        <v>0</v>
      </c>
      <c r="J7" s="25">
        <f t="shared" si="1"/>
        <v>0</v>
      </c>
      <c r="M7" s="38">
        <f aca="true" t="shared" si="10" ref="M7:M70">D7+E7</f>
        <v>0</v>
      </c>
      <c r="R7" s="21">
        <f aca="true" t="shared" si="11" ref="R7:R68">A7</f>
        <v>1941</v>
      </c>
      <c r="S7" s="4">
        <f t="shared" si="2"/>
        <v>0</v>
      </c>
      <c r="T7">
        <f t="shared" si="3"/>
        <v>0</v>
      </c>
      <c r="U7">
        <f t="shared" si="4"/>
        <v>46</v>
      </c>
      <c r="V7" s="1" t="str">
        <f t="shared" si="5"/>
        <v>O2</v>
      </c>
      <c r="W7" s="2">
        <f t="shared" si="6"/>
        <v>0</v>
      </c>
      <c r="X7" s="2">
        <f aca="true" t="shared" si="12" ref="X7:X68">T7/U7</f>
        <v>0</v>
      </c>
      <c r="Y7" s="18">
        <f t="shared" si="7"/>
        <v>24.936336408965307</v>
      </c>
      <c r="Z7" s="18">
        <f t="shared" si="8"/>
        <v>0</v>
      </c>
      <c r="AA7" s="2">
        <f aca="true" t="shared" si="13" ref="AA7:AA68">W7*Y7+X7*Z7</f>
        <v>0</v>
      </c>
    </row>
    <row r="8" spans="1:27" ht="12.75">
      <c r="A8">
        <v>1942</v>
      </c>
      <c r="C8" s="36">
        <f t="shared" si="9"/>
        <v>1300</v>
      </c>
      <c r="D8" s="36">
        <v>0</v>
      </c>
      <c r="E8" s="36">
        <v>0</v>
      </c>
      <c r="F8" s="36">
        <v>0</v>
      </c>
      <c r="G8" s="36">
        <f t="shared" si="0"/>
        <v>1300</v>
      </c>
      <c r="H8" s="27">
        <v>78.5</v>
      </c>
      <c r="I8" s="25">
        <v>0</v>
      </c>
      <c r="J8" s="25">
        <f t="shared" si="1"/>
        <v>0</v>
      </c>
      <c r="M8" s="38">
        <f t="shared" si="10"/>
        <v>0</v>
      </c>
      <c r="R8" s="21">
        <f t="shared" si="11"/>
        <v>1942</v>
      </c>
      <c r="S8" s="4">
        <f t="shared" si="2"/>
        <v>0</v>
      </c>
      <c r="T8">
        <f t="shared" si="3"/>
        <v>0</v>
      </c>
      <c r="U8">
        <f t="shared" si="4"/>
        <v>46</v>
      </c>
      <c r="V8" s="1" t="str">
        <f t="shared" si="5"/>
        <v>O2</v>
      </c>
      <c r="W8" s="2">
        <f t="shared" si="6"/>
        <v>0</v>
      </c>
      <c r="X8" s="2">
        <f t="shared" si="12"/>
        <v>0</v>
      </c>
      <c r="Y8" s="18">
        <f t="shared" si="7"/>
        <v>25.123937533909743</v>
      </c>
      <c r="Z8" s="18">
        <f t="shared" si="8"/>
        <v>0</v>
      </c>
      <c r="AA8" s="2">
        <f t="shared" si="13"/>
        <v>0</v>
      </c>
    </row>
    <row r="9" spans="1:27" ht="12.75">
      <c r="A9">
        <v>1943</v>
      </c>
      <c r="C9" s="36">
        <f t="shared" si="9"/>
        <v>1300</v>
      </c>
      <c r="D9" s="36">
        <v>0</v>
      </c>
      <c r="E9" s="36">
        <v>0</v>
      </c>
      <c r="F9" s="36">
        <v>0</v>
      </c>
      <c r="G9" s="36">
        <f t="shared" si="0"/>
        <v>1300</v>
      </c>
      <c r="H9" s="27">
        <v>77.5</v>
      </c>
      <c r="I9" s="25">
        <v>0</v>
      </c>
      <c r="J9" s="25">
        <f t="shared" si="1"/>
        <v>0</v>
      </c>
      <c r="M9" s="38">
        <f t="shared" si="10"/>
        <v>0</v>
      </c>
      <c r="R9" s="21">
        <f t="shared" si="11"/>
        <v>1943</v>
      </c>
      <c r="S9" s="4">
        <f t="shared" si="2"/>
        <v>0</v>
      </c>
      <c r="T9">
        <f t="shared" si="3"/>
        <v>0</v>
      </c>
      <c r="U9">
        <f t="shared" si="4"/>
        <v>46</v>
      </c>
      <c r="V9" s="1" t="str">
        <f t="shared" si="5"/>
        <v>O2</v>
      </c>
      <c r="W9" s="2">
        <f t="shared" si="6"/>
        <v>0</v>
      </c>
      <c r="X9" s="2">
        <f t="shared" si="12"/>
        <v>0</v>
      </c>
      <c r="Y9" s="18">
        <f t="shared" si="7"/>
        <v>25.3008751440537</v>
      </c>
      <c r="Z9" s="18">
        <f t="shared" si="8"/>
        <v>0</v>
      </c>
      <c r="AA9" s="2">
        <f t="shared" si="13"/>
        <v>0</v>
      </c>
    </row>
    <row r="10" spans="1:27" ht="12.75">
      <c r="A10">
        <v>1944</v>
      </c>
      <c r="C10" s="36">
        <f t="shared" si="9"/>
        <v>1300</v>
      </c>
      <c r="D10" s="36">
        <v>0</v>
      </c>
      <c r="E10" s="36">
        <v>0</v>
      </c>
      <c r="F10" s="36">
        <v>0</v>
      </c>
      <c r="G10" s="36">
        <f t="shared" si="0"/>
        <v>1300</v>
      </c>
      <c r="H10" s="27">
        <v>76.5</v>
      </c>
      <c r="I10" s="25">
        <v>0</v>
      </c>
      <c r="J10" s="25">
        <f t="shared" si="1"/>
        <v>0</v>
      </c>
      <c r="M10" s="38">
        <f t="shared" si="10"/>
        <v>0</v>
      </c>
      <c r="R10" s="21">
        <f t="shared" si="11"/>
        <v>1944</v>
      </c>
      <c r="S10" s="4">
        <f t="shared" si="2"/>
        <v>0</v>
      </c>
      <c r="T10">
        <f t="shared" si="3"/>
        <v>0</v>
      </c>
      <c r="U10">
        <f t="shared" si="4"/>
        <v>46</v>
      </c>
      <c r="V10" s="1" t="str">
        <f t="shared" si="5"/>
        <v>O2</v>
      </c>
      <c r="W10" s="2">
        <f t="shared" si="6"/>
        <v>0</v>
      </c>
      <c r="X10" s="2">
        <f t="shared" si="12"/>
        <v>0</v>
      </c>
      <c r="Y10" s="18">
        <f t="shared" si="7"/>
        <v>25.467225215778488</v>
      </c>
      <c r="Z10" s="18">
        <f t="shared" si="8"/>
        <v>0</v>
      </c>
      <c r="AA10" s="2">
        <f t="shared" si="13"/>
        <v>0</v>
      </c>
    </row>
    <row r="11" spans="1:27" ht="12.75">
      <c r="A11">
        <v>1945</v>
      </c>
      <c r="C11" s="36">
        <f t="shared" si="9"/>
        <v>1300</v>
      </c>
      <c r="D11" s="36">
        <v>0</v>
      </c>
      <c r="E11" s="36">
        <v>0</v>
      </c>
      <c r="F11" s="36">
        <v>0</v>
      </c>
      <c r="G11" s="36">
        <f t="shared" si="0"/>
        <v>1300</v>
      </c>
      <c r="H11" s="27">
        <v>75.5</v>
      </c>
      <c r="I11" s="25">
        <v>0</v>
      </c>
      <c r="J11" s="25">
        <f t="shared" si="1"/>
        <v>0</v>
      </c>
      <c r="M11" s="38">
        <f t="shared" si="10"/>
        <v>0</v>
      </c>
      <c r="R11" s="21">
        <f t="shared" si="11"/>
        <v>1945</v>
      </c>
      <c r="S11" s="4">
        <f t="shared" si="2"/>
        <v>0</v>
      </c>
      <c r="T11">
        <f t="shared" si="3"/>
        <v>0</v>
      </c>
      <c r="U11">
        <f t="shared" si="4"/>
        <v>46</v>
      </c>
      <c r="V11" s="1" t="str">
        <f t="shared" si="5"/>
        <v>O2</v>
      </c>
      <c r="W11" s="2">
        <f t="shared" si="6"/>
        <v>0</v>
      </c>
      <c r="X11" s="2">
        <f t="shared" si="12"/>
        <v>0</v>
      </c>
      <c r="Y11" s="18">
        <f t="shared" si="7"/>
        <v>25.623127368159846</v>
      </c>
      <c r="Z11" s="18">
        <f t="shared" si="8"/>
        <v>0</v>
      </c>
      <c r="AA11" s="2">
        <f t="shared" si="13"/>
        <v>0</v>
      </c>
    </row>
    <row r="12" spans="1:27" ht="12.75">
      <c r="A12">
        <v>1946</v>
      </c>
      <c r="C12" s="36">
        <f t="shared" si="9"/>
        <v>1300</v>
      </c>
      <c r="D12" s="36">
        <v>0</v>
      </c>
      <c r="E12" s="36">
        <v>0</v>
      </c>
      <c r="F12" s="36">
        <v>0</v>
      </c>
      <c r="G12" s="36">
        <f t="shared" si="0"/>
        <v>1300</v>
      </c>
      <c r="H12" s="27">
        <v>74.5</v>
      </c>
      <c r="I12" s="25">
        <v>0</v>
      </c>
      <c r="J12" s="25">
        <f t="shared" si="1"/>
        <v>0</v>
      </c>
      <c r="M12" s="38">
        <f t="shared" si="10"/>
        <v>0</v>
      </c>
      <c r="R12" s="21">
        <f t="shared" si="11"/>
        <v>1946</v>
      </c>
      <c r="S12" s="4">
        <f t="shared" si="2"/>
        <v>0</v>
      </c>
      <c r="T12">
        <f t="shared" si="3"/>
        <v>0</v>
      </c>
      <c r="U12">
        <f t="shared" si="4"/>
        <v>46</v>
      </c>
      <c r="V12" s="1" t="str">
        <f t="shared" si="5"/>
        <v>O2</v>
      </c>
      <c r="W12" s="2">
        <f t="shared" si="6"/>
        <v>0</v>
      </c>
      <c r="X12" s="2">
        <f t="shared" si="12"/>
        <v>0</v>
      </c>
      <c r="Y12" s="18">
        <f t="shared" si="7"/>
        <v>25.768791906984973</v>
      </c>
      <c r="Z12" s="18">
        <f t="shared" si="8"/>
        <v>0</v>
      </c>
      <c r="AA12" s="2">
        <f t="shared" si="13"/>
        <v>0</v>
      </c>
    </row>
    <row r="13" spans="1:27" ht="12.75">
      <c r="A13">
        <v>1947</v>
      </c>
      <c r="C13" s="36">
        <f t="shared" si="9"/>
        <v>1300</v>
      </c>
      <c r="D13" s="36">
        <v>0</v>
      </c>
      <c r="E13" s="36">
        <v>1361</v>
      </c>
      <c r="F13" s="36">
        <v>0</v>
      </c>
      <c r="G13" s="36">
        <f t="shared" si="0"/>
        <v>2661</v>
      </c>
      <c r="H13" s="27">
        <v>73.5</v>
      </c>
      <c r="I13" s="25">
        <v>0</v>
      </c>
      <c r="J13" s="25">
        <f t="shared" si="1"/>
        <v>0</v>
      </c>
      <c r="M13" s="38">
        <f t="shared" si="10"/>
        <v>1361</v>
      </c>
      <c r="R13" s="21">
        <f t="shared" si="11"/>
        <v>1947</v>
      </c>
      <c r="S13" s="4">
        <f t="shared" si="2"/>
        <v>1361</v>
      </c>
      <c r="T13">
        <f t="shared" si="3"/>
        <v>0</v>
      </c>
      <c r="U13">
        <f t="shared" si="4"/>
        <v>46</v>
      </c>
      <c r="V13" s="1" t="str">
        <f t="shared" si="5"/>
        <v>O2</v>
      </c>
      <c r="W13" s="2">
        <f t="shared" si="6"/>
        <v>29.58695652173913</v>
      </c>
      <c r="X13" s="2">
        <f t="shared" si="12"/>
        <v>0</v>
      </c>
      <c r="Y13" s="18">
        <f t="shared" si="7"/>
        <v>25.904506792702396</v>
      </c>
      <c r="Z13" s="18">
        <f t="shared" si="8"/>
        <v>0</v>
      </c>
      <c r="AA13" s="2">
        <f t="shared" si="13"/>
        <v>766.4355161927817</v>
      </c>
    </row>
    <row r="14" spans="1:27" ht="12.75">
      <c r="A14">
        <v>1948</v>
      </c>
      <c r="C14" s="36">
        <f t="shared" si="9"/>
        <v>2661</v>
      </c>
      <c r="D14" s="36">
        <v>0</v>
      </c>
      <c r="E14" s="36">
        <v>7200</v>
      </c>
      <c r="F14" s="36">
        <v>0</v>
      </c>
      <c r="G14" s="36">
        <f t="shared" si="0"/>
        <v>9861</v>
      </c>
      <c r="H14" s="27">
        <v>72.5</v>
      </c>
      <c r="I14" s="25">
        <v>0</v>
      </c>
      <c r="J14" s="25">
        <f t="shared" si="1"/>
        <v>0</v>
      </c>
      <c r="M14" s="38">
        <f t="shared" si="10"/>
        <v>7200</v>
      </c>
      <c r="R14" s="21">
        <f t="shared" si="11"/>
        <v>1948</v>
      </c>
      <c r="S14" s="4">
        <f t="shared" si="2"/>
        <v>7200</v>
      </c>
      <c r="T14">
        <f t="shared" si="3"/>
        <v>0</v>
      </c>
      <c r="U14">
        <f t="shared" si="4"/>
        <v>46</v>
      </c>
      <c r="V14" s="1" t="str">
        <f t="shared" si="5"/>
        <v>O2</v>
      </c>
      <c r="W14" s="2">
        <f t="shared" si="6"/>
        <v>156.52173913043478</v>
      </c>
      <c r="X14" s="2">
        <f t="shared" si="12"/>
        <v>0</v>
      </c>
      <c r="Y14" s="18">
        <f t="shared" si="7"/>
        <v>26.030644294046716</v>
      </c>
      <c r="Z14" s="18">
        <f t="shared" si="8"/>
        <v>0</v>
      </c>
      <c r="AA14" s="2">
        <f t="shared" si="13"/>
        <v>4074.361715589921</v>
      </c>
    </row>
    <row r="15" spans="1:27" ht="12.75">
      <c r="A15">
        <v>1949</v>
      </c>
      <c r="C15" s="36">
        <f t="shared" si="9"/>
        <v>9861</v>
      </c>
      <c r="D15" s="36">
        <v>0</v>
      </c>
      <c r="E15" s="36">
        <v>12983</v>
      </c>
      <c r="F15" s="36">
        <v>0</v>
      </c>
      <c r="G15" s="36">
        <f t="shared" si="0"/>
        <v>22844</v>
      </c>
      <c r="H15" s="27">
        <v>71.5</v>
      </c>
      <c r="I15" s="25">
        <v>0</v>
      </c>
      <c r="J15" s="25">
        <f t="shared" si="1"/>
        <v>0</v>
      </c>
      <c r="M15" s="38">
        <f t="shared" si="10"/>
        <v>12983</v>
      </c>
      <c r="R15" s="21">
        <f t="shared" si="11"/>
        <v>1949</v>
      </c>
      <c r="S15" s="4">
        <f t="shared" si="2"/>
        <v>12983</v>
      </c>
      <c r="T15">
        <f t="shared" si="3"/>
        <v>0</v>
      </c>
      <c r="U15">
        <f t="shared" si="4"/>
        <v>46</v>
      </c>
      <c r="V15" s="1" t="str">
        <f t="shared" si="5"/>
        <v>O2</v>
      </c>
      <c r="W15" s="2">
        <f t="shared" si="6"/>
        <v>282.2391304347826</v>
      </c>
      <c r="X15" s="2">
        <f t="shared" si="12"/>
        <v>0</v>
      </c>
      <c r="Y15" s="18">
        <f t="shared" si="7"/>
        <v>26.147667034343883</v>
      </c>
      <c r="Z15" s="18">
        <f t="shared" si="8"/>
        <v>0</v>
      </c>
      <c r="AA15" s="2">
        <f t="shared" si="13"/>
        <v>7379.894806671449</v>
      </c>
    </row>
    <row r="16" spans="1:27" ht="12.75">
      <c r="A16">
        <v>1950</v>
      </c>
      <c r="C16" s="36">
        <f t="shared" si="9"/>
        <v>22844</v>
      </c>
      <c r="D16" s="36">
        <v>0</v>
      </c>
      <c r="E16" s="36">
        <v>11515</v>
      </c>
      <c r="F16" s="36">
        <v>0</v>
      </c>
      <c r="G16" s="36">
        <f t="shared" si="0"/>
        <v>34359</v>
      </c>
      <c r="H16" s="27">
        <v>70.5</v>
      </c>
      <c r="I16" s="25">
        <v>0</v>
      </c>
      <c r="J16" s="25">
        <f t="shared" si="1"/>
        <v>0</v>
      </c>
      <c r="M16" s="38">
        <f t="shared" si="10"/>
        <v>11515</v>
      </c>
      <c r="R16" s="21">
        <f t="shared" si="11"/>
        <v>1950</v>
      </c>
      <c r="S16" s="4">
        <f t="shared" si="2"/>
        <v>11515</v>
      </c>
      <c r="T16">
        <f t="shared" si="3"/>
        <v>0</v>
      </c>
      <c r="U16">
        <f t="shared" si="4"/>
        <v>46</v>
      </c>
      <c r="V16" s="1" t="str">
        <f t="shared" si="5"/>
        <v>O2</v>
      </c>
      <c r="W16" s="2">
        <f t="shared" si="6"/>
        <v>250.32608695652175</v>
      </c>
      <c r="X16" s="2">
        <f t="shared" si="12"/>
        <v>0</v>
      </c>
      <c r="Y16" s="18">
        <f t="shared" si="7"/>
        <v>26.25613308366823</v>
      </c>
      <c r="Z16" s="18">
        <f t="shared" si="8"/>
        <v>0</v>
      </c>
      <c r="AA16" s="2">
        <f t="shared" si="13"/>
        <v>6572.595053444341</v>
      </c>
    </row>
    <row r="17" spans="1:27" ht="12.75">
      <c r="A17">
        <v>1951</v>
      </c>
      <c r="C17" s="36">
        <f t="shared" si="9"/>
        <v>34359</v>
      </c>
      <c r="D17" s="36">
        <v>0</v>
      </c>
      <c r="E17" s="36">
        <v>8282</v>
      </c>
      <c r="F17" s="36">
        <v>0</v>
      </c>
      <c r="G17" s="36">
        <f t="shared" si="0"/>
        <v>42641</v>
      </c>
      <c r="H17" s="27">
        <v>69.5</v>
      </c>
      <c r="I17" s="25">
        <v>0</v>
      </c>
      <c r="J17" s="25">
        <f t="shared" si="1"/>
        <v>0</v>
      </c>
      <c r="M17" s="38">
        <f t="shared" si="10"/>
        <v>8282</v>
      </c>
      <c r="R17" s="21">
        <f t="shared" si="11"/>
        <v>1951</v>
      </c>
      <c r="S17" s="4">
        <f t="shared" si="2"/>
        <v>8282</v>
      </c>
      <c r="T17">
        <f t="shared" si="3"/>
        <v>0</v>
      </c>
      <c r="U17">
        <f t="shared" si="4"/>
        <v>46</v>
      </c>
      <c r="V17" s="1" t="str">
        <f t="shared" si="5"/>
        <v>O2</v>
      </c>
      <c r="W17" s="2">
        <f t="shared" si="6"/>
        <v>180.04347826086956</v>
      </c>
      <c r="X17" s="2">
        <f t="shared" si="12"/>
        <v>0</v>
      </c>
      <c r="Y17" s="18">
        <f t="shared" si="7"/>
        <v>26.356699702594266</v>
      </c>
      <c r="Z17" s="18">
        <f t="shared" si="8"/>
        <v>0</v>
      </c>
      <c r="AA17" s="2">
        <f t="shared" si="13"/>
        <v>4745.351889932298</v>
      </c>
    </row>
    <row r="18" spans="1:27" ht="12.75">
      <c r="A18">
        <v>1952</v>
      </c>
      <c r="C18" s="36">
        <f t="shared" si="9"/>
        <v>42641</v>
      </c>
      <c r="D18" s="36">
        <v>0</v>
      </c>
      <c r="E18" s="36">
        <v>25195</v>
      </c>
      <c r="F18" s="36">
        <v>0</v>
      </c>
      <c r="G18" s="36">
        <f t="shared" si="0"/>
        <v>67836</v>
      </c>
      <c r="H18" s="27">
        <v>68.5</v>
      </c>
      <c r="I18" s="25">
        <v>0</v>
      </c>
      <c r="J18" s="25">
        <f t="shared" si="1"/>
        <v>0</v>
      </c>
      <c r="M18" s="38">
        <f t="shared" si="10"/>
        <v>25195</v>
      </c>
      <c r="R18" s="21">
        <f t="shared" si="11"/>
        <v>1952</v>
      </c>
      <c r="S18" s="4">
        <f t="shared" si="2"/>
        <v>25195</v>
      </c>
      <c r="T18">
        <f t="shared" si="3"/>
        <v>0</v>
      </c>
      <c r="U18">
        <f t="shared" si="4"/>
        <v>46</v>
      </c>
      <c r="V18" s="1" t="str">
        <f t="shared" si="5"/>
        <v>O2</v>
      </c>
      <c r="W18" s="2">
        <f t="shared" si="6"/>
        <v>547.7173913043479</v>
      </c>
      <c r="X18" s="2">
        <f t="shared" si="12"/>
        <v>0</v>
      </c>
      <c r="Y18" s="18">
        <f t="shared" si="7"/>
        <v>26.45012530922182</v>
      </c>
      <c r="Z18" s="18">
        <f t="shared" si="8"/>
        <v>0</v>
      </c>
      <c r="AA18" s="2">
        <f t="shared" si="13"/>
        <v>14487.193634040084</v>
      </c>
    </row>
    <row r="19" spans="1:27" ht="12.75">
      <c r="A19">
        <v>1953</v>
      </c>
      <c r="C19" s="36">
        <f t="shared" si="9"/>
        <v>67836</v>
      </c>
      <c r="D19" s="36">
        <v>0</v>
      </c>
      <c r="E19" s="36">
        <v>4329</v>
      </c>
      <c r="F19" s="36">
        <v>0</v>
      </c>
      <c r="G19" s="36">
        <f t="shared" si="0"/>
        <v>72165</v>
      </c>
      <c r="H19" s="27">
        <v>67.5</v>
      </c>
      <c r="I19" s="25">
        <v>0</v>
      </c>
      <c r="J19" s="25">
        <f t="shared" si="1"/>
        <v>0</v>
      </c>
      <c r="M19" s="38">
        <f t="shared" si="10"/>
        <v>4329</v>
      </c>
      <c r="R19" s="21">
        <f t="shared" si="11"/>
        <v>1953</v>
      </c>
      <c r="S19" s="4">
        <f t="shared" si="2"/>
        <v>4329</v>
      </c>
      <c r="T19">
        <f t="shared" si="3"/>
        <v>0</v>
      </c>
      <c r="U19">
        <f t="shared" si="4"/>
        <v>46</v>
      </c>
      <c r="V19" s="1" t="str">
        <f t="shared" si="5"/>
        <v>O2</v>
      </c>
      <c r="W19" s="2">
        <f t="shared" si="6"/>
        <v>94.1086956521739</v>
      </c>
      <c r="X19" s="2">
        <f t="shared" si="12"/>
        <v>0</v>
      </c>
      <c r="Y19" s="18">
        <f t="shared" si="7"/>
        <v>26.53726922893474</v>
      </c>
      <c r="Z19" s="18">
        <f t="shared" si="8"/>
        <v>0</v>
      </c>
      <c r="AA19" s="2">
        <f t="shared" si="13"/>
        <v>2497.387793305619</v>
      </c>
    </row>
    <row r="20" spans="1:27" ht="12.75">
      <c r="A20">
        <v>1954</v>
      </c>
      <c r="C20" s="36">
        <f t="shared" si="9"/>
        <v>72165</v>
      </c>
      <c r="D20" s="36">
        <v>0</v>
      </c>
      <c r="E20" s="36">
        <v>6163</v>
      </c>
      <c r="F20" s="36">
        <v>0</v>
      </c>
      <c r="G20" s="36">
        <f t="shared" si="0"/>
        <v>78328</v>
      </c>
      <c r="H20" s="27">
        <v>66.5</v>
      </c>
      <c r="I20" s="25">
        <v>0</v>
      </c>
      <c r="J20" s="25">
        <f t="shared" si="1"/>
        <v>0</v>
      </c>
      <c r="M20" s="38">
        <f t="shared" si="10"/>
        <v>6163</v>
      </c>
      <c r="R20" s="21">
        <f t="shared" si="11"/>
        <v>1954</v>
      </c>
      <c r="S20" s="4">
        <f t="shared" si="2"/>
        <v>6163</v>
      </c>
      <c r="T20">
        <f t="shared" si="3"/>
        <v>0</v>
      </c>
      <c r="U20">
        <f t="shared" si="4"/>
        <v>46</v>
      </c>
      <c r="V20" s="1" t="str">
        <f t="shared" si="5"/>
        <v>O2</v>
      </c>
      <c r="W20" s="2">
        <f t="shared" si="6"/>
        <v>133.97826086956522</v>
      </c>
      <c r="X20" s="2">
        <f t="shared" si="12"/>
        <v>0</v>
      </c>
      <c r="Y20" s="18">
        <f t="shared" si="7"/>
        <v>26.619088805081233</v>
      </c>
      <c r="Z20" s="18">
        <f t="shared" si="8"/>
        <v>0</v>
      </c>
      <c r="AA20" s="2">
        <f t="shared" si="13"/>
        <v>3566.3792240372964</v>
      </c>
    </row>
    <row r="21" spans="1:27" ht="12.75">
      <c r="A21">
        <v>1955</v>
      </c>
      <c r="C21" s="36">
        <f t="shared" si="9"/>
        <v>78328</v>
      </c>
      <c r="D21" s="36">
        <v>0</v>
      </c>
      <c r="E21" s="36">
        <v>14171</v>
      </c>
      <c r="F21" s="36">
        <v>0</v>
      </c>
      <c r="G21" s="36">
        <f t="shared" si="0"/>
        <v>92499</v>
      </c>
      <c r="H21" s="27">
        <v>65.5</v>
      </c>
      <c r="I21" s="25">
        <v>0</v>
      </c>
      <c r="J21" s="25">
        <f t="shared" si="1"/>
        <v>0</v>
      </c>
      <c r="M21" s="38">
        <f t="shared" si="10"/>
        <v>14171</v>
      </c>
      <c r="R21" s="21">
        <f t="shared" si="11"/>
        <v>1955</v>
      </c>
      <c r="S21" s="4">
        <f t="shared" si="2"/>
        <v>14171</v>
      </c>
      <c r="T21">
        <f t="shared" si="3"/>
        <v>0</v>
      </c>
      <c r="U21">
        <f t="shared" si="4"/>
        <v>46</v>
      </c>
      <c r="V21" s="1" t="str">
        <f t="shared" si="5"/>
        <v>O2</v>
      </c>
      <c r="W21" s="2">
        <f t="shared" si="6"/>
        <v>308.0652173913044</v>
      </c>
      <c r="X21" s="2">
        <f t="shared" si="12"/>
        <v>0</v>
      </c>
      <c r="Y21" s="18">
        <f t="shared" si="7"/>
        <v>26.696633507003753</v>
      </c>
      <c r="Z21" s="18">
        <f t="shared" si="8"/>
        <v>0</v>
      </c>
      <c r="AA21" s="2">
        <f t="shared" si="13"/>
        <v>8224.304204951091</v>
      </c>
    </row>
    <row r="22" spans="1:27" ht="12.75">
      <c r="A22">
        <v>1956</v>
      </c>
      <c r="C22" s="36">
        <f t="shared" si="9"/>
        <v>92499</v>
      </c>
      <c r="D22" s="36">
        <v>0</v>
      </c>
      <c r="E22" s="36">
        <v>29813</v>
      </c>
      <c r="F22" s="36">
        <v>0</v>
      </c>
      <c r="G22" s="36">
        <f t="shared" si="0"/>
        <v>122312</v>
      </c>
      <c r="H22" s="27">
        <v>64.5</v>
      </c>
      <c r="I22" s="25">
        <v>0</v>
      </c>
      <c r="J22" s="25">
        <f t="shared" si="1"/>
        <v>0</v>
      </c>
      <c r="M22" s="38">
        <f t="shared" si="10"/>
        <v>29813</v>
      </c>
      <c r="R22" s="21">
        <f t="shared" si="11"/>
        <v>1956</v>
      </c>
      <c r="S22" s="4">
        <f t="shared" si="2"/>
        <v>29813</v>
      </c>
      <c r="T22">
        <f t="shared" si="3"/>
        <v>0</v>
      </c>
      <c r="U22">
        <f t="shared" si="4"/>
        <v>46</v>
      </c>
      <c r="V22" s="1" t="str">
        <f t="shared" si="5"/>
        <v>O2</v>
      </c>
      <c r="W22" s="2">
        <f t="shared" si="6"/>
        <v>648.1086956521739</v>
      </c>
      <c r="X22" s="2">
        <f t="shared" si="12"/>
        <v>0</v>
      </c>
      <c r="Y22" s="18">
        <f t="shared" si="7"/>
        <v>26.77103577597361</v>
      </c>
      <c r="Z22" s="18">
        <f t="shared" si="8"/>
        <v>0</v>
      </c>
      <c r="AA22" s="2">
        <f t="shared" si="13"/>
        <v>17350.541078023936</v>
      </c>
    </row>
    <row r="23" spans="1:27" ht="12.75">
      <c r="A23">
        <v>1957</v>
      </c>
      <c r="C23" s="36">
        <f t="shared" si="9"/>
        <v>122312</v>
      </c>
      <c r="D23" s="36">
        <v>0</v>
      </c>
      <c r="E23" s="36">
        <v>15293</v>
      </c>
      <c r="F23" s="36">
        <v>0</v>
      </c>
      <c r="G23" s="36">
        <f t="shared" si="0"/>
        <v>137605</v>
      </c>
      <c r="H23" s="27">
        <v>63.5</v>
      </c>
      <c r="I23" s="25">
        <v>0</v>
      </c>
      <c r="J23" s="25">
        <f t="shared" si="1"/>
        <v>0</v>
      </c>
      <c r="M23" s="38">
        <f t="shared" si="10"/>
        <v>15293</v>
      </c>
      <c r="R23" s="21">
        <f t="shared" si="11"/>
        <v>1957</v>
      </c>
      <c r="S23" s="4">
        <f t="shared" si="2"/>
        <v>15293</v>
      </c>
      <c r="T23">
        <f t="shared" si="3"/>
        <v>0</v>
      </c>
      <c r="U23">
        <f t="shared" si="4"/>
        <v>46</v>
      </c>
      <c r="V23" s="1" t="str">
        <f t="shared" si="5"/>
        <v>O2</v>
      </c>
      <c r="W23" s="2">
        <f t="shared" si="6"/>
        <v>332.45652173913044</v>
      </c>
      <c r="X23" s="2">
        <f t="shared" si="12"/>
        <v>0</v>
      </c>
      <c r="Y23" s="18">
        <f t="shared" si="7"/>
        <v>26.84349850166592</v>
      </c>
      <c r="Z23" s="18">
        <f t="shared" si="8"/>
        <v>0</v>
      </c>
      <c r="AA23" s="2">
        <f t="shared" si="13"/>
        <v>8924.296143173411</v>
      </c>
    </row>
    <row r="24" spans="1:27" ht="12.75">
      <c r="A24">
        <v>1958</v>
      </c>
      <c r="C24" s="36">
        <f t="shared" si="9"/>
        <v>137605</v>
      </c>
      <c r="D24" s="36">
        <v>0</v>
      </c>
      <c r="E24" s="36">
        <v>17188</v>
      </c>
      <c r="F24" s="36">
        <v>0</v>
      </c>
      <c r="G24" s="36">
        <f t="shared" si="0"/>
        <v>154793</v>
      </c>
      <c r="H24" s="27">
        <v>62.5</v>
      </c>
      <c r="I24" s="25">
        <v>0</v>
      </c>
      <c r="J24" s="25">
        <f t="shared" si="1"/>
        <v>0</v>
      </c>
      <c r="M24" s="38">
        <f t="shared" si="10"/>
        <v>17188</v>
      </c>
      <c r="R24" s="21">
        <f t="shared" si="11"/>
        <v>1958</v>
      </c>
      <c r="S24" s="4">
        <f t="shared" si="2"/>
        <v>17188</v>
      </c>
      <c r="T24">
        <f t="shared" si="3"/>
        <v>0</v>
      </c>
      <c r="U24">
        <f t="shared" si="4"/>
        <v>46</v>
      </c>
      <c r="V24" s="1" t="str">
        <f t="shared" si="5"/>
        <v>O2</v>
      </c>
      <c r="W24" s="2">
        <f t="shared" si="6"/>
        <v>373.6521739130435</v>
      </c>
      <c r="X24" s="2">
        <f t="shared" si="12"/>
        <v>0</v>
      </c>
      <c r="Y24" s="18">
        <f t="shared" si="7"/>
        <v>26.91527921768677</v>
      </c>
      <c r="Z24" s="18">
        <f t="shared" si="8"/>
        <v>0</v>
      </c>
      <c r="AA24" s="2">
        <f t="shared" si="13"/>
        <v>10056.952591165222</v>
      </c>
    </row>
    <row r="25" spans="1:27" ht="12.75">
      <c r="A25">
        <v>1959</v>
      </c>
      <c r="C25" s="36">
        <f t="shared" si="9"/>
        <v>154793</v>
      </c>
      <c r="D25" s="36">
        <v>0</v>
      </c>
      <c r="E25" s="36">
        <v>19856</v>
      </c>
      <c r="F25" s="36">
        <v>0</v>
      </c>
      <c r="G25" s="36">
        <f t="shared" si="0"/>
        <v>174649</v>
      </c>
      <c r="H25" s="27">
        <v>61.5</v>
      </c>
      <c r="I25" s="25">
        <v>0</v>
      </c>
      <c r="J25" s="25">
        <f t="shared" si="1"/>
        <v>0</v>
      </c>
      <c r="M25" s="38">
        <f t="shared" si="10"/>
        <v>19856</v>
      </c>
      <c r="R25" s="21">
        <f t="shared" si="11"/>
        <v>1959</v>
      </c>
      <c r="S25" s="4">
        <f t="shared" si="2"/>
        <v>19856</v>
      </c>
      <c r="T25">
        <f t="shared" si="3"/>
        <v>0</v>
      </c>
      <c r="U25">
        <f t="shared" si="4"/>
        <v>46</v>
      </c>
      <c r="V25" s="1" t="str">
        <f t="shared" si="5"/>
        <v>O2</v>
      </c>
      <c r="W25" s="2">
        <f t="shared" si="6"/>
        <v>431.6521739130435</v>
      </c>
      <c r="X25" s="2">
        <f t="shared" si="12"/>
        <v>0</v>
      </c>
      <c r="Y25" s="18">
        <f t="shared" si="7"/>
        <v>26.987671332488556</v>
      </c>
      <c r="Z25" s="18">
        <f t="shared" si="8"/>
        <v>0</v>
      </c>
      <c r="AA25" s="2">
        <f t="shared" si="13"/>
        <v>11649.286999519409</v>
      </c>
    </row>
    <row r="26" spans="1:27" ht="12.75">
      <c r="A26">
        <v>1960</v>
      </c>
      <c r="C26" s="36">
        <f t="shared" si="9"/>
        <v>174649</v>
      </c>
      <c r="D26" s="36">
        <v>0</v>
      </c>
      <c r="E26" s="36">
        <v>21145</v>
      </c>
      <c r="F26" s="36">
        <v>0</v>
      </c>
      <c r="G26" s="36">
        <f t="shared" si="0"/>
        <v>195794</v>
      </c>
      <c r="H26" s="27">
        <v>60.5</v>
      </c>
      <c r="I26" s="25">
        <v>0</v>
      </c>
      <c r="J26" s="25">
        <f t="shared" si="1"/>
        <v>0</v>
      </c>
      <c r="M26" s="38">
        <f t="shared" si="10"/>
        <v>21145</v>
      </c>
      <c r="R26" s="21">
        <f t="shared" si="11"/>
        <v>1960</v>
      </c>
      <c r="S26" s="4">
        <f t="shared" si="2"/>
        <v>21145</v>
      </c>
      <c r="T26">
        <f t="shared" si="3"/>
        <v>0</v>
      </c>
      <c r="U26">
        <f t="shared" si="4"/>
        <v>46</v>
      </c>
      <c r="V26" s="1" t="str">
        <f t="shared" si="5"/>
        <v>O2</v>
      </c>
      <c r="W26" s="2">
        <f t="shared" si="6"/>
        <v>459.67391304347825</v>
      </c>
      <c r="X26" s="2">
        <f t="shared" si="12"/>
        <v>0</v>
      </c>
      <c r="Y26" s="18">
        <f t="shared" si="7"/>
        <v>27.061982951986526</v>
      </c>
      <c r="Z26" s="18">
        <f t="shared" si="8"/>
        <v>0</v>
      </c>
      <c r="AA26" s="2">
        <f t="shared" si="13"/>
        <v>12439.687598255545</v>
      </c>
    </row>
    <row r="27" spans="1:27" ht="12.75">
      <c r="A27">
        <v>1961</v>
      </c>
      <c r="C27" s="36">
        <f t="shared" si="9"/>
        <v>195794</v>
      </c>
      <c r="D27" s="36">
        <v>0</v>
      </c>
      <c r="E27" s="36">
        <v>24843</v>
      </c>
      <c r="F27" s="36">
        <v>0</v>
      </c>
      <c r="G27" s="36">
        <f t="shared" si="0"/>
        <v>220637</v>
      </c>
      <c r="H27" s="27">
        <v>59.5</v>
      </c>
      <c r="I27" s="25">
        <v>0</v>
      </c>
      <c r="J27" s="25">
        <f t="shared" si="1"/>
        <v>0</v>
      </c>
      <c r="M27" s="38">
        <f t="shared" si="10"/>
        <v>24843</v>
      </c>
      <c r="R27" s="21">
        <f t="shared" si="11"/>
        <v>1961</v>
      </c>
      <c r="S27" s="4">
        <f t="shared" si="2"/>
        <v>24843</v>
      </c>
      <c r="T27">
        <f t="shared" si="3"/>
        <v>0</v>
      </c>
      <c r="U27">
        <f t="shared" si="4"/>
        <v>46</v>
      </c>
      <c r="V27" s="1" t="str">
        <f t="shared" si="5"/>
        <v>O2</v>
      </c>
      <c r="W27" s="2">
        <f t="shared" si="6"/>
        <v>540.0652173913044</v>
      </c>
      <c r="X27" s="2">
        <f t="shared" si="12"/>
        <v>0</v>
      </c>
      <c r="Y27" s="18">
        <f t="shared" si="7"/>
        <v>27.139514076156964</v>
      </c>
      <c r="Z27" s="18">
        <f t="shared" si="8"/>
        <v>0</v>
      </c>
      <c r="AA27" s="2">
        <f t="shared" si="13"/>
        <v>14657.107569434076</v>
      </c>
    </row>
    <row r="28" spans="1:27" ht="12.75">
      <c r="A28">
        <v>1962</v>
      </c>
      <c r="C28" s="36">
        <f t="shared" si="9"/>
        <v>220637</v>
      </c>
      <c r="D28" s="36">
        <v>0</v>
      </c>
      <c r="E28" s="36">
        <v>14485</v>
      </c>
      <c r="F28" s="36">
        <v>0</v>
      </c>
      <c r="G28" s="36">
        <f t="shared" si="0"/>
        <v>235122</v>
      </c>
      <c r="H28" s="27">
        <v>58.5</v>
      </c>
      <c r="I28" s="25">
        <v>0</v>
      </c>
      <c r="J28" s="25">
        <f t="shared" si="1"/>
        <v>0</v>
      </c>
      <c r="M28" s="38">
        <f t="shared" si="10"/>
        <v>14485</v>
      </c>
      <c r="R28" s="21">
        <f t="shared" si="11"/>
        <v>1962</v>
      </c>
      <c r="S28" s="4">
        <f t="shared" si="2"/>
        <v>14485</v>
      </c>
      <c r="T28">
        <f t="shared" si="3"/>
        <v>0</v>
      </c>
      <c r="U28">
        <f t="shared" si="4"/>
        <v>46</v>
      </c>
      <c r="V28" s="1" t="str">
        <f t="shared" si="5"/>
        <v>O2</v>
      </c>
      <c r="W28" s="2">
        <f t="shared" si="6"/>
        <v>314.89130434782606</v>
      </c>
      <c r="X28" s="2">
        <f t="shared" si="12"/>
        <v>0</v>
      </c>
      <c r="Y28" s="18">
        <f t="shared" si="7"/>
        <v>27.221533134517156</v>
      </c>
      <c r="Z28" s="18">
        <f t="shared" si="8"/>
        <v>0</v>
      </c>
      <c r="AA28" s="2">
        <f t="shared" si="13"/>
        <v>8571.824075075674</v>
      </c>
    </row>
    <row r="29" spans="1:27" ht="12.75">
      <c r="A29">
        <v>1963</v>
      </c>
      <c r="C29" s="36">
        <f t="shared" si="9"/>
        <v>235122</v>
      </c>
      <c r="D29" s="36">
        <v>0</v>
      </c>
      <c r="E29" s="36">
        <v>31894</v>
      </c>
      <c r="F29" s="36">
        <v>2480</v>
      </c>
      <c r="G29" s="36">
        <f t="shared" si="0"/>
        <v>264536</v>
      </c>
      <c r="H29" s="27">
        <v>57.5</v>
      </c>
      <c r="I29" s="25">
        <v>0</v>
      </c>
      <c r="J29" s="25">
        <f t="shared" si="1"/>
        <v>0</v>
      </c>
      <c r="M29" s="38">
        <f t="shared" si="10"/>
        <v>31894</v>
      </c>
      <c r="R29" s="21">
        <f t="shared" si="11"/>
        <v>1963</v>
      </c>
      <c r="S29" s="4">
        <f t="shared" si="2"/>
        <v>31894</v>
      </c>
      <c r="T29">
        <f t="shared" si="3"/>
        <v>0</v>
      </c>
      <c r="U29">
        <f t="shared" si="4"/>
        <v>46</v>
      </c>
      <c r="V29" s="1" t="str">
        <f t="shared" si="5"/>
        <v>O2</v>
      </c>
      <c r="W29" s="2">
        <f t="shared" si="6"/>
        <v>693.3478260869565</v>
      </c>
      <c r="X29" s="2">
        <f t="shared" si="12"/>
        <v>0</v>
      </c>
      <c r="Y29" s="18">
        <f t="shared" si="7"/>
        <v>27.30925393723459</v>
      </c>
      <c r="Z29" s="18">
        <f t="shared" si="8"/>
        <v>0</v>
      </c>
      <c r="AA29" s="2">
        <f t="shared" si="13"/>
        <v>18934.81184943826</v>
      </c>
    </row>
    <row r="30" spans="1:27" ht="12.75">
      <c r="A30">
        <v>1964</v>
      </c>
      <c r="C30" s="36">
        <f t="shared" si="9"/>
        <v>264536</v>
      </c>
      <c r="D30" s="36">
        <v>0</v>
      </c>
      <c r="E30" s="36">
        <v>18103</v>
      </c>
      <c r="F30" s="36">
        <v>1822</v>
      </c>
      <c r="G30" s="36">
        <f t="shared" si="0"/>
        <v>280817</v>
      </c>
      <c r="H30" s="27">
        <v>56.5</v>
      </c>
      <c r="I30" s="25">
        <v>0</v>
      </c>
      <c r="J30" s="25">
        <f t="shared" si="1"/>
        <v>0</v>
      </c>
      <c r="M30" s="38">
        <f t="shared" si="10"/>
        <v>18103</v>
      </c>
      <c r="R30" s="21">
        <f t="shared" si="11"/>
        <v>1964</v>
      </c>
      <c r="S30" s="4">
        <f t="shared" si="2"/>
        <v>18103</v>
      </c>
      <c r="T30">
        <f t="shared" si="3"/>
        <v>0</v>
      </c>
      <c r="U30">
        <f t="shared" si="4"/>
        <v>46</v>
      </c>
      <c r="V30" s="1" t="str">
        <f t="shared" si="5"/>
        <v>O2</v>
      </c>
      <c r="W30" s="2">
        <f t="shared" si="6"/>
        <v>393.54347826086956</v>
      </c>
      <c r="X30" s="2">
        <f t="shared" si="12"/>
        <v>0</v>
      </c>
      <c r="Y30" s="18">
        <f t="shared" si="7"/>
        <v>27.403814139411242</v>
      </c>
      <c r="Z30" s="18">
        <f t="shared" si="8"/>
        <v>0</v>
      </c>
      <c r="AA30" s="2">
        <f t="shared" si="13"/>
        <v>10784.592334038298</v>
      </c>
    </row>
    <row r="31" spans="1:27" ht="12.75">
      <c r="A31">
        <v>1965</v>
      </c>
      <c r="C31" s="36">
        <f t="shared" si="9"/>
        <v>280817</v>
      </c>
      <c r="D31" s="36">
        <v>0</v>
      </c>
      <c r="E31" s="36">
        <v>23944</v>
      </c>
      <c r="F31" s="36">
        <v>259</v>
      </c>
      <c r="G31" s="36">
        <f t="shared" si="0"/>
        <v>304502</v>
      </c>
      <c r="H31" s="27">
        <v>55.5</v>
      </c>
      <c r="I31" s="25">
        <v>0</v>
      </c>
      <c r="J31" s="25">
        <f t="shared" si="1"/>
        <v>0</v>
      </c>
      <c r="M31" s="38">
        <f t="shared" si="10"/>
        <v>23944</v>
      </c>
      <c r="R31" s="21">
        <f t="shared" si="11"/>
        <v>1965</v>
      </c>
      <c r="S31" s="4">
        <f t="shared" si="2"/>
        <v>23944</v>
      </c>
      <c r="T31">
        <f t="shared" si="3"/>
        <v>0</v>
      </c>
      <c r="U31">
        <f t="shared" si="4"/>
        <v>46</v>
      </c>
      <c r="V31" s="1" t="str">
        <f t="shared" si="5"/>
        <v>O2</v>
      </c>
      <c r="W31" s="2">
        <f t="shared" si="6"/>
        <v>520.5217391304348</v>
      </c>
      <c r="X31" s="2">
        <f t="shared" si="12"/>
        <v>0</v>
      </c>
      <c r="Y31" s="18">
        <f t="shared" si="7"/>
        <v>27.506256237520205</v>
      </c>
      <c r="Z31" s="18">
        <f t="shared" si="8"/>
        <v>0</v>
      </c>
      <c r="AA31" s="2">
        <f t="shared" si="13"/>
        <v>14317.604333721385</v>
      </c>
    </row>
    <row r="32" spans="1:27" ht="12.75">
      <c r="A32">
        <v>1966</v>
      </c>
      <c r="C32" s="36">
        <f t="shared" si="9"/>
        <v>304502</v>
      </c>
      <c r="D32" s="36">
        <v>0</v>
      </c>
      <c r="E32" s="36">
        <v>20427</v>
      </c>
      <c r="F32" s="36">
        <v>51</v>
      </c>
      <c r="G32" s="36">
        <f t="shared" si="0"/>
        <v>324878</v>
      </c>
      <c r="H32" s="27">
        <v>54.5</v>
      </c>
      <c r="I32" s="25">
        <v>0</v>
      </c>
      <c r="J32" s="25">
        <f t="shared" si="1"/>
        <v>0</v>
      </c>
      <c r="M32" s="38">
        <f t="shared" si="10"/>
        <v>20427</v>
      </c>
      <c r="R32" s="21">
        <f t="shared" si="11"/>
        <v>1966</v>
      </c>
      <c r="S32" s="4">
        <f t="shared" si="2"/>
        <v>20427</v>
      </c>
      <c r="T32">
        <f t="shared" si="3"/>
        <v>0</v>
      </c>
      <c r="U32">
        <f t="shared" si="4"/>
        <v>46</v>
      </c>
      <c r="V32" s="1" t="str">
        <f t="shared" si="5"/>
        <v>O2</v>
      </c>
      <c r="W32" s="2">
        <f t="shared" si="6"/>
        <v>444.0652173913044</v>
      </c>
      <c r="X32" s="2">
        <f t="shared" si="12"/>
        <v>0</v>
      </c>
      <c r="Y32" s="18">
        <f t="shared" si="7"/>
        <v>27.617511945127283</v>
      </c>
      <c r="Z32" s="18">
        <f t="shared" si="8"/>
        <v>0</v>
      </c>
      <c r="AA32" s="2">
        <f t="shared" si="13"/>
        <v>12263.976445719893</v>
      </c>
    </row>
    <row r="33" spans="1:27" ht="12.75">
      <c r="A33">
        <v>1967</v>
      </c>
      <c r="C33" s="36">
        <f t="shared" si="9"/>
        <v>324878</v>
      </c>
      <c r="D33" s="36">
        <v>0</v>
      </c>
      <c r="E33" s="36">
        <v>36960</v>
      </c>
      <c r="F33" s="36">
        <v>123</v>
      </c>
      <c r="G33" s="36">
        <f t="shared" si="0"/>
        <v>361715</v>
      </c>
      <c r="H33" s="27">
        <v>53.5</v>
      </c>
      <c r="I33" s="25">
        <v>0</v>
      </c>
      <c r="J33" s="25">
        <f t="shared" si="1"/>
        <v>0</v>
      </c>
      <c r="M33" s="38">
        <f t="shared" si="10"/>
        <v>36960</v>
      </c>
      <c r="R33" s="21">
        <f t="shared" si="11"/>
        <v>1967</v>
      </c>
      <c r="S33" s="4">
        <f t="shared" si="2"/>
        <v>36960</v>
      </c>
      <c r="T33">
        <f t="shared" si="3"/>
        <v>0</v>
      </c>
      <c r="U33">
        <f t="shared" si="4"/>
        <v>46</v>
      </c>
      <c r="V33" s="1" t="str">
        <f t="shared" si="5"/>
        <v>O2</v>
      </c>
      <c r="W33" s="2">
        <f t="shared" si="6"/>
        <v>803.4782608695652</v>
      </c>
      <c r="X33" s="2">
        <f t="shared" si="12"/>
        <v>0</v>
      </c>
      <c r="Y33" s="18">
        <f t="shared" si="7"/>
        <v>27.738390549877614</v>
      </c>
      <c r="Z33" s="18">
        <f t="shared" si="8"/>
        <v>0</v>
      </c>
      <c r="AA33" s="2">
        <f t="shared" si="13"/>
        <v>22287.193798336448</v>
      </c>
    </row>
    <row r="34" spans="1:27" ht="12.75">
      <c r="A34">
        <v>1968</v>
      </c>
      <c r="C34" s="36">
        <f t="shared" si="9"/>
        <v>361715</v>
      </c>
      <c r="D34" s="36">
        <v>0</v>
      </c>
      <c r="E34" s="36">
        <v>44180</v>
      </c>
      <c r="F34" s="36">
        <v>722</v>
      </c>
      <c r="G34" s="36">
        <f t="shared" si="0"/>
        <v>405173</v>
      </c>
      <c r="H34" s="27">
        <v>52.5</v>
      </c>
      <c r="I34" s="25">
        <v>0</v>
      </c>
      <c r="J34" s="25">
        <f t="shared" si="1"/>
        <v>0</v>
      </c>
      <c r="M34" s="38">
        <f t="shared" si="10"/>
        <v>44180</v>
      </c>
      <c r="R34" s="21">
        <f t="shared" si="11"/>
        <v>1968</v>
      </c>
      <c r="S34" s="4">
        <f t="shared" si="2"/>
        <v>44180</v>
      </c>
      <c r="T34">
        <f t="shared" si="3"/>
        <v>0</v>
      </c>
      <c r="U34">
        <f t="shared" si="4"/>
        <v>46</v>
      </c>
      <c r="V34" s="1" t="str">
        <f t="shared" si="5"/>
        <v>O2</v>
      </c>
      <c r="W34" s="2">
        <f t="shared" si="6"/>
        <v>960.4347826086956</v>
      </c>
      <c r="X34" s="2">
        <f t="shared" si="12"/>
        <v>0</v>
      </c>
      <c r="Y34" s="18">
        <f t="shared" si="7"/>
        <v>27.86957156567207</v>
      </c>
      <c r="Z34" s="18">
        <f t="shared" si="8"/>
        <v>0</v>
      </c>
      <c r="AA34" s="2">
        <f t="shared" si="13"/>
        <v>26766.905908073742</v>
      </c>
    </row>
    <row r="35" spans="1:27" ht="12.75">
      <c r="A35">
        <v>1969</v>
      </c>
      <c r="C35" s="36">
        <f t="shared" si="9"/>
        <v>405173</v>
      </c>
      <c r="D35" s="36">
        <v>0</v>
      </c>
      <c r="E35" s="36">
        <v>61872</v>
      </c>
      <c r="F35" s="36">
        <v>527</v>
      </c>
      <c r="G35" s="36">
        <f t="shared" si="0"/>
        <v>466518</v>
      </c>
      <c r="H35" s="27">
        <v>51.5</v>
      </c>
      <c r="I35" s="25">
        <v>0</v>
      </c>
      <c r="J35" s="25">
        <f t="shared" si="1"/>
        <v>0</v>
      </c>
      <c r="M35" s="38">
        <f t="shared" si="10"/>
        <v>61872</v>
      </c>
      <c r="R35" s="21">
        <f t="shared" si="11"/>
        <v>1969</v>
      </c>
      <c r="S35" s="4">
        <f t="shared" si="2"/>
        <v>61872</v>
      </c>
      <c r="T35">
        <f t="shared" si="3"/>
        <v>0</v>
      </c>
      <c r="U35">
        <f t="shared" si="4"/>
        <v>46</v>
      </c>
      <c r="V35" s="1" t="str">
        <f t="shared" si="5"/>
        <v>O2</v>
      </c>
      <c r="W35" s="2">
        <f t="shared" si="6"/>
        <v>1345.0434782608695</v>
      </c>
      <c r="X35" s="2">
        <f t="shared" si="12"/>
        <v>0</v>
      </c>
      <c r="Y35" s="18">
        <f t="shared" si="7"/>
        <v>28.011601698033683</v>
      </c>
      <c r="Z35" s="18">
        <f t="shared" si="8"/>
        <v>0</v>
      </c>
      <c r="AA35" s="2">
        <f t="shared" si="13"/>
        <v>37676.8221795813</v>
      </c>
    </row>
    <row r="36" spans="1:27" ht="12.75">
      <c r="A36">
        <v>1970</v>
      </c>
      <c r="C36" s="36">
        <f t="shared" si="9"/>
        <v>466518</v>
      </c>
      <c r="D36" s="36">
        <v>0</v>
      </c>
      <c r="E36" s="36">
        <v>219572</v>
      </c>
      <c r="F36" s="36">
        <v>286</v>
      </c>
      <c r="G36" s="36">
        <f t="shared" si="0"/>
        <v>685804</v>
      </c>
      <c r="H36" s="27">
        <v>50.5</v>
      </c>
      <c r="I36" s="25">
        <v>0</v>
      </c>
      <c r="J36" s="25">
        <f t="shared" si="1"/>
        <v>0</v>
      </c>
      <c r="M36" s="38">
        <f t="shared" si="10"/>
        <v>219572</v>
      </c>
      <c r="R36" s="21">
        <f t="shared" si="11"/>
        <v>1970</v>
      </c>
      <c r="S36" s="4">
        <f t="shared" si="2"/>
        <v>219572</v>
      </c>
      <c r="T36">
        <f t="shared" si="3"/>
        <v>0</v>
      </c>
      <c r="U36">
        <f t="shared" si="4"/>
        <v>46</v>
      </c>
      <c r="V36" s="1" t="str">
        <f t="shared" si="5"/>
        <v>O2</v>
      </c>
      <c r="W36" s="2">
        <f t="shared" si="6"/>
        <v>4773.304347826087</v>
      </c>
      <c r="X36" s="2">
        <f t="shared" si="12"/>
        <v>0</v>
      </c>
      <c r="Y36" s="18">
        <f t="shared" si="7"/>
        <v>28.164895870228506</v>
      </c>
      <c r="Z36" s="18">
        <f t="shared" si="8"/>
        <v>0</v>
      </c>
      <c r="AA36" s="2">
        <f t="shared" si="13"/>
        <v>134439.61991343074</v>
      </c>
    </row>
    <row r="37" spans="1:27" ht="12.75">
      <c r="A37">
        <v>1971</v>
      </c>
      <c r="C37" s="36">
        <f t="shared" si="9"/>
        <v>685804</v>
      </c>
      <c r="D37" s="36">
        <v>0</v>
      </c>
      <c r="E37" s="36">
        <v>210607</v>
      </c>
      <c r="F37" s="36">
        <v>399</v>
      </c>
      <c r="G37" s="36">
        <f t="shared" si="0"/>
        <v>896012</v>
      </c>
      <c r="H37" s="27">
        <v>49.5</v>
      </c>
      <c r="I37" s="25">
        <v>0</v>
      </c>
      <c r="J37" s="25">
        <f t="shared" si="1"/>
        <v>0</v>
      </c>
      <c r="M37" s="38">
        <f t="shared" si="10"/>
        <v>210607</v>
      </c>
      <c r="R37" s="21">
        <f t="shared" si="11"/>
        <v>1971</v>
      </c>
      <c r="S37" s="4">
        <f t="shared" si="2"/>
        <v>210607</v>
      </c>
      <c r="T37">
        <f t="shared" si="3"/>
        <v>0</v>
      </c>
      <c r="U37">
        <f t="shared" si="4"/>
        <v>46</v>
      </c>
      <c r="V37" s="1" t="str">
        <f t="shared" si="5"/>
        <v>O2</v>
      </c>
      <c r="W37" s="2">
        <f t="shared" si="6"/>
        <v>4578.413043478261</v>
      </c>
      <c r="X37" s="2">
        <f t="shared" si="12"/>
        <v>0</v>
      </c>
      <c r="Y37" s="18">
        <f t="shared" si="7"/>
        <v>28.329741839011458</v>
      </c>
      <c r="Z37" s="18">
        <f t="shared" si="8"/>
        <v>0</v>
      </c>
      <c r="AA37" s="2">
        <f t="shared" si="13"/>
        <v>129705.25955410188</v>
      </c>
    </row>
    <row r="38" spans="1:27" ht="12.75">
      <c r="A38">
        <v>1972</v>
      </c>
      <c r="C38" s="36">
        <f t="shared" si="9"/>
        <v>896012</v>
      </c>
      <c r="D38" s="36">
        <v>0</v>
      </c>
      <c r="E38" s="36">
        <v>91736</v>
      </c>
      <c r="F38" s="36">
        <v>545</v>
      </c>
      <c r="G38" s="36">
        <f t="shared" si="0"/>
        <v>987203</v>
      </c>
      <c r="H38" s="27">
        <v>48.5</v>
      </c>
      <c r="I38" s="25">
        <v>0</v>
      </c>
      <c r="J38" s="25">
        <f t="shared" si="1"/>
        <v>0</v>
      </c>
      <c r="M38" s="38">
        <f t="shared" si="10"/>
        <v>91736</v>
      </c>
      <c r="R38" s="21">
        <f t="shared" si="11"/>
        <v>1972</v>
      </c>
      <c r="S38" s="4">
        <f aca="true" t="shared" si="14" ref="S38:S68">E38</f>
        <v>91736</v>
      </c>
      <c r="T38">
        <f aca="true" t="shared" si="15" ref="T38:T68">IF(D38&gt;0,IF(J38&gt;0,D38,0),0)</f>
        <v>0</v>
      </c>
      <c r="U38">
        <f aca="true" t="shared" si="16" ref="U38:U69">$V$94</f>
        <v>46</v>
      </c>
      <c r="V38" s="1" t="str">
        <f aca="true" t="shared" si="17" ref="V38:V69">$V$93</f>
        <v>O2</v>
      </c>
      <c r="W38" s="2">
        <f aca="true" t="shared" si="18" ref="W38:W68">S38/U38</f>
        <v>1994.2608695652175</v>
      </c>
      <c r="X38" s="2">
        <f t="shared" si="12"/>
        <v>0</v>
      </c>
      <c r="Y38" s="18">
        <f aca="true" t="shared" si="19" ref="Y38:Y66">Prob_life(V38,H38,U38)</f>
        <v>28.506307777661313</v>
      </c>
      <c r="Z38" s="18">
        <f aca="true" t="shared" si="20" ref="Z38:Z68">IF(J38&gt;0,Prob_life(V38,J38+0.5,U38),0)</f>
        <v>0</v>
      </c>
      <c r="AA38" s="2">
        <f t="shared" si="13"/>
        <v>56849.014136772574</v>
      </c>
    </row>
    <row r="39" spans="1:27" ht="12.75">
      <c r="A39">
        <v>1973</v>
      </c>
      <c r="C39" s="36">
        <f t="shared" si="9"/>
        <v>987203</v>
      </c>
      <c r="D39" s="36">
        <v>0</v>
      </c>
      <c r="E39" s="36">
        <v>91823</v>
      </c>
      <c r="F39" s="36">
        <v>36</v>
      </c>
      <c r="G39" s="36">
        <f t="shared" si="0"/>
        <v>1078990</v>
      </c>
      <c r="H39" s="27">
        <v>47.5</v>
      </c>
      <c r="I39" s="25">
        <v>0</v>
      </c>
      <c r="J39" s="25">
        <f t="shared" si="1"/>
        <v>0</v>
      </c>
      <c r="M39" s="38">
        <f t="shared" si="10"/>
        <v>91823</v>
      </c>
      <c r="R39" s="21">
        <f t="shared" si="11"/>
        <v>1973</v>
      </c>
      <c r="S39" s="4">
        <f t="shared" si="14"/>
        <v>91823</v>
      </c>
      <c r="T39">
        <f t="shared" si="15"/>
        <v>0</v>
      </c>
      <c r="U39">
        <f t="shared" si="16"/>
        <v>46</v>
      </c>
      <c r="V39" s="1" t="str">
        <f t="shared" si="17"/>
        <v>O2</v>
      </c>
      <c r="W39" s="2">
        <f t="shared" si="18"/>
        <v>1996.1521739130435</v>
      </c>
      <c r="X39" s="2">
        <f t="shared" si="12"/>
        <v>0</v>
      </c>
      <c r="Y39" s="18">
        <f t="shared" si="19"/>
        <v>28.694652124761042</v>
      </c>
      <c r="Z39" s="18">
        <f t="shared" si="20"/>
        <v>0</v>
      </c>
      <c r="AA39" s="2">
        <f t="shared" si="13"/>
        <v>57278.89221852029</v>
      </c>
    </row>
    <row r="40" spans="1:27" ht="12.75">
      <c r="A40">
        <v>1974</v>
      </c>
      <c r="C40" s="36">
        <f t="shared" si="9"/>
        <v>1078990</v>
      </c>
      <c r="D40" s="36">
        <v>0</v>
      </c>
      <c r="E40" s="36">
        <v>58878</v>
      </c>
      <c r="F40" s="36">
        <v>82</v>
      </c>
      <c r="G40" s="36">
        <f t="shared" si="0"/>
        <v>1137786</v>
      </c>
      <c r="H40" s="27">
        <v>46.5</v>
      </c>
      <c r="I40" s="25">
        <v>0</v>
      </c>
      <c r="J40" s="25">
        <f t="shared" si="1"/>
        <v>0</v>
      </c>
      <c r="M40" s="38">
        <f t="shared" si="10"/>
        <v>58878</v>
      </c>
      <c r="R40" s="21">
        <f t="shared" si="11"/>
        <v>1974</v>
      </c>
      <c r="S40" s="4">
        <f t="shared" si="14"/>
        <v>58878</v>
      </c>
      <c r="T40">
        <f t="shared" si="15"/>
        <v>0</v>
      </c>
      <c r="U40">
        <f t="shared" si="16"/>
        <v>46</v>
      </c>
      <c r="V40" s="1" t="str">
        <f t="shared" si="17"/>
        <v>O2</v>
      </c>
      <c r="W40" s="2">
        <f t="shared" si="18"/>
        <v>1279.9565217391305</v>
      </c>
      <c r="X40" s="2">
        <f t="shared" si="12"/>
        <v>0</v>
      </c>
      <c r="Y40" s="18">
        <f t="shared" si="19"/>
        <v>28.894734984641037</v>
      </c>
      <c r="Z40" s="18">
        <f t="shared" si="20"/>
        <v>0</v>
      </c>
      <c r="AA40" s="2">
        <f t="shared" si="13"/>
        <v>36984.00448751511</v>
      </c>
    </row>
    <row r="41" spans="1:27" ht="12.75">
      <c r="A41">
        <v>1975</v>
      </c>
      <c r="C41" s="36">
        <f t="shared" si="9"/>
        <v>1137786</v>
      </c>
      <c r="D41" s="36">
        <v>0</v>
      </c>
      <c r="E41" s="36">
        <v>78982</v>
      </c>
      <c r="F41" s="36">
        <v>61</v>
      </c>
      <c r="G41" s="36">
        <f t="shared" si="0"/>
        <v>1216707</v>
      </c>
      <c r="H41" s="27">
        <v>45.5</v>
      </c>
      <c r="I41" s="25">
        <v>0</v>
      </c>
      <c r="J41" s="25">
        <f t="shared" si="1"/>
        <v>0</v>
      </c>
      <c r="M41" s="38">
        <f t="shared" si="10"/>
        <v>78982</v>
      </c>
      <c r="R41" s="21">
        <f t="shared" si="11"/>
        <v>1975</v>
      </c>
      <c r="S41" s="4">
        <f t="shared" si="14"/>
        <v>78982</v>
      </c>
      <c r="T41">
        <f t="shared" si="15"/>
        <v>0</v>
      </c>
      <c r="U41">
        <f t="shared" si="16"/>
        <v>46</v>
      </c>
      <c r="V41" s="1" t="str">
        <f t="shared" si="17"/>
        <v>O2</v>
      </c>
      <c r="W41" s="2">
        <f t="shared" si="18"/>
        <v>1717</v>
      </c>
      <c r="X41" s="2">
        <f t="shared" si="12"/>
        <v>0</v>
      </c>
      <c r="Y41" s="18">
        <f t="shared" si="19"/>
        <v>29.10643040729563</v>
      </c>
      <c r="Z41" s="18">
        <f t="shared" si="20"/>
        <v>0</v>
      </c>
      <c r="AA41" s="2">
        <f t="shared" si="13"/>
        <v>49975.74100932659</v>
      </c>
    </row>
    <row r="42" spans="1:27" ht="12.75">
      <c r="A42">
        <v>1976</v>
      </c>
      <c r="C42" s="36">
        <f t="shared" si="9"/>
        <v>1216707</v>
      </c>
      <c r="D42" s="36">
        <v>0</v>
      </c>
      <c r="E42" s="36">
        <v>48111</v>
      </c>
      <c r="F42" s="36">
        <v>274</v>
      </c>
      <c r="G42" s="36">
        <f t="shared" si="0"/>
        <v>1264544</v>
      </c>
      <c r="H42" s="27">
        <v>44.5</v>
      </c>
      <c r="I42" s="25">
        <v>0</v>
      </c>
      <c r="J42" s="25">
        <f t="shared" si="1"/>
        <v>0</v>
      </c>
      <c r="M42" s="38">
        <f t="shared" si="10"/>
        <v>48111</v>
      </c>
      <c r="R42" s="21">
        <f t="shared" si="11"/>
        <v>1976</v>
      </c>
      <c r="S42" s="4">
        <f t="shared" si="14"/>
        <v>48111</v>
      </c>
      <c r="T42">
        <f t="shared" si="15"/>
        <v>0</v>
      </c>
      <c r="U42">
        <f t="shared" si="16"/>
        <v>46</v>
      </c>
      <c r="V42" s="1" t="str">
        <f t="shared" si="17"/>
        <v>O2</v>
      </c>
      <c r="W42" s="2">
        <f t="shared" si="18"/>
        <v>1045.891304347826</v>
      </c>
      <c r="X42" s="2">
        <f t="shared" si="12"/>
        <v>0</v>
      </c>
      <c r="Y42" s="18">
        <f t="shared" si="19"/>
        <v>29.329538956150405</v>
      </c>
      <c r="Z42" s="18">
        <f t="shared" si="20"/>
        <v>0</v>
      </c>
      <c r="AA42" s="2">
        <f t="shared" si="13"/>
        <v>30675.50975476852</v>
      </c>
    </row>
    <row r="43" spans="1:27" ht="12.75">
      <c r="A43">
        <v>1977</v>
      </c>
      <c r="C43" s="36">
        <f t="shared" si="9"/>
        <v>1264544</v>
      </c>
      <c r="D43" s="36">
        <v>0</v>
      </c>
      <c r="E43" s="36">
        <v>66317</v>
      </c>
      <c r="F43" s="36">
        <v>144</v>
      </c>
      <c r="G43" s="36">
        <f t="shared" si="0"/>
        <v>1330717</v>
      </c>
      <c r="H43" s="27">
        <v>43.5</v>
      </c>
      <c r="I43" s="25">
        <v>0</v>
      </c>
      <c r="J43" s="25">
        <f t="shared" si="1"/>
        <v>0</v>
      </c>
      <c r="M43" s="38">
        <f t="shared" si="10"/>
        <v>66317</v>
      </c>
      <c r="R43" s="21">
        <f t="shared" si="11"/>
        <v>1977</v>
      </c>
      <c r="S43" s="4">
        <f t="shared" si="14"/>
        <v>66317</v>
      </c>
      <c r="T43">
        <f t="shared" si="15"/>
        <v>0</v>
      </c>
      <c r="U43">
        <f t="shared" si="16"/>
        <v>46</v>
      </c>
      <c r="V43" s="1" t="str">
        <f t="shared" si="17"/>
        <v>O2</v>
      </c>
      <c r="W43" s="2">
        <f t="shared" si="18"/>
        <v>1441.6739130434783</v>
      </c>
      <c r="X43" s="2">
        <f t="shared" si="12"/>
        <v>0</v>
      </c>
      <c r="Y43" s="18">
        <f t="shared" si="19"/>
        <v>29.563800075092363</v>
      </c>
      <c r="Z43" s="18">
        <f t="shared" si="20"/>
        <v>0</v>
      </c>
      <c r="AA43" s="2">
        <f t="shared" si="13"/>
        <v>42621.35933869348</v>
      </c>
    </row>
    <row r="44" spans="1:27" ht="12.75">
      <c r="A44">
        <v>1978</v>
      </c>
      <c r="C44" s="36">
        <f t="shared" si="9"/>
        <v>1330717</v>
      </c>
      <c r="D44" s="36">
        <v>0</v>
      </c>
      <c r="E44" s="36">
        <v>67406</v>
      </c>
      <c r="F44" s="36">
        <v>441</v>
      </c>
      <c r="G44" s="36">
        <f t="shared" si="0"/>
        <v>1397682</v>
      </c>
      <c r="H44" s="27">
        <v>42.5</v>
      </c>
      <c r="I44" s="25">
        <v>0</v>
      </c>
      <c r="J44" s="25">
        <f t="shared" si="1"/>
        <v>0</v>
      </c>
      <c r="M44" s="38">
        <f t="shared" si="10"/>
        <v>67406</v>
      </c>
      <c r="R44" s="21">
        <f t="shared" si="11"/>
        <v>1978</v>
      </c>
      <c r="S44" s="4">
        <f t="shared" si="14"/>
        <v>67406</v>
      </c>
      <c r="T44">
        <f t="shared" si="15"/>
        <v>0</v>
      </c>
      <c r="U44">
        <f t="shared" si="16"/>
        <v>46</v>
      </c>
      <c r="V44" s="1" t="str">
        <f t="shared" si="17"/>
        <v>O2</v>
      </c>
      <c r="W44" s="2">
        <f t="shared" si="18"/>
        <v>1465.3478260869565</v>
      </c>
      <c r="X44" s="2">
        <f t="shared" si="12"/>
        <v>0</v>
      </c>
      <c r="Y44" s="18">
        <f t="shared" si="19"/>
        <v>29.80890387732006</v>
      </c>
      <c r="Z44" s="18">
        <f t="shared" si="20"/>
        <v>0</v>
      </c>
      <c r="AA44" s="2">
        <f t="shared" si="13"/>
        <v>43680.412494665994</v>
      </c>
    </row>
    <row r="45" spans="1:27" ht="12.75">
      <c r="A45">
        <v>1979</v>
      </c>
      <c r="C45" s="36">
        <f t="shared" si="9"/>
        <v>1397682</v>
      </c>
      <c r="D45" s="36">
        <v>0</v>
      </c>
      <c r="E45" s="36">
        <v>53560</v>
      </c>
      <c r="F45" s="36">
        <v>1416</v>
      </c>
      <c r="G45" s="36">
        <f t="shared" si="0"/>
        <v>1449826</v>
      </c>
      <c r="H45" s="27">
        <v>41.5</v>
      </c>
      <c r="I45" s="25">
        <v>0</v>
      </c>
      <c r="J45" s="25">
        <f t="shared" si="1"/>
        <v>0</v>
      </c>
      <c r="M45" s="38">
        <f t="shared" si="10"/>
        <v>53560</v>
      </c>
      <c r="R45" s="21">
        <f t="shared" si="11"/>
        <v>1979</v>
      </c>
      <c r="S45" s="4">
        <f t="shared" si="14"/>
        <v>53560</v>
      </c>
      <c r="T45">
        <f t="shared" si="15"/>
        <v>0</v>
      </c>
      <c r="U45">
        <f t="shared" si="16"/>
        <v>46</v>
      </c>
      <c r="V45" s="1" t="str">
        <f t="shared" si="17"/>
        <v>O2</v>
      </c>
      <c r="W45" s="2">
        <f t="shared" si="18"/>
        <v>1164.3478260869565</v>
      </c>
      <c r="X45" s="2">
        <f t="shared" si="12"/>
        <v>0</v>
      </c>
      <c r="Y45" s="18">
        <f t="shared" si="19"/>
        <v>30.064502086605508</v>
      </c>
      <c r="Z45" s="18">
        <f t="shared" si="20"/>
        <v>0</v>
      </c>
      <c r="AA45" s="2">
        <f t="shared" si="13"/>
        <v>35005.53764692589</v>
      </c>
    </row>
    <row r="46" spans="1:27" ht="12.75">
      <c r="A46">
        <v>1980</v>
      </c>
      <c r="C46" s="36">
        <f t="shared" si="9"/>
        <v>1449826</v>
      </c>
      <c r="D46" s="36">
        <v>0</v>
      </c>
      <c r="E46" s="36">
        <v>69898</v>
      </c>
      <c r="F46" s="36">
        <v>185265</v>
      </c>
      <c r="G46" s="36">
        <f t="shared" si="0"/>
        <v>1334459</v>
      </c>
      <c r="H46" s="27">
        <v>40.5</v>
      </c>
      <c r="I46" s="25">
        <v>0</v>
      </c>
      <c r="J46" s="25">
        <f t="shared" si="1"/>
        <v>0</v>
      </c>
      <c r="M46" s="38">
        <f t="shared" si="10"/>
        <v>69898</v>
      </c>
      <c r="R46" s="21">
        <f t="shared" si="11"/>
        <v>1980</v>
      </c>
      <c r="S46" s="4">
        <f t="shared" si="14"/>
        <v>69898</v>
      </c>
      <c r="T46">
        <f t="shared" si="15"/>
        <v>0</v>
      </c>
      <c r="U46">
        <f t="shared" si="16"/>
        <v>46</v>
      </c>
      <c r="V46" s="1" t="str">
        <f t="shared" si="17"/>
        <v>O2</v>
      </c>
      <c r="W46" s="2">
        <f t="shared" si="18"/>
        <v>1519.5217391304348</v>
      </c>
      <c r="X46" s="2">
        <f t="shared" si="12"/>
        <v>0</v>
      </c>
      <c r="Y46" s="18">
        <f t="shared" si="19"/>
        <v>30.330217958814007</v>
      </c>
      <c r="Z46" s="18">
        <f t="shared" si="20"/>
        <v>0</v>
      </c>
      <c r="AA46" s="2">
        <f t="shared" si="13"/>
        <v>46087.42554098221</v>
      </c>
    </row>
    <row r="47" spans="1:27" ht="12.75">
      <c r="A47">
        <v>1981</v>
      </c>
      <c r="C47" s="36">
        <f t="shared" si="9"/>
        <v>1334459</v>
      </c>
      <c r="D47" s="36">
        <v>0</v>
      </c>
      <c r="E47" s="36">
        <v>92069</v>
      </c>
      <c r="F47" s="36">
        <v>6704</v>
      </c>
      <c r="G47" s="36">
        <f t="shared" si="0"/>
        <v>1419824</v>
      </c>
      <c r="H47" s="27">
        <v>39.5</v>
      </c>
      <c r="I47" s="25">
        <v>0</v>
      </c>
      <c r="J47" s="25">
        <f t="shared" si="1"/>
        <v>0</v>
      </c>
      <c r="M47" s="38">
        <f t="shared" si="10"/>
        <v>92069</v>
      </c>
      <c r="R47" s="21">
        <f t="shared" si="11"/>
        <v>1981</v>
      </c>
      <c r="S47" s="4">
        <f t="shared" si="14"/>
        <v>92069</v>
      </c>
      <c r="T47">
        <f t="shared" si="15"/>
        <v>0</v>
      </c>
      <c r="U47">
        <f t="shared" si="16"/>
        <v>46</v>
      </c>
      <c r="V47" s="1" t="str">
        <f t="shared" si="17"/>
        <v>O2</v>
      </c>
      <c r="W47" s="2">
        <f t="shared" si="18"/>
        <v>2001.5</v>
      </c>
      <c r="X47" s="2">
        <f t="shared" si="12"/>
        <v>0</v>
      </c>
      <c r="Y47" s="18">
        <f t="shared" si="19"/>
        <v>30.605655093676205</v>
      </c>
      <c r="Z47" s="18">
        <f t="shared" si="20"/>
        <v>0</v>
      </c>
      <c r="AA47" s="2">
        <f t="shared" si="13"/>
        <v>61257.21866999292</v>
      </c>
    </row>
    <row r="48" spans="1:27" ht="12.75">
      <c r="A48">
        <v>1982</v>
      </c>
      <c r="C48" s="36">
        <f t="shared" si="9"/>
        <v>1419824</v>
      </c>
      <c r="D48" s="36">
        <v>0</v>
      </c>
      <c r="E48" s="36">
        <v>195244</v>
      </c>
      <c r="F48" s="36">
        <v>15730</v>
      </c>
      <c r="G48" s="36">
        <f t="shared" si="0"/>
        <v>1599338</v>
      </c>
      <c r="H48" s="27">
        <v>38.5</v>
      </c>
      <c r="I48" s="25">
        <v>0</v>
      </c>
      <c r="J48" s="25">
        <f t="shared" si="1"/>
        <v>0</v>
      </c>
      <c r="M48" s="38">
        <f t="shared" si="10"/>
        <v>195244</v>
      </c>
      <c r="R48" s="21">
        <f t="shared" si="11"/>
        <v>1982</v>
      </c>
      <c r="S48" s="4">
        <f t="shared" si="14"/>
        <v>195244</v>
      </c>
      <c r="T48">
        <f t="shared" si="15"/>
        <v>0</v>
      </c>
      <c r="U48">
        <f t="shared" si="16"/>
        <v>46</v>
      </c>
      <c r="V48" s="1" t="str">
        <f t="shared" si="17"/>
        <v>O2</v>
      </c>
      <c r="W48" s="2">
        <f t="shared" si="18"/>
        <v>4244.434782608696</v>
      </c>
      <c r="X48" s="2">
        <f t="shared" si="12"/>
        <v>0</v>
      </c>
      <c r="Y48" s="18">
        <f t="shared" si="19"/>
        <v>30.890405112226134</v>
      </c>
      <c r="Z48" s="18">
        <f t="shared" si="20"/>
        <v>0</v>
      </c>
      <c r="AA48" s="2">
        <f t="shared" si="13"/>
        <v>131112.30990720607</v>
      </c>
    </row>
    <row r="49" spans="1:27" ht="12.75">
      <c r="A49">
        <v>1983</v>
      </c>
      <c r="C49" s="36">
        <f t="shared" si="9"/>
        <v>1599338</v>
      </c>
      <c r="D49" s="36">
        <v>0</v>
      </c>
      <c r="E49" s="36">
        <v>125587</v>
      </c>
      <c r="F49" s="36">
        <v>12072</v>
      </c>
      <c r="G49" s="36">
        <f t="shared" si="0"/>
        <v>1712853</v>
      </c>
      <c r="H49" s="27">
        <v>37.5</v>
      </c>
      <c r="I49" s="25">
        <v>0</v>
      </c>
      <c r="J49" s="25">
        <f t="shared" si="1"/>
        <v>0</v>
      </c>
      <c r="M49" s="38">
        <f t="shared" si="10"/>
        <v>125587</v>
      </c>
      <c r="R49" s="21">
        <f t="shared" si="11"/>
        <v>1983</v>
      </c>
      <c r="S49" s="4">
        <f t="shared" si="14"/>
        <v>125587</v>
      </c>
      <c r="T49">
        <f t="shared" si="15"/>
        <v>0</v>
      </c>
      <c r="U49">
        <f t="shared" si="16"/>
        <v>46</v>
      </c>
      <c r="V49" s="1" t="str">
        <f t="shared" si="17"/>
        <v>O2</v>
      </c>
      <c r="W49" s="2">
        <f t="shared" si="18"/>
        <v>2730.1521739130435</v>
      </c>
      <c r="X49" s="2">
        <f t="shared" si="12"/>
        <v>0</v>
      </c>
      <c r="Y49" s="18">
        <f t="shared" si="19"/>
        <v>31.18405422440721</v>
      </c>
      <c r="Z49" s="18">
        <f t="shared" si="20"/>
        <v>0</v>
      </c>
      <c r="AA49" s="2">
        <f t="shared" si="13"/>
        <v>85137.21343218756</v>
      </c>
    </row>
    <row r="50" spans="1:27" ht="12.75">
      <c r="A50">
        <v>1984</v>
      </c>
      <c r="C50" s="36">
        <f t="shared" si="9"/>
        <v>1712853</v>
      </c>
      <c r="D50" s="36">
        <v>0</v>
      </c>
      <c r="E50" s="36">
        <v>147259</v>
      </c>
      <c r="F50" s="36">
        <v>28342</v>
      </c>
      <c r="G50" s="36">
        <f t="shared" si="0"/>
        <v>1831770</v>
      </c>
      <c r="H50" s="27">
        <v>36.5</v>
      </c>
      <c r="I50" s="25">
        <v>0</v>
      </c>
      <c r="J50" s="25">
        <f t="shared" si="1"/>
        <v>0</v>
      </c>
      <c r="M50" s="38">
        <f t="shared" si="10"/>
        <v>147259</v>
      </c>
      <c r="R50" s="21">
        <f t="shared" si="11"/>
        <v>1984</v>
      </c>
      <c r="S50" s="4">
        <f t="shared" si="14"/>
        <v>147259</v>
      </c>
      <c r="T50">
        <f t="shared" si="15"/>
        <v>0</v>
      </c>
      <c r="U50">
        <f t="shared" si="16"/>
        <v>46</v>
      </c>
      <c r="V50" s="1" t="str">
        <f t="shared" si="17"/>
        <v>O2</v>
      </c>
      <c r="W50" s="2">
        <f t="shared" si="18"/>
        <v>3201.282608695652</v>
      </c>
      <c r="X50" s="2">
        <f t="shared" si="12"/>
        <v>0</v>
      </c>
      <c r="Y50" s="18">
        <f t="shared" si="19"/>
        <v>31.486188745722856</v>
      </c>
      <c r="Z50" s="18">
        <f t="shared" si="20"/>
        <v>0</v>
      </c>
      <c r="AA50" s="2">
        <f t="shared" si="13"/>
        <v>100796.18844579134</v>
      </c>
    </row>
    <row r="51" spans="1:27" ht="12.75">
      <c r="A51">
        <v>1985</v>
      </c>
      <c r="C51" s="36">
        <f t="shared" si="9"/>
        <v>1831770</v>
      </c>
      <c r="D51" s="36">
        <v>0</v>
      </c>
      <c r="E51" s="36">
        <v>82296</v>
      </c>
      <c r="F51" s="36">
        <v>11883</v>
      </c>
      <c r="G51" s="36">
        <f t="shared" si="0"/>
        <v>1902183</v>
      </c>
      <c r="H51" s="27">
        <v>35.5</v>
      </c>
      <c r="I51" s="25">
        <v>0</v>
      </c>
      <c r="J51" s="25">
        <f t="shared" si="1"/>
        <v>0</v>
      </c>
      <c r="M51" s="38">
        <f t="shared" si="10"/>
        <v>82296</v>
      </c>
      <c r="R51" s="21">
        <f t="shared" si="11"/>
        <v>1985</v>
      </c>
      <c r="S51" s="4">
        <f t="shared" si="14"/>
        <v>82296</v>
      </c>
      <c r="T51">
        <f t="shared" si="15"/>
        <v>0</v>
      </c>
      <c r="U51">
        <f t="shared" si="16"/>
        <v>46</v>
      </c>
      <c r="V51" s="1" t="str">
        <f t="shared" si="17"/>
        <v>O2</v>
      </c>
      <c r="W51" s="2">
        <f t="shared" si="18"/>
        <v>1789.0434782608695</v>
      </c>
      <c r="X51" s="2">
        <f t="shared" si="12"/>
        <v>0</v>
      </c>
      <c r="Y51" s="18">
        <f t="shared" si="19"/>
        <v>31.796399643766918</v>
      </c>
      <c r="Z51" s="18">
        <f t="shared" si="20"/>
        <v>0</v>
      </c>
      <c r="AA51" s="2">
        <f t="shared" si="13"/>
        <v>56885.14141485744</v>
      </c>
    </row>
    <row r="52" spans="1:27" ht="12.75">
      <c r="A52">
        <v>1986</v>
      </c>
      <c r="C52" s="36">
        <f aca="true" t="shared" si="21" ref="C52:C68">G51</f>
        <v>1902183</v>
      </c>
      <c r="D52" s="36">
        <v>0</v>
      </c>
      <c r="E52" s="36">
        <f>87488-49320+43171</f>
        <v>81339</v>
      </c>
      <c r="F52" s="36">
        <f>14898-6358+6641</f>
        <v>15181</v>
      </c>
      <c r="G52" s="36">
        <f aca="true" t="shared" si="22" ref="G52:G68">C52+D52+E52-F52</f>
        <v>1968341</v>
      </c>
      <c r="H52" s="27">
        <v>34.5</v>
      </c>
      <c r="I52" s="25">
        <v>0</v>
      </c>
      <c r="J52" s="25">
        <f>IF(I52=0,0,ROUND((I52/D52/$G$94)+H52,1))</f>
        <v>0</v>
      </c>
      <c r="M52" s="38">
        <f t="shared" si="10"/>
        <v>81339</v>
      </c>
      <c r="R52" s="21">
        <f t="shared" si="11"/>
        <v>1986</v>
      </c>
      <c r="S52" s="4">
        <f t="shared" si="14"/>
        <v>81339</v>
      </c>
      <c r="T52">
        <f t="shared" si="15"/>
        <v>0</v>
      </c>
      <c r="U52">
        <f t="shared" si="16"/>
        <v>46</v>
      </c>
      <c r="V52" s="1" t="str">
        <f t="shared" si="17"/>
        <v>O2</v>
      </c>
      <c r="W52" s="2">
        <f t="shared" si="18"/>
        <v>1768.2391304347825</v>
      </c>
      <c r="X52" s="2">
        <f t="shared" si="12"/>
        <v>0</v>
      </c>
      <c r="Y52" s="18">
        <f t="shared" si="19"/>
        <v>32.11428620751609</v>
      </c>
      <c r="Z52" s="18">
        <f t="shared" si="20"/>
        <v>0</v>
      </c>
      <c r="AA52" s="2">
        <f t="shared" si="13"/>
        <v>56785.73751811198</v>
      </c>
    </row>
    <row r="53" spans="1:27" ht="12.75">
      <c r="A53">
        <v>1987</v>
      </c>
      <c r="C53" s="36">
        <f t="shared" si="21"/>
        <v>1968341</v>
      </c>
      <c r="D53" s="36">
        <v>-3463</v>
      </c>
      <c r="E53" s="36">
        <f>122914-43171+45786</f>
        <v>125529</v>
      </c>
      <c r="F53" s="36">
        <f>13354-6641+6774</f>
        <v>13487</v>
      </c>
      <c r="G53" s="36">
        <f t="shared" si="22"/>
        <v>2076920</v>
      </c>
      <c r="H53" s="27">
        <v>33.5</v>
      </c>
      <c r="I53" s="25">
        <v>0</v>
      </c>
      <c r="J53" s="25">
        <f aca="true" t="shared" si="23" ref="J53:J68">IF(I53=0,0,ROUND((I53/D53/$G$94)+H53,1))</f>
        <v>0</v>
      </c>
      <c r="M53" s="38">
        <f t="shared" si="10"/>
        <v>122066</v>
      </c>
      <c r="R53" s="21">
        <f t="shared" si="11"/>
        <v>1987</v>
      </c>
      <c r="S53" s="4">
        <f t="shared" si="14"/>
        <v>125529</v>
      </c>
      <c r="T53">
        <f t="shared" si="15"/>
        <v>0</v>
      </c>
      <c r="U53">
        <f t="shared" si="16"/>
        <v>46</v>
      </c>
      <c r="V53" s="1" t="str">
        <f t="shared" si="17"/>
        <v>O2</v>
      </c>
      <c r="W53" s="2">
        <f t="shared" si="18"/>
        <v>2728.891304347826</v>
      </c>
      <c r="X53" s="2">
        <f t="shared" si="12"/>
        <v>0</v>
      </c>
      <c r="Y53" s="18">
        <f t="shared" si="19"/>
        <v>32.439458936789656</v>
      </c>
      <c r="Z53" s="18">
        <f t="shared" si="20"/>
        <v>0</v>
      </c>
      <c r="AA53" s="2">
        <f t="shared" si="13"/>
        <v>88523.75741035366</v>
      </c>
    </row>
    <row r="54" spans="1:27" ht="12.75">
      <c r="A54">
        <v>1988</v>
      </c>
      <c r="C54" s="36">
        <f t="shared" si="21"/>
        <v>2076920</v>
      </c>
      <c r="D54" s="36">
        <f>-3463+3463</f>
        <v>0</v>
      </c>
      <c r="E54" s="36">
        <f>192866-45786+69833</f>
        <v>216913</v>
      </c>
      <c r="F54" s="36">
        <f>11973-6774+4949</f>
        <v>10148</v>
      </c>
      <c r="G54" s="36">
        <f t="shared" si="22"/>
        <v>2283685</v>
      </c>
      <c r="H54" s="27">
        <v>32.5</v>
      </c>
      <c r="I54" s="26">
        <v>0</v>
      </c>
      <c r="J54" s="25">
        <f t="shared" si="23"/>
        <v>0</v>
      </c>
      <c r="M54" s="38">
        <f t="shared" si="10"/>
        <v>216913</v>
      </c>
      <c r="R54" s="21">
        <f t="shared" si="11"/>
        <v>1988</v>
      </c>
      <c r="S54" s="4">
        <f t="shared" si="14"/>
        <v>216913</v>
      </c>
      <c r="T54">
        <f t="shared" si="15"/>
        <v>0</v>
      </c>
      <c r="U54">
        <f t="shared" si="16"/>
        <v>46</v>
      </c>
      <c r="V54" s="1" t="str">
        <f t="shared" si="17"/>
        <v>O2</v>
      </c>
      <c r="W54" s="2">
        <f t="shared" si="18"/>
        <v>4715.5</v>
      </c>
      <c r="X54" s="2">
        <f t="shared" si="12"/>
        <v>0</v>
      </c>
      <c r="Y54" s="18">
        <f t="shared" si="19"/>
        <v>32.771541748421846</v>
      </c>
      <c r="Z54" s="18">
        <f t="shared" si="20"/>
        <v>0</v>
      </c>
      <c r="AA54" s="2">
        <f t="shared" si="13"/>
        <v>154534.20511468322</v>
      </c>
    </row>
    <row r="55" spans="1:27" ht="12.75">
      <c r="A55">
        <v>1989</v>
      </c>
      <c r="C55" s="36">
        <f t="shared" si="21"/>
        <v>2283685</v>
      </c>
      <c r="D55" s="36">
        <v>0</v>
      </c>
      <c r="E55" s="36">
        <f>151099-69833+4888</f>
        <v>86154</v>
      </c>
      <c r="F55" s="36">
        <f>10942-4949+2022</f>
        <v>8015</v>
      </c>
      <c r="G55" s="36">
        <f t="shared" si="22"/>
        <v>2361824</v>
      </c>
      <c r="H55" s="27">
        <v>31.5</v>
      </c>
      <c r="I55" s="25">
        <v>0</v>
      </c>
      <c r="J55" s="25">
        <f t="shared" si="23"/>
        <v>0</v>
      </c>
      <c r="M55" s="38">
        <f t="shared" si="10"/>
        <v>86154</v>
      </c>
      <c r="R55" s="21">
        <f t="shared" si="11"/>
        <v>1989</v>
      </c>
      <c r="S55" s="4">
        <f t="shared" si="14"/>
        <v>86154</v>
      </c>
      <c r="T55">
        <f t="shared" si="15"/>
        <v>0</v>
      </c>
      <c r="U55">
        <f t="shared" si="16"/>
        <v>46</v>
      </c>
      <c r="V55" s="1" t="str">
        <f t="shared" si="17"/>
        <v>O2</v>
      </c>
      <c r="W55" s="2">
        <f t="shared" si="18"/>
        <v>1872.9130434782608</v>
      </c>
      <c r="X55" s="2">
        <f t="shared" si="12"/>
        <v>0</v>
      </c>
      <c r="Y55" s="18">
        <f t="shared" si="19"/>
        <v>33.1101735912122</v>
      </c>
      <c r="Z55" s="18">
        <f t="shared" si="20"/>
        <v>0</v>
      </c>
      <c r="AA55" s="2">
        <f t="shared" si="13"/>
        <v>62012.47599081078</v>
      </c>
    </row>
    <row r="56" spans="1:27" ht="12.75">
      <c r="A56">
        <v>1990</v>
      </c>
      <c r="C56" s="36">
        <f t="shared" si="21"/>
        <v>2361824</v>
      </c>
      <c r="D56" s="36">
        <v>0</v>
      </c>
      <c r="E56" s="36">
        <f>185493-4888+14653</f>
        <v>195258</v>
      </c>
      <c r="F56" s="36">
        <f>5923-2022+4046</f>
        <v>7947</v>
      </c>
      <c r="G56" s="36">
        <f t="shared" si="22"/>
        <v>2549135</v>
      </c>
      <c r="H56" s="27">
        <v>30.5</v>
      </c>
      <c r="I56" s="25">
        <v>0</v>
      </c>
      <c r="J56" s="25">
        <f t="shared" si="23"/>
        <v>0</v>
      </c>
      <c r="M56" s="38">
        <f t="shared" si="10"/>
        <v>195258</v>
      </c>
      <c r="R56" s="21">
        <f t="shared" si="11"/>
        <v>1990</v>
      </c>
      <c r="S56" s="4">
        <f t="shared" si="14"/>
        <v>195258</v>
      </c>
      <c r="T56">
        <f t="shared" si="15"/>
        <v>0</v>
      </c>
      <c r="U56">
        <f t="shared" si="16"/>
        <v>46</v>
      </c>
      <c r="V56" s="1" t="str">
        <f t="shared" si="17"/>
        <v>O2</v>
      </c>
      <c r="W56" s="2">
        <f t="shared" si="18"/>
        <v>4244.739130434783</v>
      </c>
      <c r="X56" s="2">
        <f t="shared" si="12"/>
        <v>0</v>
      </c>
      <c r="Y56" s="18">
        <f t="shared" si="19"/>
        <v>33.45500955505616</v>
      </c>
      <c r="Z56" s="18">
        <f t="shared" si="20"/>
        <v>0</v>
      </c>
      <c r="AA56" s="2">
        <f t="shared" si="13"/>
        <v>142007.78816741644</v>
      </c>
    </row>
    <row r="57" spans="1:27" ht="12.75">
      <c r="A57">
        <v>1991</v>
      </c>
      <c r="C57" s="36">
        <f t="shared" si="21"/>
        <v>2549135</v>
      </c>
      <c r="D57" s="36">
        <v>0</v>
      </c>
      <c r="E57" s="36">
        <f>98978-14653+57766</f>
        <v>142091</v>
      </c>
      <c r="F57" s="36">
        <f>8124-4046+2478</f>
        <v>6556</v>
      </c>
      <c r="G57" s="36">
        <f t="shared" si="22"/>
        <v>2684670</v>
      </c>
      <c r="H57" s="27">
        <v>29.5</v>
      </c>
      <c r="I57" s="25">
        <v>0</v>
      </c>
      <c r="J57" s="25">
        <f t="shared" si="23"/>
        <v>0</v>
      </c>
      <c r="M57" s="38">
        <f t="shared" si="10"/>
        <v>142091</v>
      </c>
      <c r="R57" s="21">
        <f t="shared" si="11"/>
        <v>1991</v>
      </c>
      <c r="S57" s="4">
        <f t="shared" si="14"/>
        <v>142091</v>
      </c>
      <c r="T57">
        <f t="shared" si="15"/>
        <v>0</v>
      </c>
      <c r="U57">
        <f t="shared" si="16"/>
        <v>46</v>
      </c>
      <c r="V57" s="1" t="str">
        <f t="shared" si="17"/>
        <v>O2</v>
      </c>
      <c r="W57" s="2">
        <f t="shared" si="18"/>
        <v>3088.9347826086955</v>
      </c>
      <c r="X57" s="2">
        <f t="shared" si="12"/>
        <v>0</v>
      </c>
      <c r="Y57" s="18">
        <f t="shared" si="19"/>
        <v>33.80572155185127</v>
      </c>
      <c r="Z57" s="18">
        <f t="shared" si="20"/>
        <v>0</v>
      </c>
      <c r="AA57" s="2">
        <f t="shared" si="13"/>
        <v>104423.6691526978</v>
      </c>
    </row>
    <row r="58" spans="1:27" ht="12.75">
      <c r="A58">
        <v>1992</v>
      </c>
      <c r="C58" s="36">
        <f t="shared" si="21"/>
        <v>2684670</v>
      </c>
      <c r="D58" s="36">
        <f>6585</f>
        <v>6585</v>
      </c>
      <c r="E58" s="36">
        <f>118676-57766+44297</f>
        <v>105207</v>
      </c>
      <c r="F58" s="36">
        <f>6296-2478+3778</f>
        <v>7596</v>
      </c>
      <c r="G58" s="36">
        <f t="shared" si="22"/>
        <v>2788866</v>
      </c>
      <c r="H58" s="27">
        <v>28.5</v>
      </c>
      <c r="I58" s="25">
        <v>3743</v>
      </c>
      <c r="J58" s="25">
        <f t="shared" si="23"/>
        <v>47.4</v>
      </c>
      <c r="M58" s="38">
        <f t="shared" si="10"/>
        <v>111792</v>
      </c>
      <c r="R58" s="21">
        <f t="shared" si="11"/>
        <v>1992</v>
      </c>
      <c r="S58" s="4">
        <f t="shared" si="14"/>
        <v>105207</v>
      </c>
      <c r="T58">
        <f t="shared" si="15"/>
        <v>6585</v>
      </c>
      <c r="U58">
        <f t="shared" si="16"/>
        <v>46</v>
      </c>
      <c r="V58" s="1" t="str">
        <f t="shared" si="17"/>
        <v>O2</v>
      </c>
      <c r="W58" s="2">
        <f t="shared" si="18"/>
        <v>2287.108695652174</v>
      </c>
      <c r="X58" s="2">
        <f t="shared" si="12"/>
        <v>143.15217391304347</v>
      </c>
      <c r="Y58" s="18">
        <f t="shared" si="19"/>
        <v>34.16199863763721</v>
      </c>
      <c r="Z58" s="18">
        <f t="shared" si="20"/>
        <v>0</v>
      </c>
      <c r="AA58" s="2">
        <f t="shared" si="13"/>
        <v>78132.20414499778</v>
      </c>
    </row>
    <row r="59" spans="1:27" ht="12.75">
      <c r="A59">
        <v>1993</v>
      </c>
      <c r="C59" s="36">
        <f t="shared" si="21"/>
        <v>2788866</v>
      </c>
      <c r="D59" s="36">
        <f>6585-6585</f>
        <v>0</v>
      </c>
      <c r="E59" s="36">
        <f>169135-44297+157035</f>
        <v>281873</v>
      </c>
      <c r="F59" s="36">
        <f>6058-3778+2837</f>
        <v>5117</v>
      </c>
      <c r="G59" s="36">
        <f t="shared" si="22"/>
        <v>3065622</v>
      </c>
      <c r="H59" s="27">
        <v>27.5</v>
      </c>
      <c r="I59" s="25"/>
      <c r="J59" s="25">
        <f t="shared" si="23"/>
        <v>0</v>
      </c>
      <c r="M59" s="38">
        <f t="shared" si="10"/>
        <v>281873</v>
      </c>
      <c r="R59" s="21">
        <f t="shared" si="11"/>
        <v>1993</v>
      </c>
      <c r="S59" s="4">
        <f t="shared" si="14"/>
        <v>281873</v>
      </c>
      <c r="T59">
        <f t="shared" si="15"/>
        <v>0</v>
      </c>
      <c r="U59">
        <f t="shared" si="16"/>
        <v>46</v>
      </c>
      <c r="V59" s="1" t="str">
        <f t="shared" si="17"/>
        <v>O2</v>
      </c>
      <c r="W59" s="2">
        <f t="shared" si="18"/>
        <v>6127.673913043478</v>
      </c>
      <c r="X59" s="2">
        <f t="shared" si="12"/>
        <v>0</v>
      </c>
      <c r="Y59" s="18">
        <f t="shared" si="19"/>
        <v>34.52354703745672</v>
      </c>
      <c r="Z59" s="18">
        <f t="shared" si="20"/>
        <v>0</v>
      </c>
      <c r="AA59" s="2">
        <f t="shared" si="13"/>
        <v>211549.038567153</v>
      </c>
    </row>
    <row r="60" spans="1:27" ht="12.75">
      <c r="A60">
        <v>1994</v>
      </c>
      <c r="C60" s="36">
        <f t="shared" si="21"/>
        <v>3065622</v>
      </c>
      <c r="D60" s="36">
        <v>0</v>
      </c>
      <c r="E60" s="36">
        <f>241495-157035+154945</f>
        <v>239405</v>
      </c>
      <c r="F60" s="36">
        <f>5828-2837+3522</f>
        <v>6513</v>
      </c>
      <c r="G60" s="36">
        <f t="shared" si="22"/>
        <v>3298514</v>
      </c>
      <c r="H60" s="27">
        <v>26.5</v>
      </c>
      <c r="I60" s="25">
        <v>0</v>
      </c>
      <c r="J60" s="25">
        <f t="shared" si="23"/>
        <v>0</v>
      </c>
      <c r="M60" s="38">
        <f t="shared" si="10"/>
        <v>239405</v>
      </c>
      <c r="R60" s="21">
        <f t="shared" si="11"/>
        <v>1994</v>
      </c>
      <c r="S60" s="4">
        <f t="shared" si="14"/>
        <v>239405</v>
      </c>
      <c r="T60">
        <f t="shared" si="15"/>
        <v>0</v>
      </c>
      <c r="U60">
        <f t="shared" si="16"/>
        <v>46</v>
      </c>
      <c r="V60" s="1" t="str">
        <f t="shared" si="17"/>
        <v>O2</v>
      </c>
      <c r="W60" s="2">
        <f t="shared" si="18"/>
        <v>5204.45652173913</v>
      </c>
      <c r="X60" s="2">
        <f t="shared" si="12"/>
        <v>0</v>
      </c>
      <c r="Y60" s="18">
        <f t="shared" si="19"/>
        <v>34.89008992699202</v>
      </c>
      <c r="Z60" s="18">
        <f t="shared" si="20"/>
        <v>0</v>
      </c>
      <c r="AA60" s="2">
        <f t="shared" si="13"/>
        <v>181583.95606459834</v>
      </c>
    </row>
    <row r="61" spans="1:27" ht="12.75">
      <c r="A61">
        <v>1995</v>
      </c>
      <c r="C61" s="36">
        <f t="shared" si="21"/>
        <v>3298514</v>
      </c>
      <c r="D61" s="36">
        <v>0</v>
      </c>
      <c r="E61" s="36">
        <f>271951-154945+180772</f>
        <v>297778</v>
      </c>
      <c r="F61" s="36">
        <f>10489-3522+3683</f>
        <v>10650</v>
      </c>
      <c r="G61" s="36">
        <f t="shared" si="22"/>
        <v>3585642</v>
      </c>
      <c r="H61" s="27">
        <v>25.5</v>
      </c>
      <c r="I61" s="25"/>
      <c r="J61" s="25">
        <f t="shared" si="23"/>
        <v>0</v>
      </c>
      <c r="M61" s="38">
        <f t="shared" si="10"/>
        <v>297778</v>
      </c>
      <c r="R61" s="21">
        <f t="shared" si="11"/>
        <v>1995</v>
      </c>
      <c r="S61" s="4">
        <f t="shared" si="14"/>
        <v>297778</v>
      </c>
      <c r="T61">
        <f t="shared" si="15"/>
        <v>0</v>
      </c>
      <c r="U61">
        <f t="shared" si="16"/>
        <v>46</v>
      </c>
      <c r="V61" s="1" t="str">
        <f t="shared" si="17"/>
        <v>O2</v>
      </c>
      <c r="W61" s="2">
        <f t="shared" si="18"/>
        <v>6473.434782608696</v>
      </c>
      <c r="X61" s="2">
        <f t="shared" si="12"/>
        <v>0</v>
      </c>
      <c r="Y61" s="18">
        <f t="shared" si="19"/>
        <v>35.26136701831176</v>
      </c>
      <c r="Z61" s="18">
        <f t="shared" si="20"/>
        <v>0</v>
      </c>
      <c r="AA61" s="2">
        <f t="shared" si="13"/>
        <v>228262.15973867042</v>
      </c>
    </row>
    <row r="62" spans="1:27" ht="12.75">
      <c r="A62">
        <v>1996</v>
      </c>
      <c r="C62" s="36">
        <f t="shared" si="21"/>
        <v>3585642</v>
      </c>
      <c r="D62" s="36">
        <v>0</v>
      </c>
      <c r="E62" s="36">
        <f>480567-180772+704624</f>
        <v>1004419</v>
      </c>
      <c r="F62" s="36">
        <f>14625-3683+4701</f>
        <v>15643</v>
      </c>
      <c r="G62" s="36">
        <f t="shared" si="22"/>
        <v>4574418</v>
      </c>
      <c r="H62" s="27">
        <v>24.5</v>
      </c>
      <c r="I62" s="25">
        <v>0</v>
      </c>
      <c r="J62" s="25">
        <f t="shared" si="23"/>
        <v>0</v>
      </c>
      <c r="M62" s="38">
        <f t="shared" si="10"/>
        <v>1004419</v>
      </c>
      <c r="R62" s="21">
        <f t="shared" si="11"/>
        <v>1996</v>
      </c>
      <c r="S62" s="4">
        <f t="shared" si="14"/>
        <v>1004419</v>
      </c>
      <c r="T62">
        <f t="shared" si="15"/>
        <v>0</v>
      </c>
      <c r="U62">
        <f t="shared" si="16"/>
        <v>46</v>
      </c>
      <c r="V62" s="1" t="str">
        <f t="shared" si="17"/>
        <v>O2</v>
      </c>
      <c r="W62" s="2">
        <f t="shared" si="18"/>
        <v>21835.195652173912</v>
      </c>
      <c r="X62" s="2">
        <f t="shared" si="12"/>
        <v>0</v>
      </c>
      <c r="Y62" s="18">
        <f t="shared" si="19"/>
        <v>35.63713399115579</v>
      </c>
      <c r="Z62" s="18">
        <f t="shared" si="20"/>
        <v>0</v>
      </c>
      <c r="AA62" s="2">
        <f t="shared" si="13"/>
        <v>778143.7931796241</v>
      </c>
    </row>
    <row r="63" spans="1:27" ht="12.75">
      <c r="A63">
        <v>1997</v>
      </c>
      <c r="C63" s="36">
        <f t="shared" si="21"/>
        <v>4574418</v>
      </c>
      <c r="D63" s="36">
        <v>0</v>
      </c>
      <c r="E63" s="36">
        <v>94368</v>
      </c>
      <c r="F63" s="36">
        <v>21641</v>
      </c>
      <c r="G63" s="36">
        <f t="shared" si="22"/>
        <v>4647145</v>
      </c>
      <c r="H63" s="27">
        <v>23.5</v>
      </c>
      <c r="I63" s="26">
        <v>0</v>
      </c>
      <c r="J63" s="25">
        <f t="shared" si="23"/>
        <v>0</v>
      </c>
      <c r="M63" s="38">
        <f t="shared" si="10"/>
        <v>94368</v>
      </c>
      <c r="R63" s="21">
        <f t="shared" si="11"/>
        <v>1997</v>
      </c>
      <c r="S63" s="4">
        <f t="shared" si="14"/>
        <v>94368</v>
      </c>
      <c r="T63">
        <f t="shared" si="15"/>
        <v>0</v>
      </c>
      <c r="U63">
        <f t="shared" si="16"/>
        <v>46</v>
      </c>
      <c r="V63" s="1" t="str">
        <f t="shared" si="17"/>
        <v>O2</v>
      </c>
      <c r="W63" s="2">
        <f t="shared" si="18"/>
        <v>2051.478260869565</v>
      </c>
      <c r="X63" s="2">
        <f t="shared" si="12"/>
        <v>0</v>
      </c>
      <c r="Y63" s="18">
        <f t="shared" si="19"/>
        <v>36.01716180609856</v>
      </c>
      <c r="Z63" s="18">
        <f t="shared" si="20"/>
        <v>0</v>
      </c>
      <c r="AA63" s="2">
        <f t="shared" si="13"/>
        <v>73888.42446343279</v>
      </c>
    </row>
    <row r="64" spans="1:27" ht="12.75">
      <c r="A64">
        <v>1998</v>
      </c>
      <c r="C64" s="36">
        <f t="shared" si="21"/>
        <v>4647145</v>
      </c>
      <c r="D64" s="36">
        <v>-295</v>
      </c>
      <c r="E64" s="36">
        <v>828908</v>
      </c>
      <c r="F64" s="36">
        <v>21341</v>
      </c>
      <c r="G64" s="36">
        <f t="shared" si="22"/>
        <v>5454417</v>
      </c>
      <c r="H64" s="27">
        <v>22.5</v>
      </c>
      <c r="I64" s="25"/>
      <c r="J64" s="25">
        <f t="shared" si="23"/>
        <v>0</v>
      </c>
      <c r="M64" s="38">
        <f t="shared" si="10"/>
        <v>828613</v>
      </c>
      <c r="R64" s="21">
        <f t="shared" si="11"/>
        <v>1998</v>
      </c>
      <c r="S64" s="4">
        <f t="shared" si="14"/>
        <v>828908</v>
      </c>
      <c r="T64">
        <f t="shared" si="15"/>
        <v>0</v>
      </c>
      <c r="U64">
        <f t="shared" si="16"/>
        <v>46</v>
      </c>
      <c r="V64" s="1" t="str">
        <f t="shared" si="17"/>
        <v>O2</v>
      </c>
      <c r="W64" s="2">
        <f t="shared" si="18"/>
        <v>18019.739130434784</v>
      </c>
      <c r="X64" s="2">
        <f t="shared" si="12"/>
        <v>0</v>
      </c>
      <c r="Y64" s="18">
        <f t="shared" si="19"/>
        <v>36.40123593163943</v>
      </c>
      <c r="Z64" s="18">
        <f t="shared" si="20"/>
        <v>0</v>
      </c>
      <c r="AA64" s="2">
        <f t="shared" si="13"/>
        <v>655940.7755135517</v>
      </c>
    </row>
    <row r="65" spans="1:27" ht="12.75">
      <c r="A65">
        <v>1999</v>
      </c>
      <c r="C65" s="36">
        <f t="shared" si="21"/>
        <v>5454417</v>
      </c>
      <c r="D65" s="36">
        <v>0</v>
      </c>
      <c r="E65" s="36">
        <v>221392</v>
      </c>
      <c r="F65" s="36">
        <v>7875</v>
      </c>
      <c r="G65" s="36">
        <f t="shared" si="22"/>
        <v>5667934</v>
      </c>
      <c r="H65" s="27">
        <v>21.5</v>
      </c>
      <c r="I65" s="25">
        <v>0</v>
      </c>
      <c r="J65" s="25">
        <f t="shared" si="23"/>
        <v>0</v>
      </c>
      <c r="M65" s="38">
        <f t="shared" si="10"/>
        <v>221392</v>
      </c>
      <c r="R65" s="21">
        <f t="shared" si="11"/>
        <v>1999</v>
      </c>
      <c r="S65" s="4">
        <f t="shared" si="14"/>
        <v>221392</v>
      </c>
      <c r="T65">
        <f t="shared" si="15"/>
        <v>0</v>
      </c>
      <c r="U65">
        <f t="shared" si="16"/>
        <v>46</v>
      </c>
      <c r="V65" s="1" t="str">
        <f t="shared" si="17"/>
        <v>O2</v>
      </c>
      <c r="W65" s="2">
        <f t="shared" si="18"/>
        <v>4812.869565217391</v>
      </c>
      <c r="X65" s="2">
        <f t="shared" si="12"/>
        <v>0</v>
      </c>
      <c r="Y65" s="18">
        <f t="shared" si="19"/>
        <v>36.78915551369119</v>
      </c>
      <c r="Z65" s="18">
        <f t="shared" si="20"/>
        <v>0</v>
      </c>
      <c r="AA65" s="2">
        <f t="shared" si="13"/>
        <v>177061.4069018939</v>
      </c>
    </row>
    <row r="66" spans="1:27" ht="12.75">
      <c r="A66">
        <v>2000</v>
      </c>
      <c r="C66" s="36">
        <f t="shared" si="21"/>
        <v>5667934</v>
      </c>
      <c r="D66" s="36">
        <v>0</v>
      </c>
      <c r="E66" s="36">
        <v>203319</v>
      </c>
      <c r="F66" s="36">
        <v>19071</v>
      </c>
      <c r="G66" s="36">
        <f t="shared" si="22"/>
        <v>5852182</v>
      </c>
      <c r="H66" s="27">
        <v>20.5</v>
      </c>
      <c r="I66" s="26">
        <v>0</v>
      </c>
      <c r="J66" s="25">
        <f t="shared" si="23"/>
        <v>0</v>
      </c>
      <c r="M66" s="38">
        <f t="shared" si="10"/>
        <v>203319</v>
      </c>
      <c r="R66" s="21">
        <f t="shared" si="11"/>
        <v>2000</v>
      </c>
      <c r="S66" s="4">
        <f t="shared" si="14"/>
        <v>203319</v>
      </c>
      <c r="T66">
        <f t="shared" si="15"/>
        <v>0</v>
      </c>
      <c r="U66">
        <f t="shared" si="16"/>
        <v>46</v>
      </c>
      <c r="V66" s="1" t="str">
        <f t="shared" si="17"/>
        <v>O2</v>
      </c>
      <c r="W66" s="2">
        <f t="shared" si="18"/>
        <v>4419.978260869565</v>
      </c>
      <c r="X66" s="2">
        <f t="shared" si="12"/>
        <v>0</v>
      </c>
      <c r="Y66" s="18">
        <f t="shared" si="19"/>
        <v>37.18073251301268</v>
      </c>
      <c r="Z66" s="18">
        <f t="shared" si="20"/>
        <v>0</v>
      </c>
      <c r="AA66" s="2">
        <f t="shared" si="13"/>
        <v>164338.02943072226</v>
      </c>
    </row>
    <row r="67" spans="1:27" ht="12.75">
      <c r="A67">
        <v>2001</v>
      </c>
      <c r="C67" s="36">
        <f t="shared" si="21"/>
        <v>5852182</v>
      </c>
      <c r="D67" s="36">
        <v>0</v>
      </c>
      <c r="E67" s="36">
        <v>408435</v>
      </c>
      <c r="F67" s="36">
        <v>15242</v>
      </c>
      <c r="G67" s="36">
        <f t="shared" si="22"/>
        <v>6245375</v>
      </c>
      <c r="H67" s="27">
        <v>19.5</v>
      </c>
      <c r="I67" s="26">
        <v>0</v>
      </c>
      <c r="J67" s="25">
        <f t="shared" si="23"/>
        <v>0</v>
      </c>
      <c r="M67" s="38">
        <f t="shared" si="10"/>
        <v>408435</v>
      </c>
      <c r="R67" s="21">
        <f t="shared" si="11"/>
        <v>2001</v>
      </c>
      <c r="S67" s="4">
        <f t="shared" si="14"/>
        <v>408435</v>
      </c>
      <c r="T67">
        <f t="shared" si="15"/>
        <v>0</v>
      </c>
      <c r="U67">
        <f t="shared" si="16"/>
        <v>46</v>
      </c>
      <c r="V67" s="1" t="str">
        <f t="shared" si="17"/>
        <v>O2</v>
      </c>
      <c r="W67" s="2">
        <f t="shared" si="18"/>
        <v>8879.021739130434</v>
      </c>
      <c r="X67" s="2">
        <f t="shared" si="12"/>
        <v>0</v>
      </c>
      <c r="Y67" s="18">
        <f>Prob_life($V$67,H67,$U$67)</f>
        <v>37.575790833747014</v>
      </c>
      <c r="Z67" s="18">
        <f t="shared" si="20"/>
        <v>0</v>
      </c>
      <c r="AA67" s="2">
        <f t="shared" si="13"/>
        <v>333636.2636778578</v>
      </c>
    </row>
    <row r="68" spans="1:27" ht="12.75">
      <c r="A68">
        <v>2002</v>
      </c>
      <c r="C68" s="36">
        <f t="shared" si="21"/>
        <v>6245375</v>
      </c>
      <c r="D68" s="36">
        <v>0</v>
      </c>
      <c r="E68" s="36">
        <v>577828.23</v>
      </c>
      <c r="F68" s="36">
        <v>211869</v>
      </c>
      <c r="G68" s="36">
        <f t="shared" si="22"/>
        <v>6611334.23</v>
      </c>
      <c r="H68" s="27">
        <v>18.5</v>
      </c>
      <c r="I68" s="25">
        <v>0</v>
      </c>
      <c r="J68" s="25">
        <f t="shared" si="23"/>
        <v>0</v>
      </c>
      <c r="M68" s="38">
        <f t="shared" si="10"/>
        <v>577828.23</v>
      </c>
      <c r="R68" s="21">
        <f t="shared" si="11"/>
        <v>2002</v>
      </c>
      <c r="S68" s="4">
        <f t="shared" si="14"/>
        <v>577828.23</v>
      </c>
      <c r="T68">
        <f t="shared" si="15"/>
        <v>0</v>
      </c>
      <c r="U68">
        <f t="shared" si="16"/>
        <v>46</v>
      </c>
      <c r="V68" s="1" t="str">
        <f t="shared" si="17"/>
        <v>O2</v>
      </c>
      <c r="W68" s="2">
        <f t="shared" si="18"/>
        <v>12561.483260869565</v>
      </c>
      <c r="X68" s="2">
        <f t="shared" si="12"/>
        <v>0</v>
      </c>
      <c r="Y68" s="18">
        <f aca="true" t="shared" si="24" ref="Y68:Y75">Prob_life(V68,H68,U68)</f>
        <v>37.9741654643241</v>
      </c>
      <c r="Z68" s="18">
        <f t="shared" si="20"/>
        <v>0</v>
      </c>
      <c r="AA68" s="2">
        <f t="shared" si="13"/>
        <v>477011.84382559836</v>
      </c>
    </row>
    <row r="69" spans="1:27" ht="12.75">
      <c r="A69">
        <v>2003</v>
      </c>
      <c r="C69" s="36">
        <f aca="true" t="shared" si="25" ref="C69:C75">G68</f>
        <v>6611334.23</v>
      </c>
      <c r="D69" s="36">
        <v>0</v>
      </c>
      <c r="E69" s="36">
        <v>1828445</v>
      </c>
      <c r="F69" s="36">
        <v>13068</v>
      </c>
      <c r="G69" s="36">
        <f aca="true" t="shared" si="26" ref="G69:G75">C69+D69+E69-F69</f>
        <v>8426711.23</v>
      </c>
      <c r="H69" s="27">
        <v>17.5</v>
      </c>
      <c r="I69" s="25"/>
      <c r="J69" s="25"/>
      <c r="M69" s="38">
        <f t="shared" si="10"/>
        <v>1828445</v>
      </c>
      <c r="R69" s="21">
        <f aca="true" t="shared" si="27" ref="R69:R75">A69</f>
        <v>2003</v>
      </c>
      <c r="S69" s="4">
        <f aca="true" t="shared" si="28" ref="S69:S75">E69</f>
        <v>1828445</v>
      </c>
      <c r="T69">
        <f aca="true" t="shared" si="29" ref="T69:T75">IF(D69&gt;0,IF(J69&gt;0,D69,0),0)</f>
        <v>0</v>
      </c>
      <c r="U69">
        <f t="shared" si="16"/>
        <v>46</v>
      </c>
      <c r="V69" s="1" t="str">
        <f t="shared" si="17"/>
        <v>O2</v>
      </c>
      <c r="W69" s="2">
        <f aca="true" t="shared" si="30" ref="W69:W75">S69/U69</f>
        <v>39748.80434782609</v>
      </c>
      <c r="X69" s="2">
        <f aca="true" t="shared" si="31" ref="X69:X75">T69/U69</f>
        <v>0</v>
      </c>
      <c r="Y69" s="18">
        <f t="shared" si="24"/>
        <v>38.375701650458055</v>
      </c>
      <c r="Z69" s="18">
        <f aca="true" t="shared" si="32" ref="Z69:Z75">IF(J69&gt;0,Prob_life(V69,J69+0.5,U69),0)</f>
        <v>0</v>
      </c>
      <c r="AA69" s="2">
        <f aca="true" t="shared" si="33" ref="AA69:AA75">W69*Y69+X69*Z69</f>
        <v>1525388.2566146038</v>
      </c>
    </row>
    <row r="70" spans="1:27" ht="12.75">
      <c r="A70">
        <v>2004</v>
      </c>
      <c r="C70" s="36">
        <f t="shared" si="25"/>
        <v>8426711.23</v>
      </c>
      <c r="D70" s="36">
        <v>0</v>
      </c>
      <c r="E70" s="36">
        <v>92829</v>
      </c>
      <c r="F70" s="36">
        <v>10023</v>
      </c>
      <c r="G70" s="36">
        <f t="shared" si="26"/>
        <v>8509517.23</v>
      </c>
      <c r="H70" s="27">
        <v>16.5</v>
      </c>
      <c r="I70" s="25"/>
      <c r="J70" s="25"/>
      <c r="M70" s="38">
        <f t="shared" si="10"/>
        <v>92829</v>
      </c>
      <c r="R70" s="21">
        <f t="shared" si="27"/>
        <v>2004</v>
      </c>
      <c r="S70" s="4">
        <f t="shared" si="28"/>
        <v>92829</v>
      </c>
      <c r="T70">
        <f t="shared" si="29"/>
        <v>0</v>
      </c>
      <c r="U70">
        <f aca="true" t="shared" si="34" ref="U70:U86">$V$94</f>
        <v>46</v>
      </c>
      <c r="V70" s="1" t="str">
        <f aca="true" t="shared" si="35" ref="V70:V86">$V$93</f>
        <v>O2</v>
      </c>
      <c r="W70" s="2">
        <f t="shared" si="30"/>
        <v>2018.0217391304348</v>
      </c>
      <c r="X70" s="2">
        <f t="shared" si="31"/>
        <v>0</v>
      </c>
      <c r="Y70" s="18">
        <f t="shared" si="24"/>
        <v>38.78025411876975</v>
      </c>
      <c r="Z70" s="18">
        <f t="shared" si="32"/>
        <v>0</v>
      </c>
      <c r="AA70" s="2">
        <f t="shared" si="33"/>
        <v>78259.39586067993</v>
      </c>
    </row>
    <row r="71" spans="1:27" ht="12.75">
      <c r="A71">
        <v>2005</v>
      </c>
      <c r="C71" s="36">
        <f t="shared" si="25"/>
        <v>8509517.23</v>
      </c>
      <c r="D71" s="36">
        <v>0</v>
      </c>
      <c r="E71" s="36">
        <v>215472.72</v>
      </c>
      <c r="F71" s="36">
        <v>14167.84</v>
      </c>
      <c r="G71" s="36">
        <f t="shared" si="26"/>
        <v>8710822.110000001</v>
      </c>
      <c r="H71" s="27">
        <v>15.5</v>
      </c>
      <c r="I71" s="25"/>
      <c r="J71" s="25"/>
      <c r="M71" s="38">
        <f aca="true" t="shared" si="36" ref="M71:M86">D71+E71</f>
        <v>215472.72</v>
      </c>
      <c r="R71" s="21">
        <f t="shared" si="27"/>
        <v>2005</v>
      </c>
      <c r="S71" s="4">
        <f t="shared" si="28"/>
        <v>215472.72</v>
      </c>
      <c r="T71">
        <f t="shared" si="29"/>
        <v>0</v>
      </c>
      <c r="U71">
        <f t="shared" si="34"/>
        <v>46</v>
      </c>
      <c r="V71" s="1" t="str">
        <f t="shared" si="35"/>
        <v>O2</v>
      </c>
      <c r="W71" s="2">
        <f t="shared" si="30"/>
        <v>4684.189565217392</v>
      </c>
      <c r="X71" s="2">
        <f t="shared" si="31"/>
        <v>0</v>
      </c>
      <c r="Y71" s="18">
        <f t="shared" si="24"/>
        <v>39.18768636860525</v>
      </c>
      <c r="Z71" s="18">
        <f t="shared" si="32"/>
        <v>0</v>
      </c>
      <c r="AA71" s="2">
        <f t="shared" si="33"/>
        <v>183562.5515728325</v>
      </c>
    </row>
    <row r="72" spans="1:27" ht="12.75">
      <c r="A72">
        <v>2006</v>
      </c>
      <c r="C72" s="36">
        <f t="shared" si="25"/>
        <v>8710822.110000001</v>
      </c>
      <c r="D72" s="36">
        <v>0</v>
      </c>
      <c r="E72" s="36">
        <v>225641.97</v>
      </c>
      <c r="F72" s="36">
        <v>18887.88</v>
      </c>
      <c r="G72" s="36">
        <f t="shared" si="26"/>
        <v>8917576.200000001</v>
      </c>
      <c r="H72" s="27">
        <v>14.5</v>
      </c>
      <c r="M72" s="38">
        <f t="shared" si="36"/>
        <v>225641.97</v>
      </c>
      <c r="R72" s="21">
        <f t="shared" si="27"/>
        <v>2006</v>
      </c>
      <c r="S72" s="4">
        <f t="shared" si="28"/>
        <v>225641.97</v>
      </c>
      <c r="T72">
        <f t="shared" si="29"/>
        <v>0</v>
      </c>
      <c r="U72">
        <f t="shared" si="34"/>
        <v>46</v>
      </c>
      <c r="V72" s="1" t="str">
        <f t="shared" si="35"/>
        <v>O2</v>
      </c>
      <c r="W72" s="2">
        <f t="shared" si="30"/>
        <v>4905.260217391305</v>
      </c>
      <c r="X72" s="2">
        <f t="shared" si="31"/>
        <v>0</v>
      </c>
      <c r="Y72" s="18">
        <f t="shared" si="24"/>
        <v>39.59787004888205</v>
      </c>
      <c r="Z72" s="18">
        <f t="shared" si="32"/>
        <v>0</v>
      </c>
      <c r="AA72" s="2">
        <f t="shared" si="33"/>
        <v>194237.8566442118</v>
      </c>
    </row>
    <row r="73" spans="1:27" ht="12.75">
      <c r="A73">
        <v>2007</v>
      </c>
      <c r="C73" s="36">
        <f t="shared" si="25"/>
        <v>8917576.200000001</v>
      </c>
      <c r="D73" s="36">
        <v>41917.92</v>
      </c>
      <c r="E73" s="36">
        <v>275721.8</v>
      </c>
      <c r="F73" s="36">
        <v>84504.6</v>
      </c>
      <c r="G73" s="36">
        <f t="shared" si="26"/>
        <v>9150711.320000002</v>
      </c>
      <c r="H73" s="27">
        <v>13.5</v>
      </c>
      <c r="M73" s="38">
        <f t="shared" si="36"/>
        <v>317639.72</v>
      </c>
      <c r="R73" s="21">
        <f t="shared" si="27"/>
        <v>2007</v>
      </c>
      <c r="S73" s="4">
        <f t="shared" si="28"/>
        <v>275721.8</v>
      </c>
      <c r="T73">
        <f t="shared" si="29"/>
        <v>0</v>
      </c>
      <c r="U73">
        <f t="shared" si="34"/>
        <v>46</v>
      </c>
      <c r="V73" s="1" t="str">
        <f t="shared" si="35"/>
        <v>O2</v>
      </c>
      <c r="W73" s="2">
        <f t="shared" si="30"/>
        <v>5993.952173913043</v>
      </c>
      <c r="X73" s="2">
        <f t="shared" si="31"/>
        <v>0</v>
      </c>
      <c r="Y73" s="18">
        <f t="shared" si="24"/>
        <v>40.01068443620552</v>
      </c>
      <c r="Z73" s="18">
        <f t="shared" si="32"/>
        <v>0</v>
      </c>
      <c r="AA73" s="2">
        <f t="shared" si="33"/>
        <v>239822.12895614287</v>
      </c>
    </row>
    <row r="74" spans="1:27" ht="12.75">
      <c r="A74">
        <v>2008</v>
      </c>
      <c r="C74" s="36">
        <f t="shared" si="25"/>
        <v>9150711.320000002</v>
      </c>
      <c r="D74" s="36">
        <v>0</v>
      </c>
      <c r="E74" s="36">
        <v>149376.45</v>
      </c>
      <c r="F74" s="36">
        <v>31448.08</v>
      </c>
      <c r="G74" s="36">
        <f t="shared" si="26"/>
        <v>9268639.690000001</v>
      </c>
      <c r="H74" s="27">
        <v>12.5</v>
      </c>
      <c r="M74" s="38">
        <f t="shared" si="36"/>
        <v>149376.45</v>
      </c>
      <c r="R74" s="21">
        <f t="shared" si="27"/>
        <v>2008</v>
      </c>
      <c r="S74" s="4">
        <f t="shared" si="28"/>
        <v>149376.45</v>
      </c>
      <c r="T74">
        <f t="shared" si="29"/>
        <v>0</v>
      </c>
      <c r="U74">
        <f t="shared" si="34"/>
        <v>46</v>
      </c>
      <c r="V74" s="1" t="str">
        <f t="shared" si="35"/>
        <v>O2</v>
      </c>
      <c r="W74" s="2">
        <f t="shared" si="30"/>
        <v>3247.314130434783</v>
      </c>
      <c r="X74" s="2">
        <f t="shared" si="31"/>
        <v>0</v>
      </c>
      <c r="Y74" s="18">
        <f t="shared" si="24"/>
        <v>40.42601603004632</v>
      </c>
      <c r="Z74" s="18">
        <f t="shared" si="32"/>
        <v>0</v>
      </c>
      <c r="AA74" s="2">
        <f t="shared" si="33"/>
        <v>131275.97309155244</v>
      </c>
    </row>
    <row r="75" spans="1:27" ht="12.75">
      <c r="A75" s="29">
        <v>2009</v>
      </c>
      <c r="C75" s="36">
        <f t="shared" si="25"/>
        <v>9268639.690000001</v>
      </c>
      <c r="D75" s="36">
        <v>0</v>
      </c>
      <c r="E75" s="36">
        <v>82941.48</v>
      </c>
      <c r="F75" s="36">
        <v>48653.08</v>
      </c>
      <c r="G75" s="36">
        <f t="shared" si="26"/>
        <v>9302928.090000002</v>
      </c>
      <c r="H75" s="27">
        <v>11.5</v>
      </c>
      <c r="M75" s="38">
        <f t="shared" si="36"/>
        <v>82941.48</v>
      </c>
      <c r="R75" s="21">
        <f t="shared" si="27"/>
        <v>2009</v>
      </c>
      <c r="S75" s="4">
        <f t="shared" si="28"/>
        <v>82941.48</v>
      </c>
      <c r="T75">
        <f t="shared" si="29"/>
        <v>0</v>
      </c>
      <c r="U75">
        <f t="shared" si="34"/>
        <v>46</v>
      </c>
      <c r="V75" s="1" t="str">
        <f t="shared" si="35"/>
        <v>O2</v>
      </c>
      <c r="W75" s="2">
        <f t="shared" si="30"/>
        <v>1803.0756521739129</v>
      </c>
      <c r="X75" s="2">
        <f t="shared" si="31"/>
        <v>0</v>
      </c>
      <c r="Y75" s="18">
        <f t="shared" si="24"/>
        <v>40.84375828041731</v>
      </c>
      <c r="Z75" s="18">
        <f t="shared" si="32"/>
        <v>0</v>
      </c>
      <c r="AA75" s="2">
        <f t="shared" si="33"/>
        <v>73644.3860986971</v>
      </c>
    </row>
    <row r="76" spans="1:27" ht="12.75">
      <c r="A76" s="29">
        <v>2010</v>
      </c>
      <c r="C76" s="36">
        <f aca="true" t="shared" si="37" ref="C76:C86">G75</f>
        <v>9302928.090000002</v>
      </c>
      <c r="D76" s="36">
        <v>0</v>
      </c>
      <c r="E76" s="36">
        <v>76612.12</v>
      </c>
      <c r="F76" s="36">
        <v>167164.41</v>
      </c>
      <c r="G76" s="36">
        <f aca="true" t="shared" si="38" ref="G76:G86">C76+D76+E76-F76</f>
        <v>9212375.8</v>
      </c>
      <c r="H76" s="27">
        <v>10.5</v>
      </c>
      <c r="M76" s="38">
        <f t="shared" si="36"/>
        <v>76612.12</v>
      </c>
      <c r="R76" s="21">
        <f aca="true" t="shared" si="39" ref="R76:R86">A76</f>
        <v>2010</v>
      </c>
      <c r="S76" s="4">
        <f aca="true" t="shared" si="40" ref="S76:S86">E76</f>
        <v>76612.12</v>
      </c>
      <c r="T76">
        <f aca="true" t="shared" si="41" ref="T76:T86">IF(D76&gt;0,IF(J76&gt;0,D76,0),0)</f>
        <v>0</v>
      </c>
      <c r="U76">
        <f t="shared" si="34"/>
        <v>46</v>
      </c>
      <c r="V76" s="1" t="str">
        <f t="shared" si="35"/>
        <v>O2</v>
      </c>
      <c r="W76" s="2">
        <f aca="true" t="shared" si="42" ref="W76:W86">S76/U76</f>
        <v>1665.4808695652173</v>
      </c>
      <c r="X76" s="2">
        <f aca="true" t="shared" si="43" ref="X76:X86">T76/U76</f>
        <v>0</v>
      </c>
      <c r="Y76" s="18">
        <f aca="true" t="shared" si="44" ref="Y76:Y86">Prob_life(V76,H76,U76)</f>
        <v>41.263811463207894</v>
      </c>
      <c r="Z76" s="18">
        <f aca="true" t="shared" si="45" ref="Z76:Z86">IF(J76&gt;0,Prob_life(V76,J76+0.5,U76),0)</f>
        <v>0</v>
      </c>
      <c r="AA76" s="2">
        <f aca="true" t="shared" si="46" ref="AA76:AA86">W76*Y76+X76*Z76</f>
        <v>68724.08859731867</v>
      </c>
    </row>
    <row r="77" spans="1:27" ht="12.75">
      <c r="A77" s="29">
        <v>2011</v>
      </c>
      <c r="C77" s="36">
        <f t="shared" si="37"/>
        <v>9212375.8</v>
      </c>
      <c r="D77" s="36">
        <v>0</v>
      </c>
      <c r="E77" s="36">
        <v>94499.41</v>
      </c>
      <c r="F77" s="36">
        <v>108364.13</v>
      </c>
      <c r="G77" s="36">
        <f t="shared" si="38"/>
        <v>9198511.08</v>
      </c>
      <c r="H77" s="27">
        <v>9.5</v>
      </c>
      <c r="M77" s="38">
        <f t="shared" si="36"/>
        <v>94499.41</v>
      </c>
      <c r="R77" s="21">
        <f t="shared" si="39"/>
        <v>2011</v>
      </c>
      <c r="S77" s="4">
        <f t="shared" si="40"/>
        <v>94499.41</v>
      </c>
      <c r="T77">
        <f t="shared" si="41"/>
        <v>0</v>
      </c>
      <c r="U77">
        <f t="shared" si="34"/>
        <v>46</v>
      </c>
      <c r="V77" s="1" t="str">
        <f t="shared" si="35"/>
        <v>O2</v>
      </c>
      <c r="W77" s="2">
        <f t="shared" si="42"/>
        <v>2054.335</v>
      </c>
      <c r="X77" s="2">
        <f t="shared" si="43"/>
        <v>0</v>
      </c>
      <c r="Y77" s="18">
        <f t="shared" si="44"/>
        <v>41.68608271809771</v>
      </c>
      <c r="Z77" s="18">
        <f t="shared" si="45"/>
        <v>0</v>
      </c>
      <c r="AA77" s="2">
        <f t="shared" si="46"/>
        <v>85637.17874068326</v>
      </c>
    </row>
    <row r="78" spans="1:27" ht="12.75">
      <c r="A78" s="29">
        <v>2012</v>
      </c>
      <c r="C78" s="36">
        <f t="shared" si="37"/>
        <v>9198511.08</v>
      </c>
      <c r="D78" s="36">
        <v>0</v>
      </c>
      <c r="E78" s="36">
        <v>67662.32</v>
      </c>
      <c r="F78" s="36">
        <v>62398.86</v>
      </c>
      <c r="G78" s="36">
        <f t="shared" si="38"/>
        <v>9203774.540000001</v>
      </c>
      <c r="H78" s="27">
        <v>8.5</v>
      </c>
      <c r="M78" s="38">
        <f t="shared" si="36"/>
        <v>67662.32</v>
      </c>
      <c r="R78" s="21">
        <f t="shared" si="39"/>
        <v>2012</v>
      </c>
      <c r="S78" s="4">
        <f t="shared" si="40"/>
        <v>67662.32</v>
      </c>
      <c r="T78">
        <f t="shared" si="41"/>
        <v>0</v>
      </c>
      <c r="U78">
        <f t="shared" si="34"/>
        <v>46</v>
      </c>
      <c r="V78" s="1" t="str">
        <f t="shared" si="35"/>
        <v>O2</v>
      </c>
      <c r="W78" s="2">
        <f t="shared" si="42"/>
        <v>1470.92</v>
      </c>
      <c r="X78" s="2">
        <f t="shared" si="43"/>
        <v>0</v>
      </c>
      <c r="Y78" s="18">
        <f t="shared" si="44"/>
        <v>42.110486263737954</v>
      </c>
      <c r="Z78" s="18">
        <f t="shared" si="45"/>
        <v>0</v>
      </c>
      <c r="AA78" s="2">
        <f t="shared" si="46"/>
        <v>61941.15645505743</v>
      </c>
    </row>
    <row r="79" spans="1:27" ht="12.75">
      <c r="A79" s="29">
        <v>2013</v>
      </c>
      <c r="C79" s="36">
        <f t="shared" si="37"/>
        <v>9203774.540000001</v>
      </c>
      <c r="D79" s="36">
        <v>0</v>
      </c>
      <c r="E79" s="36">
        <v>112817</v>
      </c>
      <c r="F79" s="36">
        <v>59190.73</v>
      </c>
      <c r="G79" s="36">
        <f t="shared" si="38"/>
        <v>9257400.81</v>
      </c>
      <c r="H79" s="27">
        <v>7.5</v>
      </c>
      <c r="M79" s="38">
        <f t="shared" si="36"/>
        <v>112817</v>
      </c>
      <c r="R79" s="21">
        <f t="shared" si="39"/>
        <v>2013</v>
      </c>
      <c r="S79" s="4">
        <f t="shared" si="40"/>
        <v>112817</v>
      </c>
      <c r="T79">
        <f t="shared" si="41"/>
        <v>0</v>
      </c>
      <c r="U79">
        <f t="shared" si="34"/>
        <v>46</v>
      </c>
      <c r="V79" s="1" t="str">
        <f t="shared" si="35"/>
        <v>O2</v>
      </c>
      <c r="W79" s="2">
        <f t="shared" si="42"/>
        <v>2452.5434782608695</v>
      </c>
      <c r="X79" s="2">
        <f t="shared" si="43"/>
        <v>0</v>
      </c>
      <c r="Y79" s="18">
        <f t="shared" si="44"/>
        <v>42.53694380460296</v>
      </c>
      <c r="Z79" s="18">
        <f t="shared" si="45"/>
        <v>0</v>
      </c>
      <c r="AA79" s="2">
        <f t="shared" si="46"/>
        <v>104323.7041131281</v>
      </c>
    </row>
    <row r="80" spans="1:27" ht="12.75">
      <c r="A80" s="29">
        <v>2014</v>
      </c>
      <c r="C80" s="36">
        <f t="shared" si="37"/>
        <v>9257400.81</v>
      </c>
      <c r="D80" s="36">
        <v>0</v>
      </c>
      <c r="E80" s="36">
        <v>165280.75</v>
      </c>
      <c r="F80" s="36">
        <v>427803.99</v>
      </c>
      <c r="G80" s="36">
        <f t="shared" si="38"/>
        <v>8994877.57</v>
      </c>
      <c r="H80" s="27">
        <v>6.5</v>
      </c>
      <c r="M80" s="38">
        <f t="shared" si="36"/>
        <v>165280.75</v>
      </c>
      <c r="R80" s="21">
        <f t="shared" si="39"/>
        <v>2014</v>
      </c>
      <c r="S80" s="4">
        <f t="shared" si="40"/>
        <v>165280.75</v>
      </c>
      <c r="T80">
        <f t="shared" si="41"/>
        <v>0</v>
      </c>
      <c r="U80">
        <f t="shared" si="34"/>
        <v>46</v>
      </c>
      <c r="V80" s="1" t="str">
        <f t="shared" si="35"/>
        <v>O2</v>
      </c>
      <c r="W80" s="2">
        <f t="shared" si="42"/>
        <v>3593.0597826086955</v>
      </c>
      <c r="X80" s="2">
        <f t="shared" si="43"/>
        <v>0</v>
      </c>
      <c r="Y80" s="18">
        <f t="shared" si="44"/>
        <v>42.96538514350317</v>
      </c>
      <c r="Z80" s="18">
        <f t="shared" si="45"/>
        <v>0</v>
      </c>
      <c r="AA80" s="2">
        <f t="shared" si="46"/>
        <v>154377.19740341438</v>
      </c>
    </row>
    <row r="81" spans="1:27" ht="12.75">
      <c r="A81" s="29">
        <v>2015</v>
      </c>
      <c r="C81" s="36">
        <f t="shared" si="37"/>
        <v>8994877.57</v>
      </c>
      <c r="D81" s="36">
        <v>0</v>
      </c>
      <c r="E81" s="36">
        <v>150933.38</v>
      </c>
      <c r="F81" s="36">
        <v>90567.37</v>
      </c>
      <c r="G81" s="36">
        <f t="shared" si="38"/>
        <v>9055243.580000002</v>
      </c>
      <c r="H81" s="27">
        <v>5.5</v>
      </c>
      <c r="M81" s="38">
        <f t="shared" si="36"/>
        <v>150933.38</v>
      </c>
      <c r="R81" s="21">
        <f t="shared" si="39"/>
        <v>2015</v>
      </c>
      <c r="S81" s="4">
        <f t="shared" si="40"/>
        <v>150933.38</v>
      </c>
      <c r="T81">
        <f t="shared" si="41"/>
        <v>0</v>
      </c>
      <c r="U81">
        <f t="shared" si="34"/>
        <v>46</v>
      </c>
      <c r="V81" s="1" t="str">
        <f t="shared" si="35"/>
        <v>O2</v>
      </c>
      <c r="W81" s="2">
        <f t="shared" si="42"/>
        <v>3281.1604347826087</v>
      </c>
      <c r="X81" s="2">
        <f t="shared" si="43"/>
        <v>0</v>
      </c>
      <c r="Y81" s="18">
        <f t="shared" si="44"/>
        <v>43.395749013107746</v>
      </c>
      <c r="Z81" s="18">
        <f t="shared" si="45"/>
        <v>0</v>
      </c>
      <c r="AA81" s="2">
        <f t="shared" si="46"/>
        <v>142388.4146995656</v>
      </c>
    </row>
    <row r="82" spans="1:27" ht="12.75">
      <c r="A82" s="29">
        <v>2016</v>
      </c>
      <c r="C82" s="36">
        <f t="shared" si="37"/>
        <v>9055243.580000002</v>
      </c>
      <c r="D82" s="36">
        <v>9105.84</v>
      </c>
      <c r="E82" s="36">
        <v>610963.45</v>
      </c>
      <c r="F82" s="36">
        <v>64615.03</v>
      </c>
      <c r="G82" s="36">
        <f t="shared" si="38"/>
        <v>9610697.840000002</v>
      </c>
      <c r="H82" s="27">
        <v>4.5</v>
      </c>
      <c r="M82" s="38">
        <f t="shared" si="36"/>
        <v>620069.2899999999</v>
      </c>
      <c r="R82" s="21">
        <f t="shared" si="39"/>
        <v>2016</v>
      </c>
      <c r="S82" s="4">
        <f t="shared" si="40"/>
        <v>610963.45</v>
      </c>
      <c r="T82">
        <f t="shared" si="41"/>
        <v>0</v>
      </c>
      <c r="U82">
        <f t="shared" si="34"/>
        <v>46</v>
      </c>
      <c r="V82" s="1" t="str">
        <f t="shared" si="35"/>
        <v>O2</v>
      </c>
      <c r="W82" s="2">
        <f t="shared" si="42"/>
        <v>13281.814130434781</v>
      </c>
      <c r="X82" s="2">
        <f t="shared" si="43"/>
        <v>0</v>
      </c>
      <c r="Y82" s="18">
        <f t="shared" si="44"/>
        <v>43.82798413881299</v>
      </c>
      <c r="Z82" s="18">
        <f t="shared" si="45"/>
        <v>0</v>
      </c>
      <c r="AA82" s="2">
        <f t="shared" si="46"/>
        <v>582115.1390433578</v>
      </c>
    </row>
    <row r="83" spans="1:27" ht="12.75">
      <c r="A83" s="29">
        <v>2017</v>
      </c>
      <c r="C83" s="36">
        <f t="shared" si="37"/>
        <v>9610697.840000002</v>
      </c>
      <c r="D83" s="36">
        <v>0</v>
      </c>
      <c r="E83" s="36">
        <v>545644.14</v>
      </c>
      <c r="F83" s="36">
        <v>1143633.29</v>
      </c>
      <c r="G83" s="36">
        <f t="shared" si="38"/>
        <v>9012708.690000001</v>
      </c>
      <c r="H83" s="27">
        <v>3.5</v>
      </c>
      <c r="M83" s="38">
        <f t="shared" si="36"/>
        <v>545644.14</v>
      </c>
      <c r="R83" s="21">
        <f t="shared" si="39"/>
        <v>2017</v>
      </c>
      <c r="S83" s="4">
        <f t="shared" si="40"/>
        <v>545644.14</v>
      </c>
      <c r="T83">
        <f t="shared" si="41"/>
        <v>0</v>
      </c>
      <c r="U83">
        <f t="shared" si="34"/>
        <v>46</v>
      </c>
      <c r="V83" s="1" t="str">
        <f t="shared" si="35"/>
        <v>O2</v>
      </c>
      <c r="W83" s="2">
        <f t="shared" si="42"/>
        <v>11861.829130434782</v>
      </c>
      <c r="X83" s="2">
        <f t="shared" si="43"/>
        <v>0</v>
      </c>
      <c r="Y83" s="18">
        <f t="shared" si="44"/>
        <v>44.26205054372379</v>
      </c>
      <c r="Z83" s="18">
        <f t="shared" si="45"/>
        <v>0</v>
      </c>
      <c r="AA83" s="2">
        <f t="shared" si="46"/>
        <v>525028.8805123195</v>
      </c>
    </row>
    <row r="84" spans="1:27" ht="12.75">
      <c r="A84" s="29">
        <v>2018</v>
      </c>
      <c r="C84" s="36">
        <f t="shared" si="37"/>
        <v>9012708.690000001</v>
      </c>
      <c r="D84" s="36">
        <v>0</v>
      </c>
      <c r="E84" s="36">
        <v>555427.92</v>
      </c>
      <c r="F84" s="36">
        <v>303707.6</v>
      </c>
      <c r="G84" s="36">
        <f t="shared" si="38"/>
        <v>9264429.010000002</v>
      </c>
      <c r="H84" s="27">
        <v>2.5</v>
      </c>
      <c r="M84" s="38">
        <f t="shared" si="36"/>
        <v>555427.92</v>
      </c>
      <c r="R84" s="21">
        <f t="shared" si="39"/>
        <v>2018</v>
      </c>
      <c r="S84" s="4">
        <f t="shared" si="40"/>
        <v>555427.92</v>
      </c>
      <c r="T84">
        <f t="shared" si="41"/>
        <v>0</v>
      </c>
      <c r="U84">
        <f t="shared" si="34"/>
        <v>46</v>
      </c>
      <c r="V84" s="1" t="str">
        <f t="shared" si="35"/>
        <v>O2</v>
      </c>
      <c r="W84" s="2">
        <f t="shared" si="42"/>
        <v>12074.52</v>
      </c>
      <c r="X84" s="2">
        <f t="shared" si="43"/>
        <v>0</v>
      </c>
      <c r="Y84" s="18">
        <f t="shared" si="44"/>
        <v>44.697921104160464</v>
      </c>
      <c r="Z84" s="18">
        <f t="shared" si="45"/>
        <v>0</v>
      </c>
      <c r="AA84" s="2">
        <f t="shared" si="46"/>
        <v>539705.9423306077</v>
      </c>
    </row>
    <row r="85" spans="1:27" ht="12.75">
      <c r="A85" s="29">
        <v>2019</v>
      </c>
      <c r="C85" s="36">
        <f t="shared" si="37"/>
        <v>9264429.010000002</v>
      </c>
      <c r="D85" s="36">
        <v>0</v>
      </c>
      <c r="E85" s="36">
        <v>364430.02</v>
      </c>
      <c r="F85" s="36">
        <v>312876.79</v>
      </c>
      <c r="G85" s="36">
        <f t="shared" si="38"/>
        <v>9315982.240000002</v>
      </c>
      <c r="H85" s="27">
        <v>1.5</v>
      </c>
      <c r="M85" s="38">
        <f t="shared" si="36"/>
        <v>364430.02</v>
      </c>
      <c r="R85" s="21">
        <f t="shared" si="39"/>
        <v>2019</v>
      </c>
      <c r="S85" s="4">
        <f t="shared" si="40"/>
        <v>364430.02</v>
      </c>
      <c r="T85">
        <f t="shared" si="41"/>
        <v>0</v>
      </c>
      <c r="U85">
        <f t="shared" si="34"/>
        <v>46</v>
      </c>
      <c r="V85" s="1" t="str">
        <f t="shared" si="35"/>
        <v>O2</v>
      </c>
      <c r="W85" s="2">
        <f t="shared" si="42"/>
        <v>7922.391739130435</v>
      </c>
      <c r="X85" s="2">
        <f t="shared" si="43"/>
        <v>0</v>
      </c>
      <c r="Y85" s="18">
        <f t="shared" si="44"/>
        <v>45.13558336066772</v>
      </c>
      <c r="Z85" s="18">
        <f t="shared" si="45"/>
        <v>0</v>
      </c>
      <c r="AA85" s="2">
        <f t="shared" si="46"/>
        <v>357581.772757387</v>
      </c>
    </row>
    <row r="86" spans="1:27" ht="12.75">
      <c r="A86" s="29">
        <v>2020</v>
      </c>
      <c r="C86" s="36">
        <f t="shared" si="37"/>
        <v>9315982.240000002</v>
      </c>
      <c r="D86" s="36">
        <v>0</v>
      </c>
      <c r="E86" s="36">
        <v>400538.47</v>
      </c>
      <c r="F86" s="36">
        <v>366699.57</v>
      </c>
      <c r="G86" s="36">
        <f t="shared" si="38"/>
        <v>9349821.140000002</v>
      </c>
      <c r="H86" s="27">
        <v>0.5</v>
      </c>
      <c r="M86" s="38">
        <f t="shared" si="36"/>
        <v>400538.47</v>
      </c>
      <c r="R86" s="21">
        <f t="shared" si="39"/>
        <v>2020</v>
      </c>
      <c r="S86" s="4">
        <f t="shared" si="40"/>
        <v>400538.47</v>
      </c>
      <c r="T86">
        <f t="shared" si="41"/>
        <v>0</v>
      </c>
      <c r="U86">
        <f t="shared" si="34"/>
        <v>46</v>
      </c>
      <c r="V86" s="1" t="str">
        <f t="shared" si="35"/>
        <v>O2</v>
      </c>
      <c r="W86" s="2">
        <f t="shared" si="42"/>
        <v>8707.35804347826</v>
      </c>
      <c r="X86" s="2">
        <f t="shared" si="43"/>
        <v>0</v>
      </c>
      <c r="Y86" s="18">
        <f t="shared" si="44"/>
        <v>45.57504158464343</v>
      </c>
      <c r="Z86" s="18">
        <f t="shared" si="45"/>
        <v>0</v>
      </c>
      <c r="AA86" s="2">
        <f t="shared" si="46"/>
        <v>396838.2049239011</v>
      </c>
    </row>
    <row r="87" spans="3:27" ht="12.75">
      <c r="C87" s="26"/>
      <c r="D87" s="26"/>
      <c r="E87" s="26"/>
      <c r="F87" s="26"/>
      <c r="G87" s="26"/>
      <c r="H87" s="27"/>
      <c r="W87" s="2"/>
      <c r="X87" s="2"/>
      <c r="AA87" s="2"/>
    </row>
    <row r="88" spans="7:27" ht="12.75">
      <c r="G88" s="4">
        <f>SUM(G82:G87)/5</f>
        <v>9310727.784</v>
      </c>
      <c r="I88" s="8"/>
      <c r="S88" s="4">
        <f>SUM(S6:S75)</f>
        <v>10152491.650000002</v>
      </c>
      <c r="T88" s="4">
        <f>SUM(T6:T75)</f>
        <v>6585</v>
      </c>
      <c r="W88" s="2">
        <f>SUM(W6:W75)</f>
        <v>220706.34021739132</v>
      </c>
      <c r="X88" s="2">
        <f>SUM(X6:X87)</f>
        <v>143.15217391304347</v>
      </c>
      <c r="Y88" s="19">
        <f>AA88/W88</f>
        <v>35.21517118007544</v>
      </c>
      <c r="Z88" s="18"/>
      <c r="AA88" s="2">
        <f>SUM(AA6:AA75)</f>
        <v>7772211.551283403</v>
      </c>
    </row>
    <row r="90" spans="2:27" ht="12.75">
      <c r="B90" t="s">
        <v>7</v>
      </c>
      <c r="D90" s="4"/>
      <c r="G90" s="10"/>
      <c r="W90" t="s">
        <v>35</v>
      </c>
      <c r="AA90" s="15">
        <f>AA88/(W88+X88)</f>
        <v>35.19234509949647</v>
      </c>
    </row>
    <row r="92" spans="2:7" ht="12.75">
      <c r="B92" t="s">
        <v>8</v>
      </c>
      <c r="D92" s="8"/>
      <c r="G92" s="10"/>
    </row>
    <row r="93" spans="20:22" ht="12.75">
      <c r="T93" s="20" t="s">
        <v>26</v>
      </c>
      <c r="V93" s="32" t="s">
        <v>20</v>
      </c>
    </row>
    <row r="94" spans="2:22" ht="12.75">
      <c r="B94" t="s">
        <v>9</v>
      </c>
      <c r="G94">
        <v>0.03</v>
      </c>
      <c r="T94" s="20" t="s">
        <v>11</v>
      </c>
      <c r="V94">
        <v>46</v>
      </c>
    </row>
    <row r="96" ht="12.75">
      <c r="B96" t="s">
        <v>10</v>
      </c>
    </row>
    <row r="98" spans="3:11" ht="12.75">
      <c r="C98" s="24"/>
      <c r="D98" s="23"/>
      <c r="E98" s="23"/>
      <c r="F98" s="23"/>
      <c r="G98" s="23"/>
      <c r="H98" s="23"/>
      <c r="I98" s="23"/>
      <c r="J98" s="23"/>
      <c r="K98" s="3"/>
    </row>
    <row r="99" spans="3:11" ht="12.75">
      <c r="C99" s="24"/>
      <c r="D99" s="43"/>
      <c r="E99" s="23"/>
      <c r="F99" s="23"/>
      <c r="G99" s="23"/>
      <c r="H99" s="23"/>
      <c r="I99" s="23"/>
      <c r="J99" s="23"/>
      <c r="K99" s="16"/>
    </row>
    <row r="100" spans="3:10" ht="12.75">
      <c r="C100" s="24"/>
      <c r="D100" s="24"/>
      <c r="E100" s="24"/>
      <c r="F100" s="42"/>
      <c r="G100" s="42"/>
      <c r="H100" s="44"/>
      <c r="I100" s="44"/>
      <c r="J100" s="44"/>
    </row>
    <row r="101" spans="3:10" ht="12.75">
      <c r="C101" s="24"/>
      <c r="D101" s="24"/>
      <c r="E101" s="24"/>
      <c r="F101" s="42"/>
      <c r="G101" s="42"/>
      <c r="H101" s="44"/>
      <c r="I101" s="44"/>
      <c r="J101" s="44"/>
    </row>
    <row r="102" spans="3:10" ht="12.75">
      <c r="C102" s="24"/>
      <c r="D102" s="24"/>
      <c r="E102" s="24"/>
      <c r="F102" s="42"/>
      <c r="G102" s="42"/>
      <c r="H102" s="44"/>
      <c r="I102" s="44"/>
      <c r="J102" s="44"/>
    </row>
    <row r="103" spans="3:10" ht="12.75">
      <c r="C103" s="24"/>
      <c r="D103" s="24"/>
      <c r="E103" s="24"/>
      <c r="F103" s="42"/>
      <c r="G103" s="42"/>
      <c r="H103" s="44"/>
      <c r="I103" s="44"/>
      <c r="J103" s="44"/>
    </row>
    <row r="104" spans="3:10" ht="12.75">
      <c r="C104" s="24"/>
      <c r="D104" s="24"/>
      <c r="E104" s="24"/>
      <c r="F104" s="42"/>
      <c r="G104" s="42"/>
      <c r="H104" s="44"/>
      <c r="I104" s="44"/>
      <c r="J104" s="44"/>
    </row>
    <row r="105" spans="3:10" ht="12.75">
      <c r="C105" s="24"/>
      <c r="D105" s="24"/>
      <c r="E105" s="24"/>
      <c r="F105" s="42"/>
      <c r="G105" s="42"/>
      <c r="H105" s="44"/>
      <c r="I105" s="44"/>
      <c r="J105" s="44"/>
    </row>
    <row r="106" spans="3:10" ht="12.75">
      <c r="C106" s="24"/>
      <c r="D106" s="24"/>
      <c r="E106" s="24"/>
      <c r="F106" s="42"/>
      <c r="G106" s="42"/>
      <c r="H106" s="44"/>
      <c r="I106" s="44"/>
      <c r="J106" s="44"/>
    </row>
    <row r="107" spans="3:10" ht="12.75">
      <c r="C107" s="24"/>
      <c r="D107" s="24"/>
      <c r="E107" s="24"/>
      <c r="F107" s="42"/>
      <c r="G107" s="42"/>
      <c r="H107" s="44"/>
      <c r="I107" s="44"/>
      <c r="J107" s="44"/>
    </row>
    <row r="108" spans="3:10" ht="12.75">
      <c r="C108" s="24"/>
      <c r="D108" s="24"/>
      <c r="E108" s="24"/>
      <c r="F108" s="42"/>
      <c r="G108" s="42"/>
      <c r="H108" s="44"/>
      <c r="I108" s="44"/>
      <c r="J108" s="44"/>
    </row>
    <row r="109" spans="3:10" ht="12.75">
      <c r="C109" s="24"/>
      <c r="D109" s="24"/>
      <c r="E109" s="24"/>
      <c r="F109" s="42"/>
      <c r="G109" s="42"/>
      <c r="H109" s="44"/>
      <c r="I109" s="44"/>
      <c r="J109" s="44"/>
    </row>
    <row r="110" spans="3:10" ht="12.75">
      <c r="C110" s="24"/>
      <c r="D110" s="24"/>
      <c r="E110" s="24"/>
      <c r="F110" s="42"/>
      <c r="G110" s="42"/>
      <c r="H110" s="44"/>
      <c r="I110" s="44"/>
      <c r="J110" s="44"/>
    </row>
    <row r="111" spans="3:10" ht="12.75">
      <c r="C111" s="24"/>
      <c r="D111" s="24"/>
      <c r="E111" s="24"/>
      <c r="F111" s="42"/>
      <c r="G111" s="42"/>
      <c r="H111" s="44"/>
      <c r="I111" s="44"/>
      <c r="J111" s="44"/>
    </row>
    <row r="112" spans="3:10" ht="12.75">
      <c r="C112" s="24"/>
      <c r="D112" s="24"/>
      <c r="E112" s="24"/>
      <c r="F112" s="42"/>
      <c r="G112" s="42"/>
      <c r="H112" s="44"/>
      <c r="I112" s="44"/>
      <c r="J112" s="44"/>
    </row>
    <row r="113" spans="3:10" ht="12.75">
      <c r="C113" s="24"/>
      <c r="D113" s="24"/>
      <c r="E113" s="24"/>
      <c r="F113" s="42"/>
      <c r="G113" s="42"/>
      <c r="H113" s="44"/>
      <c r="I113" s="44"/>
      <c r="J113" s="44"/>
    </row>
    <row r="114" spans="3:10" ht="12.75">
      <c r="C114" s="24"/>
      <c r="D114" s="24"/>
      <c r="E114" s="24"/>
      <c r="F114" s="42"/>
      <c r="G114" s="42"/>
      <c r="H114" s="44"/>
      <c r="I114" s="44"/>
      <c r="J114" s="44"/>
    </row>
    <row r="115" spans="3:10" ht="12.75">
      <c r="C115" s="24"/>
      <c r="D115" s="24"/>
      <c r="E115" s="24"/>
      <c r="F115" s="42"/>
      <c r="G115" s="42"/>
      <c r="H115" s="44"/>
      <c r="I115" s="44"/>
      <c r="J115" s="44"/>
    </row>
    <row r="116" spans="3:10" ht="12.75">
      <c r="C116" s="24"/>
      <c r="D116" s="24"/>
      <c r="E116" s="24"/>
      <c r="F116" s="42"/>
      <c r="G116" s="42"/>
      <c r="H116" s="44"/>
      <c r="I116" s="44"/>
      <c r="J116" s="44"/>
    </row>
    <row r="117" spans="3:10" ht="12.75">
      <c r="C117" s="24"/>
      <c r="D117" s="24"/>
      <c r="E117" s="24"/>
      <c r="F117" s="42"/>
      <c r="G117" s="42"/>
      <c r="H117" s="44"/>
      <c r="I117" s="44"/>
      <c r="J117" s="44"/>
    </row>
    <row r="118" spans="3:10" ht="12.75">
      <c r="C118" s="24"/>
      <c r="D118" s="24"/>
      <c r="E118" s="24"/>
      <c r="F118" s="42"/>
      <c r="G118" s="42"/>
      <c r="H118" s="44"/>
      <c r="I118" s="44"/>
      <c r="J118" s="44"/>
    </row>
    <row r="119" spans="3:10" ht="12.75">
      <c r="C119" s="24"/>
      <c r="D119" s="24"/>
      <c r="E119" s="24"/>
      <c r="F119" s="42"/>
      <c r="G119" s="42"/>
      <c r="H119" s="44"/>
      <c r="I119" s="44"/>
      <c r="J119" s="44"/>
    </row>
    <row r="120" spans="3:10" ht="12.75">
      <c r="C120" s="24"/>
      <c r="D120" s="24"/>
      <c r="E120" s="24"/>
      <c r="F120" s="42"/>
      <c r="G120" s="42"/>
      <c r="H120" s="44"/>
      <c r="I120" s="44"/>
      <c r="J120" s="44"/>
    </row>
    <row r="121" spans="3:10" ht="12.75">
      <c r="C121" s="24"/>
      <c r="D121" s="24"/>
      <c r="E121" s="24"/>
      <c r="F121" s="42"/>
      <c r="G121" s="42"/>
      <c r="H121" s="44"/>
      <c r="I121" s="44"/>
      <c r="J121" s="44"/>
    </row>
    <row r="125" spans="4:5" ht="12.75">
      <c r="D125" s="33" t="s">
        <v>36</v>
      </c>
      <c r="E125" s="34">
        <v>40270</v>
      </c>
    </row>
  </sheetData>
  <sheetProtection/>
  <printOptions/>
  <pageMargins left="0.75" right="0.75" top="1.42" bottom="1" header="0.5" footer="0.5"/>
  <pageSetup horizontalDpi="600" verticalDpi="600" orientation="portrait" scale="80" r:id="rId1"/>
  <headerFooter alignWithMargins="0">
    <oddHeader>&amp;C&amp;"Arial,Bold"&amp;12Delta Natural Gas Company
Account Investment Summary
Account 381 -- Meters</oddHeader>
  </headerFooter>
  <rowBreaks count="1" manualBreakCount="1">
    <brk id="97" max="255" man="1"/>
  </rowBreaks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0B050"/>
  </sheetPr>
  <dimension ref="A1:AA123"/>
  <sheetViews>
    <sheetView zoomScalePageLayoutView="0" workbookViewId="0" topLeftCell="A80">
      <selection activeCell="C98" sqref="C98:J121"/>
    </sheetView>
  </sheetViews>
  <sheetFormatPr defaultColWidth="9.140625" defaultRowHeight="12.75"/>
  <cols>
    <col min="3" max="6" width="13.421875" style="0" customWidth="1"/>
    <col min="7" max="7" width="19.57421875" style="0" customWidth="1"/>
    <col min="9" max="9" width="12.8515625" style="0" bestFit="1" customWidth="1"/>
    <col min="12" max="12" width="15.57421875" style="0" customWidth="1"/>
    <col min="19" max="19" width="10.8515625" style="0" customWidth="1"/>
    <col min="22" max="27" width="17.140625" style="0" customWidth="1"/>
  </cols>
  <sheetData>
    <row r="1" ht="12.75">
      <c r="R1" s="22"/>
    </row>
    <row r="2" spans="3:27" ht="12.75">
      <c r="C2" s="3" t="s">
        <v>0</v>
      </c>
      <c r="D2" s="3"/>
      <c r="E2" s="3"/>
      <c r="F2" s="3"/>
      <c r="G2" s="3" t="s">
        <v>0</v>
      </c>
      <c r="I2" s="3" t="s">
        <v>2</v>
      </c>
      <c r="V2" s="3" t="s">
        <v>30</v>
      </c>
      <c r="W2" s="16" t="s">
        <v>32</v>
      </c>
      <c r="X2" s="16" t="s">
        <v>32</v>
      </c>
      <c r="Y2" s="16" t="s">
        <v>33</v>
      </c>
      <c r="Z2" s="16" t="s">
        <v>33</v>
      </c>
      <c r="AA2" s="3" t="s">
        <v>34</v>
      </c>
    </row>
    <row r="3" spans="1:27" ht="13.5" thickBot="1">
      <c r="A3" s="14" t="s">
        <v>5</v>
      </c>
      <c r="B3" s="12"/>
      <c r="C3" s="13" t="s">
        <v>1</v>
      </c>
      <c r="D3" s="13" t="s">
        <v>2</v>
      </c>
      <c r="E3" s="13" t="s">
        <v>3</v>
      </c>
      <c r="F3" s="13" t="s">
        <v>4</v>
      </c>
      <c r="G3" s="13" t="s">
        <v>1</v>
      </c>
      <c r="H3" s="12"/>
      <c r="I3" s="13" t="s">
        <v>21</v>
      </c>
      <c r="J3" s="13" t="s">
        <v>22</v>
      </c>
      <c r="R3" s="14" t="s">
        <v>6</v>
      </c>
      <c r="S3" s="17" t="s">
        <v>3</v>
      </c>
      <c r="T3" s="13" t="s">
        <v>27</v>
      </c>
      <c r="U3" s="17" t="s">
        <v>11</v>
      </c>
      <c r="V3" s="17" t="s">
        <v>31</v>
      </c>
      <c r="W3" s="17" t="s">
        <v>28</v>
      </c>
      <c r="X3" s="17" t="s">
        <v>29</v>
      </c>
      <c r="Y3" s="17" t="s">
        <v>28</v>
      </c>
      <c r="Z3" s="17" t="s">
        <v>29</v>
      </c>
      <c r="AA3" s="17" t="s">
        <v>25</v>
      </c>
    </row>
    <row r="4" spans="3:7" ht="12.75">
      <c r="C4" s="1"/>
      <c r="D4" s="1"/>
      <c r="E4" s="1"/>
      <c r="F4" s="1"/>
      <c r="G4" s="1"/>
    </row>
    <row r="5" spans="3:7" ht="12.75">
      <c r="C5" s="1"/>
      <c r="D5" s="1"/>
      <c r="E5" s="1"/>
      <c r="F5" s="1"/>
      <c r="G5" s="1"/>
    </row>
    <row r="6" spans="1:27" ht="12.75">
      <c r="A6">
        <v>1940</v>
      </c>
      <c r="C6" s="35">
        <v>0</v>
      </c>
      <c r="D6" s="35">
        <v>0</v>
      </c>
      <c r="E6" s="35">
        <v>386</v>
      </c>
      <c r="F6" s="35">
        <v>0</v>
      </c>
      <c r="G6" s="35">
        <f aca="true" t="shared" si="0" ref="G6:G51">C6+D6+E6-F6</f>
        <v>386</v>
      </c>
      <c r="H6" s="28">
        <v>80.5</v>
      </c>
      <c r="I6" s="29">
        <v>0</v>
      </c>
      <c r="J6" s="29">
        <f aca="true" t="shared" si="1" ref="J6:J51">IF(I6=0,0,ROUND((I6/D6/$G$94)+H6,1))</f>
        <v>0</v>
      </c>
      <c r="L6" s="38">
        <f>D6+E6</f>
        <v>386</v>
      </c>
      <c r="R6" s="21">
        <f>A6</f>
        <v>1940</v>
      </c>
      <c r="S6" s="4">
        <f aca="true" t="shared" si="2" ref="S6:S37">E6</f>
        <v>386</v>
      </c>
      <c r="T6">
        <f aca="true" t="shared" si="3" ref="T6:T37">IF(D6&gt;0,IF(J6&gt;0,D6,0),0)</f>
        <v>0</v>
      </c>
      <c r="U6">
        <f aca="true" t="shared" si="4" ref="U6:U37">$V$94</f>
        <v>43</v>
      </c>
      <c r="V6" s="1" t="str">
        <f aca="true" t="shared" si="5" ref="V6:V37">$V$93</f>
        <v>S0</v>
      </c>
      <c r="W6" s="2">
        <f aca="true" t="shared" si="6" ref="W6:W37">S6/U6</f>
        <v>8.976744186046512</v>
      </c>
      <c r="X6" s="2">
        <f>T6/U6</f>
        <v>0</v>
      </c>
      <c r="Y6" s="18">
        <f aca="true" t="shared" si="7" ref="Y6:Y37">Prob_life(V6,H6,U6)</f>
        <v>2.0435504759242313</v>
      </c>
      <c r="Z6" s="18">
        <f aca="true" t="shared" si="8" ref="Z6:Z37">IF(J6&gt;0,Prob_life(V6,J6+0.5,U6),0)</f>
        <v>0</v>
      </c>
      <c r="AA6" s="2">
        <f>W6*Y6+X6*Z6</f>
        <v>18.344429853645426</v>
      </c>
    </row>
    <row r="7" spans="1:27" ht="12.75">
      <c r="A7">
        <v>1941</v>
      </c>
      <c r="C7" s="35">
        <f aca="true" t="shared" si="9" ref="C7:C51">G6</f>
        <v>386</v>
      </c>
      <c r="D7" s="35">
        <v>0</v>
      </c>
      <c r="E7" s="35">
        <v>0</v>
      </c>
      <c r="F7" s="35">
        <v>0</v>
      </c>
      <c r="G7" s="35">
        <f t="shared" si="0"/>
        <v>386</v>
      </c>
      <c r="H7" s="28">
        <v>79.5</v>
      </c>
      <c r="I7" s="29">
        <v>0</v>
      </c>
      <c r="J7" s="29">
        <f t="shared" si="1"/>
        <v>0</v>
      </c>
      <c r="L7" s="38">
        <f aca="true" t="shared" si="10" ref="L7:L70">D7+E7</f>
        <v>0</v>
      </c>
      <c r="R7" s="21">
        <f aca="true" t="shared" si="11" ref="R7:R70">A7</f>
        <v>1941</v>
      </c>
      <c r="S7" s="4">
        <f t="shared" si="2"/>
        <v>0</v>
      </c>
      <c r="T7">
        <f t="shared" si="3"/>
        <v>0</v>
      </c>
      <c r="U7">
        <f t="shared" si="4"/>
        <v>43</v>
      </c>
      <c r="V7" s="1" t="str">
        <f t="shared" si="5"/>
        <v>S0</v>
      </c>
      <c r="W7" s="2">
        <f t="shared" si="6"/>
        <v>0</v>
      </c>
      <c r="X7" s="2">
        <f aca="true" t="shared" si="12" ref="X7:X68">T7/U7</f>
        <v>0</v>
      </c>
      <c r="Y7" s="18">
        <f t="shared" si="7"/>
        <v>2.4101880012253427</v>
      </c>
      <c r="Z7" s="18">
        <f t="shared" si="8"/>
        <v>0</v>
      </c>
      <c r="AA7" s="2">
        <f aca="true" t="shared" si="13" ref="AA7:AA68">W7*Y7+X7*Z7</f>
        <v>0</v>
      </c>
    </row>
    <row r="8" spans="1:27" ht="12.75">
      <c r="A8">
        <v>1942</v>
      </c>
      <c r="C8" s="35">
        <f t="shared" si="9"/>
        <v>386</v>
      </c>
      <c r="D8" s="35">
        <v>0</v>
      </c>
      <c r="E8" s="35">
        <v>0</v>
      </c>
      <c r="F8" s="35">
        <v>0</v>
      </c>
      <c r="G8" s="35">
        <f t="shared" si="0"/>
        <v>386</v>
      </c>
      <c r="H8" s="28">
        <v>78.5</v>
      </c>
      <c r="I8" s="29">
        <v>0</v>
      </c>
      <c r="J8" s="29">
        <f t="shared" si="1"/>
        <v>0</v>
      </c>
      <c r="L8" s="38">
        <f t="shared" si="10"/>
        <v>0</v>
      </c>
      <c r="R8" s="21">
        <f t="shared" si="11"/>
        <v>1942</v>
      </c>
      <c r="S8" s="4">
        <f t="shared" si="2"/>
        <v>0</v>
      </c>
      <c r="T8">
        <f t="shared" si="3"/>
        <v>0</v>
      </c>
      <c r="U8">
        <f t="shared" si="4"/>
        <v>43</v>
      </c>
      <c r="V8" s="1" t="str">
        <f t="shared" si="5"/>
        <v>S0</v>
      </c>
      <c r="W8" s="2">
        <f t="shared" si="6"/>
        <v>0</v>
      </c>
      <c r="X8" s="2">
        <f t="shared" si="12"/>
        <v>0</v>
      </c>
      <c r="Y8" s="18">
        <f t="shared" si="7"/>
        <v>2.7791666754406497</v>
      </c>
      <c r="Z8" s="18">
        <f t="shared" si="8"/>
        <v>0</v>
      </c>
      <c r="AA8" s="2">
        <f t="shared" si="13"/>
        <v>0</v>
      </c>
    </row>
    <row r="9" spans="1:27" ht="12.75">
      <c r="A9">
        <v>1943</v>
      </c>
      <c r="C9" s="35">
        <f t="shared" si="9"/>
        <v>386</v>
      </c>
      <c r="D9" s="35">
        <v>0</v>
      </c>
      <c r="E9" s="35">
        <v>0</v>
      </c>
      <c r="F9" s="35">
        <v>0</v>
      </c>
      <c r="G9" s="35">
        <f t="shared" si="0"/>
        <v>386</v>
      </c>
      <c r="H9" s="28">
        <v>77.5</v>
      </c>
      <c r="I9" s="29">
        <v>0</v>
      </c>
      <c r="J9" s="29">
        <f t="shared" si="1"/>
        <v>0</v>
      </c>
      <c r="L9" s="38">
        <f t="shared" si="10"/>
        <v>0</v>
      </c>
      <c r="R9" s="21">
        <f t="shared" si="11"/>
        <v>1943</v>
      </c>
      <c r="S9" s="4">
        <f t="shared" si="2"/>
        <v>0</v>
      </c>
      <c r="T9">
        <f t="shared" si="3"/>
        <v>0</v>
      </c>
      <c r="U9">
        <f t="shared" si="4"/>
        <v>43</v>
      </c>
      <c r="V9" s="1" t="str">
        <f t="shared" si="5"/>
        <v>S0</v>
      </c>
      <c r="W9" s="2">
        <f t="shared" si="6"/>
        <v>0</v>
      </c>
      <c r="X9" s="2">
        <f t="shared" si="12"/>
        <v>0</v>
      </c>
      <c r="Y9" s="18">
        <f t="shared" si="7"/>
        <v>3.1501247795536615</v>
      </c>
      <c r="Z9" s="18">
        <f t="shared" si="8"/>
        <v>0</v>
      </c>
      <c r="AA9" s="2">
        <f t="shared" si="13"/>
        <v>0</v>
      </c>
    </row>
    <row r="10" spans="1:27" ht="12.75">
      <c r="A10">
        <v>1944</v>
      </c>
      <c r="C10" s="35">
        <f t="shared" si="9"/>
        <v>386</v>
      </c>
      <c r="D10" s="35">
        <v>0</v>
      </c>
      <c r="E10" s="35">
        <v>0</v>
      </c>
      <c r="F10" s="35">
        <v>0</v>
      </c>
      <c r="G10" s="35">
        <f t="shared" si="0"/>
        <v>386</v>
      </c>
      <c r="H10" s="28">
        <v>76.5</v>
      </c>
      <c r="I10" s="29">
        <v>0</v>
      </c>
      <c r="J10" s="29">
        <f t="shared" si="1"/>
        <v>0</v>
      </c>
      <c r="L10" s="38">
        <f t="shared" si="10"/>
        <v>0</v>
      </c>
      <c r="R10" s="21">
        <f t="shared" si="11"/>
        <v>1944</v>
      </c>
      <c r="S10" s="4">
        <f t="shared" si="2"/>
        <v>0</v>
      </c>
      <c r="T10">
        <f t="shared" si="3"/>
        <v>0</v>
      </c>
      <c r="U10">
        <f t="shared" si="4"/>
        <v>43</v>
      </c>
      <c r="V10" s="1" t="str">
        <f t="shared" si="5"/>
        <v>S0</v>
      </c>
      <c r="W10" s="2">
        <f t="shared" si="6"/>
        <v>0</v>
      </c>
      <c r="X10" s="2">
        <f t="shared" si="12"/>
        <v>0</v>
      </c>
      <c r="Y10" s="18">
        <f t="shared" si="7"/>
        <v>3.5228670228238967</v>
      </c>
      <c r="Z10" s="18">
        <f t="shared" si="8"/>
        <v>0</v>
      </c>
      <c r="AA10" s="2">
        <f t="shared" si="13"/>
        <v>0</v>
      </c>
    </row>
    <row r="11" spans="1:27" ht="12.75">
      <c r="A11">
        <v>1945</v>
      </c>
      <c r="C11" s="35">
        <f t="shared" si="9"/>
        <v>386</v>
      </c>
      <c r="D11" s="35">
        <v>0</v>
      </c>
      <c r="E11" s="35">
        <v>0</v>
      </c>
      <c r="F11" s="35">
        <v>0</v>
      </c>
      <c r="G11" s="35">
        <f t="shared" si="0"/>
        <v>386</v>
      </c>
      <c r="H11" s="28">
        <v>75.5</v>
      </c>
      <c r="I11" s="29">
        <v>0</v>
      </c>
      <c r="J11" s="29">
        <f t="shared" si="1"/>
        <v>0</v>
      </c>
      <c r="L11" s="38">
        <f t="shared" si="10"/>
        <v>0</v>
      </c>
      <c r="R11" s="21">
        <f t="shared" si="11"/>
        <v>1945</v>
      </c>
      <c r="S11" s="4">
        <f t="shared" si="2"/>
        <v>0</v>
      </c>
      <c r="T11">
        <f t="shared" si="3"/>
        <v>0</v>
      </c>
      <c r="U11">
        <f t="shared" si="4"/>
        <v>43</v>
      </c>
      <c r="V11" s="1" t="str">
        <f t="shared" si="5"/>
        <v>S0</v>
      </c>
      <c r="W11" s="2">
        <f t="shared" si="6"/>
        <v>0</v>
      </c>
      <c r="X11" s="2">
        <f t="shared" si="12"/>
        <v>0</v>
      </c>
      <c r="Y11" s="18">
        <f t="shared" si="7"/>
        <v>3.89728536255691</v>
      </c>
      <c r="Z11" s="18">
        <f t="shared" si="8"/>
        <v>0</v>
      </c>
      <c r="AA11" s="2">
        <f t="shared" si="13"/>
        <v>0</v>
      </c>
    </row>
    <row r="12" spans="1:27" ht="12.75">
      <c r="A12">
        <v>1946</v>
      </c>
      <c r="C12" s="35">
        <f t="shared" si="9"/>
        <v>386</v>
      </c>
      <c r="D12" s="35">
        <v>0</v>
      </c>
      <c r="E12" s="35">
        <v>0</v>
      </c>
      <c r="F12" s="35">
        <v>0</v>
      </c>
      <c r="G12" s="35">
        <f t="shared" si="0"/>
        <v>386</v>
      </c>
      <c r="H12" s="28">
        <v>74.5</v>
      </c>
      <c r="I12" s="29">
        <v>0</v>
      </c>
      <c r="J12" s="29">
        <f t="shared" si="1"/>
        <v>0</v>
      </c>
      <c r="L12" s="38">
        <f t="shared" si="10"/>
        <v>0</v>
      </c>
      <c r="R12" s="21">
        <f t="shared" si="11"/>
        <v>1946</v>
      </c>
      <c r="S12" s="4">
        <f t="shared" si="2"/>
        <v>0</v>
      </c>
      <c r="T12">
        <f t="shared" si="3"/>
        <v>0</v>
      </c>
      <c r="U12">
        <f t="shared" si="4"/>
        <v>43</v>
      </c>
      <c r="V12" s="1" t="str">
        <f t="shared" si="5"/>
        <v>S0</v>
      </c>
      <c r="W12" s="2">
        <f t="shared" si="6"/>
        <v>0</v>
      </c>
      <c r="X12" s="2">
        <f t="shared" si="12"/>
        <v>0</v>
      </c>
      <c r="Y12" s="18">
        <f t="shared" si="7"/>
        <v>4.273321349404978</v>
      </c>
      <c r="Z12" s="18">
        <f t="shared" si="8"/>
        <v>0</v>
      </c>
      <c r="AA12" s="2">
        <f t="shared" si="13"/>
        <v>0</v>
      </c>
    </row>
    <row r="13" spans="1:27" ht="12.75">
      <c r="A13">
        <v>1947</v>
      </c>
      <c r="C13" s="35">
        <f t="shared" si="9"/>
        <v>386</v>
      </c>
      <c r="D13" s="35">
        <v>0</v>
      </c>
      <c r="E13" s="35">
        <v>291</v>
      </c>
      <c r="F13" s="35">
        <v>0</v>
      </c>
      <c r="G13" s="35">
        <f t="shared" si="0"/>
        <v>677</v>
      </c>
      <c r="H13" s="28">
        <v>73.5</v>
      </c>
      <c r="I13" s="29">
        <v>0</v>
      </c>
      <c r="J13" s="29">
        <f t="shared" si="1"/>
        <v>0</v>
      </c>
      <c r="L13" s="38">
        <f t="shared" si="10"/>
        <v>291</v>
      </c>
      <c r="R13" s="21">
        <f t="shared" si="11"/>
        <v>1947</v>
      </c>
      <c r="S13" s="4">
        <f t="shared" si="2"/>
        <v>291</v>
      </c>
      <c r="T13">
        <f t="shared" si="3"/>
        <v>0</v>
      </c>
      <c r="U13">
        <f t="shared" si="4"/>
        <v>43</v>
      </c>
      <c r="V13" s="1" t="str">
        <f t="shared" si="5"/>
        <v>S0</v>
      </c>
      <c r="W13" s="2">
        <f t="shared" si="6"/>
        <v>6.767441860465116</v>
      </c>
      <c r="X13" s="2">
        <f t="shared" si="12"/>
        <v>0</v>
      </c>
      <c r="Y13" s="18">
        <f t="shared" si="7"/>
        <v>4.650946648771963</v>
      </c>
      <c r="Z13" s="18">
        <f t="shared" si="8"/>
        <v>0</v>
      </c>
      <c r="AA13" s="2">
        <f t="shared" si="13"/>
        <v>31.475011041689328</v>
      </c>
    </row>
    <row r="14" spans="1:27" ht="12.75">
      <c r="A14">
        <v>1948</v>
      </c>
      <c r="C14" s="35">
        <f t="shared" si="9"/>
        <v>677</v>
      </c>
      <c r="D14" s="35">
        <v>0</v>
      </c>
      <c r="E14" s="35">
        <v>543</v>
      </c>
      <c r="F14" s="35">
        <v>0</v>
      </c>
      <c r="G14" s="35">
        <f t="shared" si="0"/>
        <v>1220</v>
      </c>
      <c r="H14" s="28">
        <v>72.5</v>
      </c>
      <c r="I14" s="29">
        <v>0</v>
      </c>
      <c r="J14" s="29">
        <f t="shared" si="1"/>
        <v>0</v>
      </c>
      <c r="L14" s="38">
        <f t="shared" si="10"/>
        <v>543</v>
      </c>
      <c r="R14" s="21">
        <f t="shared" si="11"/>
        <v>1948</v>
      </c>
      <c r="S14" s="4">
        <f t="shared" si="2"/>
        <v>543</v>
      </c>
      <c r="T14">
        <f t="shared" si="3"/>
        <v>0</v>
      </c>
      <c r="U14">
        <f t="shared" si="4"/>
        <v>43</v>
      </c>
      <c r="V14" s="1" t="str">
        <f t="shared" si="5"/>
        <v>S0</v>
      </c>
      <c r="W14" s="2">
        <f t="shared" si="6"/>
        <v>12.627906976744185</v>
      </c>
      <c r="X14" s="2">
        <f t="shared" si="12"/>
        <v>0</v>
      </c>
      <c r="Y14" s="18">
        <f t="shared" si="7"/>
        <v>5.0301522776934116</v>
      </c>
      <c r="Z14" s="18">
        <f t="shared" si="8"/>
        <v>0</v>
      </c>
      <c r="AA14" s="2">
        <f t="shared" si="13"/>
        <v>63.520295041570286</v>
      </c>
    </row>
    <row r="15" spans="1:27" ht="12.75">
      <c r="A15">
        <v>1949</v>
      </c>
      <c r="C15" s="35">
        <f t="shared" si="9"/>
        <v>1220</v>
      </c>
      <c r="D15" s="35">
        <v>0</v>
      </c>
      <c r="E15" s="35">
        <v>1057</v>
      </c>
      <c r="F15" s="35">
        <v>0</v>
      </c>
      <c r="G15" s="35">
        <f t="shared" si="0"/>
        <v>2277</v>
      </c>
      <c r="H15" s="28">
        <v>71.5</v>
      </c>
      <c r="I15" s="29">
        <v>0</v>
      </c>
      <c r="J15" s="29">
        <f t="shared" si="1"/>
        <v>0</v>
      </c>
      <c r="L15" s="38">
        <f t="shared" si="10"/>
        <v>1057</v>
      </c>
      <c r="R15" s="21">
        <f t="shared" si="11"/>
        <v>1949</v>
      </c>
      <c r="S15" s="4">
        <f t="shared" si="2"/>
        <v>1057</v>
      </c>
      <c r="T15">
        <f t="shared" si="3"/>
        <v>0</v>
      </c>
      <c r="U15">
        <f t="shared" si="4"/>
        <v>43</v>
      </c>
      <c r="V15" s="1" t="str">
        <f t="shared" si="5"/>
        <v>S0</v>
      </c>
      <c r="W15" s="2">
        <f t="shared" si="6"/>
        <v>24.58139534883721</v>
      </c>
      <c r="X15" s="2">
        <f t="shared" si="12"/>
        <v>0</v>
      </c>
      <c r="Y15" s="18">
        <f t="shared" si="7"/>
        <v>5.410942335063995</v>
      </c>
      <c r="Z15" s="18">
        <f t="shared" si="8"/>
        <v>0</v>
      </c>
      <c r="AA15" s="2">
        <f t="shared" si="13"/>
        <v>133.0085127479684</v>
      </c>
    </row>
    <row r="16" spans="1:27" ht="12.75">
      <c r="A16">
        <v>1950</v>
      </c>
      <c r="C16" s="35">
        <f t="shared" si="9"/>
        <v>2277</v>
      </c>
      <c r="D16" s="35">
        <v>0</v>
      </c>
      <c r="E16" s="35">
        <v>1120</v>
      </c>
      <c r="F16" s="35">
        <v>0</v>
      </c>
      <c r="G16" s="35">
        <f t="shared" si="0"/>
        <v>3397</v>
      </c>
      <c r="H16" s="28">
        <v>70.5</v>
      </c>
      <c r="I16" s="29">
        <v>0</v>
      </c>
      <c r="J16" s="29">
        <f t="shared" si="1"/>
        <v>0</v>
      </c>
      <c r="L16" s="38">
        <f t="shared" si="10"/>
        <v>1120</v>
      </c>
      <c r="R16" s="21">
        <f t="shared" si="11"/>
        <v>1950</v>
      </c>
      <c r="S16" s="4">
        <f t="shared" si="2"/>
        <v>1120</v>
      </c>
      <c r="T16">
        <f t="shared" si="3"/>
        <v>0</v>
      </c>
      <c r="U16">
        <f t="shared" si="4"/>
        <v>43</v>
      </c>
      <c r="V16" s="1" t="str">
        <f t="shared" si="5"/>
        <v>S0</v>
      </c>
      <c r="W16" s="2">
        <f t="shared" si="6"/>
        <v>26.046511627906977</v>
      </c>
      <c r="X16" s="2">
        <f t="shared" si="12"/>
        <v>0</v>
      </c>
      <c r="Y16" s="18">
        <f t="shared" si="7"/>
        <v>5.793330189857848</v>
      </c>
      <c r="Z16" s="18">
        <f t="shared" si="8"/>
        <v>0</v>
      </c>
      <c r="AA16" s="2">
        <f t="shared" si="13"/>
        <v>150.89604215443697</v>
      </c>
    </row>
    <row r="17" spans="1:27" ht="12.75">
      <c r="A17">
        <v>1951</v>
      </c>
      <c r="C17" s="35">
        <f t="shared" si="9"/>
        <v>3397</v>
      </c>
      <c r="D17" s="35">
        <v>0</v>
      </c>
      <c r="E17" s="35">
        <v>1784</v>
      </c>
      <c r="F17" s="35">
        <v>0</v>
      </c>
      <c r="G17" s="35">
        <f t="shared" si="0"/>
        <v>5181</v>
      </c>
      <c r="H17" s="28">
        <v>69.5</v>
      </c>
      <c r="I17" s="29">
        <v>0</v>
      </c>
      <c r="J17" s="29">
        <f t="shared" si="1"/>
        <v>0</v>
      </c>
      <c r="L17" s="38">
        <f t="shared" si="10"/>
        <v>1784</v>
      </c>
      <c r="R17" s="21">
        <f t="shared" si="11"/>
        <v>1951</v>
      </c>
      <c r="S17" s="4">
        <f t="shared" si="2"/>
        <v>1784</v>
      </c>
      <c r="T17">
        <f t="shared" si="3"/>
        <v>0</v>
      </c>
      <c r="U17">
        <f t="shared" si="4"/>
        <v>43</v>
      </c>
      <c r="V17" s="1" t="str">
        <f t="shared" si="5"/>
        <v>S0</v>
      </c>
      <c r="W17" s="2">
        <f t="shared" si="6"/>
        <v>41.48837209302326</v>
      </c>
      <c r="X17" s="2">
        <f t="shared" si="12"/>
        <v>0</v>
      </c>
      <c r="Y17" s="18">
        <f t="shared" si="7"/>
        <v>6.177336082186903</v>
      </c>
      <c r="Z17" s="18">
        <f t="shared" si="8"/>
        <v>0</v>
      </c>
      <c r="AA17" s="2">
        <f t="shared" si="13"/>
        <v>256.28761792142876</v>
      </c>
    </row>
    <row r="18" spans="1:27" ht="12.75">
      <c r="A18">
        <v>1952</v>
      </c>
      <c r="C18" s="35">
        <f t="shared" si="9"/>
        <v>5181</v>
      </c>
      <c r="D18" s="35">
        <v>0</v>
      </c>
      <c r="E18" s="35">
        <v>293</v>
      </c>
      <c r="F18" s="35">
        <v>0</v>
      </c>
      <c r="G18" s="35">
        <f t="shared" si="0"/>
        <v>5474</v>
      </c>
      <c r="H18" s="28">
        <v>68.5</v>
      </c>
      <c r="I18" s="29">
        <v>0</v>
      </c>
      <c r="J18" s="29">
        <f t="shared" si="1"/>
        <v>0</v>
      </c>
      <c r="L18" s="38">
        <f t="shared" si="10"/>
        <v>293</v>
      </c>
      <c r="R18" s="21">
        <f t="shared" si="11"/>
        <v>1952</v>
      </c>
      <c r="S18" s="4">
        <f t="shared" si="2"/>
        <v>293</v>
      </c>
      <c r="T18">
        <f t="shared" si="3"/>
        <v>0</v>
      </c>
      <c r="U18">
        <f t="shared" si="4"/>
        <v>43</v>
      </c>
      <c r="V18" s="1" t="str">
        <f t="shared" si="5"/>
        <v>S0</v>
      </c>
      <c r="W18" s="2">
        <f t="shared" si="6"/>
        <v>6.813953488372093</v>
      </c>
      <c r="X18" s="2">
        <f t="shared" si="12"/>
        <v>0</v>
      </c>
      <c r="Y18" s="18">
        <f t="shared" si="7"/>
        <v>6.56298557146296</v>
      </c>
      <c r="Z18" s="18">
        <f t="shared" si="8"/>
        <v>0</v>
      </c>
      <c r="AA18" s="2">
        <f t="shared" si="13"/>
        <v>44.71987842880575</v>
      </c>
    </row>
    <row r="19" spans="1:27" ht="12.75">
      <c r="A19">
        <v>1953</v>
      </c>
      <c r="C19" s="35">
        <f t="shared" si="9"/>
        <v>5474</v>
      </c>
      <c r="D19" s="35">
        <v>0</v>
      </c>
      <c r="E19" s="35">
        <v>394</v>
      </c>
      <c r="F19" s="35">
        <v>0</v>
      </c>
      <c r="G19" s="35">
        <f t="shared" si="0"/>
        <v>5868</v>
      </c>
      <c r="H19" s="28">
        <v>67.5</v>
      </c>
      <c r="I19" s="29">
        <v>0</v>
      </c>
      <c r="J19" s="29">
        <f t="shared" si="1"/>
        <v>0</v>
      </c>
      <c r="L19" s="38">
        <f t="shared" si="10"/>
        <v>394</v>
      </c>
      <c r="R19" s="21">
        <f t="shared" si="11"/>
        <v>1953</v>
      </c>
      <c r="S19" s="4">
        <f t="shared" si="2"/>
        <v>394</v>
      </c>
      <c r="T19">
        <f t="shared" si="3"/>
        <v>0</v>
      </c>
      <c r="U19">
        <f t="shared" si="4"/>
        <v>43</v>
      </c>
      <c r="V19" s="1" t="str">
        <f t="shared" si="5"/>
        <v>S0</v>
      </c>
      <c r="W19" s="2">
        <f t="shared" si="6"/>
        <v>9.162790697674419</v>
      </c>
      <c r="X19" s="2">
        <f t="shared" si="12"/>
        <v>0</v>
      </c>
      <c r="Y19" s="18">
        <f t="shared" si="7"/>
        <v>6.950308511422198</v>
      </c>
      <c r="Z19" s="18">
        <f t="shared" si="8"/>
        <v>0</v>
      </c>
      <c r="AA19" s="2">
        <f t="shared" si="13"/>
        <v>63.68422217442665</v>
      </c>
    </row>
    <row r="20" spans="1:27" ht="12.75">
      <c r="A20">
        <v>1954</v>
      </c>
      <c r="C20" s="35">
        <f t="shared" si="9"/>
        <v>5868</v>
      </c>
      <c r="D20" s="35">
        <v>0</v>
      </c>
      <c r="E20" s="35">
        <v>1666</v>
      </c>
      <c r="F20" s="35">
        <v>0</v>
      </c>
      <c r="G20" s="35">
        <f t="shared" si="0"/>
        <v>7534</v>
      </c>
      <c r="H20" s="28">
        <v>66.5</v>
      </c>
      <c r="I20" s="29">
        <v>0</v>
      </c>
      <c r="J20" s="29">
        <f t="shared" si="1"/>
        <v>0</v>
      </c>
      <c r="L20" s="38">
        <f t="shared" si="10"/>
        <v>1666</v>
      </c>
      <c r="R20" s="21">
        <f t="shared" si="11"/>
        <v>1954</v>
      </c>
      <c r="S20" s="4">
        <f t="shared" si="2"/>
        <v>1666</v>
      </c>
      <c r="T20">
        <f t="shared" si="3"/>
        <v>0</v>
      </c>
      <c r="U20">
        <f t="shared" si="4"/>
        <v>43</v>
      </c>
      <c r="V20" s="1" t="str">
        <f t="shared" si="5"/>
        <v>S0</v>
      </c>
      <c r="W20" s="2">
        <f t="shared" si="6"/>
        <v>38.74418604651163</v>
      </c>
      <c r="X20" s="2">
        <f t="shared" si="12"/>
        <v>0</v>
      </c>
      <c r="Y20" s="18">
        <f t="shared" si="7"/>
        <v>7.339338363652465</v>
      </c>
      <c r="Z20" s="18">
        <f t="shared" si="8"/>
        <v>0</v>
      </c>
      <c r="AA20" s="2">
        <f t="shared" si="13"/>
        <v>284.35669101965135</v>
      </c>
    </row>
    <row r="21" spans="1:27" ht="12.75">
      <c r="A21">
        <v>1955</v>
      </c>
      <c r="C21" s="35">
        <f t="shared" si="9"/>
        <v>7534</v>
      </c>
      <c r="D21" s="35">
        <v>0</v>
      </c>
      <c r="E21" s="35">
        <v>2929</v>
      </c>
      <c r="F21" s="35">
        <v>0</v>
      </c>
      <c r="G21" s="35">
        <f t="shared" si="0"/>
        <v>10463</v>
      </c>
      <c r="H21" s="28">
        <v>65.5</v>
      </c>
      <c r="I21" s="29">
        <v>0</v>
      </c>
      <c r="J21" s="29">
        <f t="shared" si="1"/>
        <v>0</v>
      </c>
      <c r="L21" s="38">
        <f t="shared" si="10"/>
        <v>2929</v>
      </c>
      <c r="R21" s="21">
        <f t="shared" si="11"/>
        <v>1955</v>
      </c>
      <c r="S21" s="4">
        <f t="shared" si="2"/>
        <v>2929</v>
      </c>
      <c r="T21">
        <f t="shared" si="3"/>
        <v>0</v>
      </c>
      <c r="U21">
        <f t="shared" si="4"/>
        <v>43</v>
      </c>
      <c r="V21" s="1" t="str">
        <f t="shared" si="5"/>
        <v>S0</v>
      </c>
      <c r="W21" s="2">
        <f t="shared" si="6"/>
        <v>68.11627906976744</v>
      </c>
      <c r="X21" s="2">
        <f t="shared" si="12"/>
        <v>0</v>
      </c>
      <c r="Y21" s="18">
        <f t="shared" si="7"/>
        <v>7.730111735086002</v>
      </c>
      <c r="Z21" s="18">
        <f t="shared" si="8"/>
        <v>0</v>
      </c>
      <c r="AA21" s="2">
        <f t="shared" si="13"/>
        <v>526.5464481876023</v>
      </c>
    </row>
    <row r="22" spans="1:27" ht="12.75">
      <c r="A22">
        <v>1956</v>
      </c>
      <c r="C22" s="35">
        <f t="shared" si="9"/>
        <v>10463</v>
      </c>
      <c r="D22" s="35">
        <v>0</v>
      </c>
      <c r="E22" s="35">
        <v>8754</v>
      </c>
      <c r="F22" s="35">
        <v>0</v>
      </c>
      <c r="G22" s="35">
        <f t="shared" si="0"/>
        <v>19217</v>
      </c>
      <c r="H22" s="28">
        <v>64.5</v>
      </c>
      <c r="I22" s="29">
        <v>0</v>
      </c>
      <c r="J22" s="29">
        <f t="shared" si="1"/>
        <v>0</v>
      </c>
      <c r="L22" s="38">
        <f t="shared" si="10"/>
        <v>8754</v>
      </c>
      <c r="R22" s="21">
        <f t="shared" si="11"/>
        <v>1956</v>
      </c>
      <c r="S22" s="4">
        <f t="shared" si="2"/>
        <v>8754</v>
      </c>
      <c r="T22">
        <f t="shared" si="3"/>
        <v>0</v>
      </c>
      <c r="U22">
        <f t="shared" si="4"/>
        <v>43</v>
      </c>
      <c r="V22" s="1" t="str">
        <f t="shared" si="5"/>
        <v>S0</v>
      </c>
      <c r="W22" s="2">
        <f t="shared" si="6"/>
        <v>203.58139534883722</v>
      </c>
      <c r="X22" s="2">
        <f t="shared" si="12"/>
        <v>0</v>
      </c>
      <c r="Y22" s="18">
        <f t="shared" si="7"/>
        <v>8.122668067771734</v>
      </c>
      <c r="Z22" s="18">
        <f t="shared" si="8"/>
        <v>0</v>
      </c>
      <c r="AA22" s="2">
        <f t="shared" si="13"/>
        <v>1653.624099192413</v>
      </c>
    </row>
    <row r="23" spans="1:27" ht="12.75">
      <c r="A23">
        <v>1957</v>
      </c>
      <c r="C23" s="35">
        <f t="shared" si="9"/>
        <v>19217</v>
      </c>
      <c r="D23" s="35">
        <v>0</v>
      </c>
      <c r="E23" s="35">
        <v>8202</v>
      </c>
      <c r="F23" s="35">
        <v>0</v>
      </c>
      <c r="G23" s="35">
        <f t="shared" si="0"/>
        <v>27419</v>
      </c>
      <c r="H23" s="28">
        <v>63.5</v>
      </c>
      <c r="I23" s="29">
        <v>0</v>
      </c>
      <c r="J23" s="29">
        <f t="shared" si="1"/>
        <v>0</v>
      </c>
      <c r="L23" s="38">
        <f t="shared" si="10"/>
        <v>8202</v>
      </c>
      <c r="R23" s="21">
        <f t="shared" si="11"/>
        <v>1957</v>
      </c>
      <c r="S23" s="4">
        <f t="shared" si="2"/>
        <v>8202</v>
      </c>
      <c r="T23">
        <f t="shared" si="3"/>
        <v>0</v>
      </c>
      <c r="U23">
        <f t="shared" si="4"/>
        <v>43</v>
      </c>
      <c r="V23" s="1" t="str">
        <f t="shared" si="5"/>
        <v>S0</v>
      </c>
      <c r="W23" s="2">
        <f t="shared" si="6"/>
        <v>190.74418604651163</v>
      </c>
      <c r="X23" s="2">
        <f t="shared" si="12"/>
        <v>0</v>
      </c>
      <c r="Y23" s="18">
        <f t="shared" si="7"/>
        <v>8.517049434910778</v>
      </c>
      <c r="Z23" s="18">
        <f t="shared" si="8"/>
        <v>0</v>
      </c>
      <c r="AA23" s="2">
        <f t="shared" si="13"/>
        <v>1624.577661979958</v>
      </c>
    </row>
    <row r="24" spans="1:27" ht="12.75">
      <c r="A24">
        <v>1958</v>
      </c>
      <c r="C24" s="35">
        <f t="shared" si="9"/>
        <v>27419</v>
      </c>
      <c r="D24" s="35">
        <v>0</v>
      </c>
      <c r="E24" s="35">
        <v>6222</v>
      </c>
      <c r="F24" s="35">
        <v>0</v>
      </c>
      <c r="G24" s="35">
        <f t="shared" si="0"/>
        <v>33641</v>
      </c>
      <c r="H24" s="28">
        <v>62.5</v>
      </c>
      <c r="I24" s="29">
        <v>0</v>
      </c>
      <c r="J24" s="29">
        <f t="shared" si="1"/>
        <v>0</v>
      </c>
      <c r="L24" s="38">
        <f t="shared" si="10"/>
        <v>6222</v>
      </c>
      <c r="R24" s="21">
        <f t="shared" si="11"/>
        <v>1958</v>
      </c>
      <c r="S24" s="4">
        <f t="shared" si="2"/>
        <v>6222</v>
      </c>
      <c r="T24">
        <f t="shared" si="3"/>
        <v>0</v>
      </c>
      <c r="U24">
        <f t="shared" si="4"/>
        <v>43</v>
      </c>
      <c r="V24" s="1" t="str">
        <f t="shared" si="5"/>
        <v>S0</v>
      </c>
      <c r="W24" s="2">
        <f t="shared" si="6"/>
        <v>144.69767441860466</v>
      </c>
      <c r="X24" s="2">
        <f t="shared" si="12"/>
        <v>0</v>
      </c>
      <c r="Y24" s="18">
        <f t="shared" si="7"/>
        <v>8.913300412964366</v>
      </c>
      <c r="Z24" s="18">
        <f t="shared" si="8"/>
        <v>0</v>
      </c>
      <c r="AA24" s="2">
        <f t="shared" si="13"/>
        <v>1289.7338411503324</v>
      </c>
    </row>
    <row r="25" spans="1:27" ht="12.75">
      <c r="A25">
        <v>1959</v>
      </c>
      <c r="C25" s="35">
        <f t="shared" si="9"/>
        <v>33641</v>
      </c>
      <c r="D25" s="35">
        <v>0</v>
      </c>
      <c r="E25" s="35">
        <v>4846</v>
      </c>
      <c r="F25" s="35">
        <v>0</v>
      </c>
      <c r="G25" s="35">
        <f t="shared" si="0"/>
        <v>38487</v>
      </c>
      <c r="H25" s="28">
        <v>61.5</v>
      </c>
      <c r="I25" s="29">
        <v>0</v>
      </c>
      <c r="J25" s="29">
        <f t="shared" si="1"/>
        <v>0</v>
      </c>
      <c r="L25" s="38">
        <f t="shared" si="10"/>
        <v>4846</v>
      </c>
      <c r="R25" s="21">
        <f t="shared" si="11"/>
        <v>1959</v>
      </c>
      <c r="S25" s="4">
        <f t="shared" si="2"/>
        <v>4846</v>
      </c>
      <c r="T25">
        <f t="shared" si="3"/>
        <v>0</v>
      </c>
      <c r="U25">
        <f t="shared" si="4"/>
        <v>43</v>
      </c>
      <c r="V25" s="1" t="str">
        <f t="shared" si="5"/>
        <v>S0</v>
      </c>
      <c r="W25" s="2">
        <f t="shared" si="6"/>
        <v>112.69767441860465</v>
      </c>
      <c r="X25" s="2">
        <f t="shared" si="12"/>
        <v>0</v>
      </c>
      <c r="Y25" s="18">
        <f t="shared" si="7"/>
        <v>9.311468009656668</v>
      </c>
      <c r="Z25" s="18">
        <f t="shared" si="8"/>
        <v>0</v>
      </c>
      <c r="AA25" s="2">
        <f t="shared" si="13"/>
        <v>1049.38079011154</v>
      </c>
    </row>
    <row r="26" spans="1:27" ht="12.75">
      <c r="A26">
        <v>1960</v>
      </c>
      <c r="C26" s="35">
        <f t="shared" si="9"/>
        <v>38487</v>
      </c>
      <c r="D26" s="35">
        <v>0</v>
      </c>
      <c r="E26" s="35">
        <v>3986</v>
      </c>
      <c r="F26" s="35">
        <v>0</v>
      </c>
      <c r="G26" s="35">
        <f t="shared" si="0"/>
        <v>42473</v>
      </c>
      <c r="H26" s="28">
        <v>60.5</v>
      </c>
      <c r="I26" s="29">
        <v>0</v>
      </c>
      <c r="J26" s="29">
        <f t="shared" si="1"/>
        <v>0</v>
      </c>
      <c r="L26" s="38">
        <f t="shared" si="10"/>
        <v>3986</v>
      </c>
      <c r="R26" s="21">
        <f t="shared" si="11"/>
        <v>1960</v>
      </c>
      <c r="S26" s="4">
        <f t="shared" si="2"/>
        <v>3986</v>
      </c>
      <c r="T26">
        <f t="shared" si="3"/>
        <v>0</v>
      </c>
      <c r="U26">
        <f t="shared" si="4"/>
        <v>43</v>
      </c>
      <c r="V26" s="1" t="str">
        <f t="shared" si="5"/>
        <v>S0</v>
      </c>
      <c r="W26" s="2">
        <f t="shared" si="6"/>
        <v>92.69767441860465</v>
      </c>
      <c r="X26" s="2">
        <f t="shared" si="12"/>
        <v>0</v>
      </c>
      <c r="Y26" s="18">
        <f t="shared" si="7"/>
        <v>9.711601634166565</v>
      </c>
      <c r="Z26" s="18">
        <f t="shared" si="8"/>
        <v>0</v>
      </c>
      <c r="AA26" s="2">
        <f t="shared" si="13"/>
        <v>900.2428863671611</v>
      </c>
    </row>
    <row r="27" spans="1:27" ht="12.75">
      <c r="A27">
        <v>1961</v>
      </c>
      <c r="C27" s="35">
        <f t="shared" si="9"/>
        <v>42473</v>
      </c>
      <c r="D27" s="35">
        <v>0</v>
      </c>
      <c r="E27" s="35">
        <v>3306</v>
      </c>
      <c r="F27" s="35">
        <v>0</v>
      </c>
      <c r="G27" s="35">
        <f t="shared" si="0"/>
        <v>45779</v>
      </c>
      <c r="H27" s="28">
        <v>59.5</v>
      </c>
      <c r="I27" s="29">
        <v>0</v>
      </c>
      <c r="J27" s="29">
        <f t="shared" si="1"/>
        <v>0</v>
      </c>
      <c r="L27" s="38">
        <f t="shared" si="10"/>
        <v>3306</v>
      </c>
      <c r="R27" s="21">
        <f t="shared" si="11"/>
        <v>1961</v>
      </c>
      <c r="S27" s="4">
        <f t="shared" si="2"/>
        <v>3306</v>
      </c>
      <c r="T27">
        <f t="shared" si="3"/>
        <v>0</v>
      </c>
      <c r="U27">
        <f t="shared" si="4"/>
        <v>43</v>
      </c>
      <c r="V27" s="1" t="str">
        <f t="shared" si="5"/>
        <v>S0</v>
      </c>
      <c r="W27" s="2">
        <f t="shared" si="6"/>
        <v>76.88372093023256</v>
      </c>
      <c r="X27" s="2">
        <f t="shared" si="12"/>
        <v>0</v>
      </c>
      <c r="Y27" s="18">
        <f t="shared" si="7"/>
        <v>10.113753100091724</v>
      </c>
      <c r="Z27" s="18">
        <f t="shared" si="8"/>
        <v>0</v>
      </c>
      <c r="AA27" s="2">
        <f t="shared" si="13"/>
        <v>777.5829709047265</v>
      </c>
    </row>
    <row r="28" spans="1:27" ht="12.75">
      <c r="A28">
        <v>1962</v>
      </c>
      <c r="C28" s="35">
        <f t="shared" si="9"/>
        <v>45779</v>
      </c>
      <c r="D28" s="35">
        <v>0</v>
      </c>
      <c r="E28" s="35">
        <v>9394</v>
      </c>
      <c r="F28" s="35">
        <v>18</v>
      </c>
      <c r="G28" s="35">
        <f t="shared" si="0"/>
        <v>55155</v>
      </c>
      <c r="H28" s="28">
        <v>58.5</v>
      </c>
      <c r="I28" s="29">
        <v>0</v>
      </c>
      <c r="J28" s="29">
        <f t="shared" si="1"/>
        <v>0</v>
      </c>
      <c r="L28" s="38">
        <f t="shared" si="10"/>
        <v>9394</v>
      </c>
      <c r="R28" s="21">
        <f t="shared" si="11"/>
        <v>1962</v>
      </c>
      <c r="S28" s="4">
        <f t="shared" si="2"/>
        <v>9394</v>
      </c>
      <c r="T28">
        <f t="shared" si="3"/>
        <v>0</v>
      </c>
      <c r="U28">
        <f t="shared" si="4"/>
        <v>43</v>
      </c>
      <c r="V28" s="1" t="str">
        <f t="shared" si="5"/>
        <v>S0</v>
      </c>
      <c r="W28" s="2">
        <f t="shared" si="6"/>
        <v>218.46511627906978</v>
      </c>
      <c r="X28" s="2">
        <f t="shared" si="12"/>
        <v>0</v>
      </c>
      <c r="Y28" s="18">
        <f t="shared" si="7"/>
        <v>10.517976654662052</v>
      </c>
      <c r="Z28" s="18">
        <f t="shared" si="8"/>
        <v>0</v>
      </c>
      <c r="AA28" s="2">
        <f t="shared" si="13"/>
        <v>2297.8109928812864</v>
      </c>
    </row>
    <row r="29" spans="1:27" ht="12.75">
      <c r="A29">
        <v>1963</v>
      </c>
      <c r="C29" s="35">
        <f t="shared" si="9"/>
        <v>55155</v>
      </c>
      <c r="D29" s="35">
        <v>0</v>
      </c>
      <c r="E29" s="35">
        <v>1800</v>
      </c>
      <c r="F29" s="35">
        <v>0</v>
      </c>
      <c r="G29" s="35">
        <f t="shared" si="0"/>
        <v>56955</v>
      </c>
      <c r="H29" s="28">
        <v>57.5</v>
      </c>
      <c r="I29" s="29">
        <v>0</v>
      </c>
      <c r="J29" s="29">
        <f t="shared" si="1"/>
        <v>0</v>
      </c>
      <c r="L29" s="38">
        <f t="shared" si="10"/>
        <v>1800</v>
      </c>
      <c r="R29" s="21">
        <f t="shared" si="11"/>
        <v>1963</v>
      </c>
      <c r="S29" s="4">
        <f t="shared" si="2"/>
        <v>1800</v>
      </c>
      <c r="T29">
        <f t="shared" si="3"/>
        <v>0</v>
      </c>
      <c r="U29">
        <f t="shared" si="4"/>
        <v>43</v>
      </c>
      <c r="V29" s="1" t="str">
        <f t="shared" si="5"/>
        <v>S0</v>
      </c>
      <c r="W29" s="2">
        <f t="shared" si="6"/>
        <v>41.86046511627907</v>
      </c>
      <c r="X29" s="2">
        <f t="shared" si="12"/>
        <v>0</v>
      </c>
      <c r="Y29" s="18">
        <f t="shared" si="7"/>
        <v>10.924329029669709</v>
      </c>
      <c r="Z29" s="18">
        <f t="shared" si="8"/>
        <v>0</v>
      </c>
      <c r="AA29" s="2">
        <f t="shared" si="13"/>
        <v>457.29749426524364</v>
      </c>
    </row>
    <row r="30" spans="1:27" ht="12.75">
      <c r="A30">
        <v>1964</v>
      </c>
      <c r="C30" s="35">
        <f t="shared" si="9"/>
        <v>56955</v>
      </c>
      <c r="D30" s="35">
        <v>0</v>
      </c>
      <c r="E30" s="35">
        <v>1800</v>
      </c>
      <c r="F30" s="35">
        <v>0</v>
      </c>
      <c r="G30" s="35">
        <f t="shared" si="0"/>
        <v>58755</v>
      </c>
      <c r="H30" s="28">
        <v>56.5</v>
      </c>
      <c r="I30" s="29">
        <v>0</v>
      </c>
      <c r="J30" s="29">
        <f t="shared" si="1"/>
        <v>0</v>
      </c>
      <c r="L30" s="38">
        <f t="shared" si="10"/>
        <v>1800</v>
      </c>
      <c r="R30" s="21">
        <f t="shared" si="11"/>
        <v>1964</v>
      </c>
      <c r="S30" s="4">
        <f t="shared" si="2"/>
        <v>1800</v>
      </c>
      <c r="T30">
        <f t="shared" si="3"/>
        <v>0</v>
      </c>
      <c r="U30">
        <f t="shared" si="4"/>
        <v>43</v>
      </c>
      <c r="V30" s="1" t="str">
        <f t="shared" si="5"/>
        <v>S0</v>
      </c>
      <c r="W30" s="2">
        <f t="shared" si="6"/>
        <v>41.86046511627907</v>
      </c>
      <c r="X30" s="2">
        <f t="shared" si="12"/>
        <v>0</v>
      </c>
      <c r="Y30" s="18">
        <f t="shared" si="7"/>
        <v>11.33286951098001</v>
      </c>
      <c r="Z30" s="18">
        <f t="shared" si="8"/>
        <v>0</v>
      </c>
      <c r="AA30" s="2">
        <f t="shared" si="13"/>
        <v>474.3991888317214</v>
      </c>
    </row>
    <row r="31" spans="1:27" ht="12.75">
      <c r="A31">
        <v>1965</v>
      </c>
      <c r="C31" s="35">
        <f t="shared" si="9"/>
        <v>58755</v>
      </c>
      <c r="D31" s="35">
        <v>0</v>
      </c>
      <c r="E31" s="35">
        <v>2280</v>
      </c>
      <c r="F31" s="35">
        <v>0</v>
      </c>
      <c r="G31" s="35">
        <f t="shared" si="0"/>
        <v>61035</v>
      </c>
      <c r="H31" s="28">
        <v>55.5</v>
      </c>
      <c r="I31" s="29">
        <v>0</v>
      </c>
      <c r="J31" s="29">
        <f t="shared" si="1"/>
        <v>0</v>
      </c>
      <c r="L31" s="38">
        <f t="shared" si="10"/>
        <v>2280</v>
      </c>
      <c r="R31" s="21">
        <f t="shared" si="11"/>
        <v>1965</v>
      </c>
      <c r="S31" s="4">
        <f t="shared" si="2"/>
        <v>2280</v>
      </c>
      <c r="T31">
        <f t="shared" si="3"/>
        <v>0</v>
      </c>
      <c r="U31">
        <f t="shared" si="4"/>
        <v>43</v>
      </c>
      <c r="V31" s="1" t="str">
        <f t="shared" si="5"/>
        <v>S0</v>
      </c>
      <c r="W31" s="2">
        <f t="shared" si="6"/>
        <v>53.02325581395349</v>
      </c>
      <c r="X31" s="2">
        <f t="shared" si="12"/>
        <v>0</v>
      </c>
      <c r="Y31" s="18">
        <f t="shared" si="7"/>
        <v>11.743660024491266</v>
      </c>
      <c r="Z31" s="18">
        <f t="shared" si="8"/>
        <v>0</v>
      </c>
      <c r="AA31" s="2">
        <f t="shared" si="13"/>
        <v>622.6870896706997</v>
      </c>
    </row>
    <row r="32" spans="1:27" ht="12.75">
      <c r="A32">
        <v>1966</v>
      </c>
      <c r="C32" s="35">
        <f t="shared" si="9"/>
        <v>61035</v>
      </c>
      <c r="D32" s="35">
        <v>0</v>
      </c>
      <c r="E32" s="35">
        <v>2088</v>
      </c>
      <c r="F32" s="35">
        <v>0</v>
      </c>
      <c r="G32" s="35">
        <f t="shared" si="0"/>
        <v>63123</v>
      </c>
      <c r="H32" s="28">
        <v>54.5</v>
      </c>
      <c r="I32" s="29">
        <v>0</v>
      </c>
      <c r="J32" s="29">
        <f t="shared" si="1"/>
        <v>0</v>
      </c>
      <c r="L32" s="38">
        <f t="shared" si="10"/>
        <v>2088</v>
      </c>
      <c r="R32" s="21">
        <f t="shared" si="11"/>
        <v>1966</v>
      </c>
      <c r="S32" s="4">
        <f t="shared" si="2"/>
        <v>2088</v>
      </c>
      <c r="T32">
        <f t="shared" si="3"/>
        <v>0</v>
      </c>
      <c r="U32">
        <f t="shared" si="4"/>
        <v>43</v>
      </c>
      <c r="V32" s="1" t="str">
        <f t="shared" si="5"/>
        <v>S0</v>
      </c>
      <c r="W32" s="2">
        <f t="shared" si="6"/>
        <v>48.55813953488372</v>
      </c>
      <c r="X32" s="2">
        <f t="shared" si="12"/>
        <v>0</v>
      </c>
      <c r="Y32" s="18">
        <f t="shared" si="7"/>
        <v>12.156765237143896</v>
      </c>
      <c r="Z32" s="18">
        <f t="shared" si="8"/>
        <v>0</v>
      </c>
      <c r="AA32" s="2">
        <f t="shared" si="13"/>
        <v>590.3099026780571</v>
      </c>
    </row>
    <row r="33" spans="1:27" ht="12.75">
      <c r="A33">
        <v>1967</v>
      </c>
      <c r="C33" s="35">
        <f t="shared" si="9"/>
        <v>63123</v>
      </c>
      <c r="D33" s="35">
        <v>0</v>
      </c>
      <c r="E33" s="35">
        <v>4152</v>
      </c>
      <c r="F33" s="35">
        <v>0</v>
      </c>
      <c r="G33" s="35">
        <f t="shared" si="0"/>
        <v>67275</v>
      </c>
      <c r="H33" s="28">
        <v>53.5</v>
      </c>
      <c r="I33" s="29">
        <v>0</v>
      </c>
      <c r="J33" s="29">
        <f t="shared" si="1"/>
        <v>0</v>
      </c>
      <c r="L33" s="38">
        <f t="shared" si="10"/>
        <v>4152</v>
      </c>
      <c r="R33" s="21">
        <f t="shared" si="11"/>
        <v>1967</v>
      </c>
      <c r="S33" s="4">
        <f t="shared" si="2"/>
        <v>4152</v>
      </c>
      <c r="T33">
        <f t="shared" si="3"/>
        <v>0</v>
      </c>
      <c r="U33">
        <f t="shared" si="4"/>
        <v>43</v>
      </c>
      <c r="V33" s="1" t="str">
        <f t="shared" si="5"/>
        <v>S0</v>
      </c>
      <c r="W33" s="2">
        <f t="shared" si="6"/>
        <v>96.55813953488372</v>
      </c>
      <c r="X33" s="2">
        <f t="shared" si="12"/>
        <v>0</v>
      </c>
      <c r="Y33" s="18">
        <f t="shared" si="7"/>
        <v>12.572252672125401</v>
      </c>
      <c r="Z33" s="18">
        <f t="shared" si="8"/>
        <v>0</v>
      </c>
      <c r="AA33" s="2">
        <f t="shared" si="13"/>
        <v>1213.9533277828991</v>
      </c>
    </row>
    <row r="34" spans="1:27" ht="12.75">
      <c r="A34">
        <v>1968</v>
      </c>
      <c r="C34" s="35">
        <f t="shared" si="9"/>
        <v>67275</v>
      </c>
      <c r="D34" s="35">
        <v>0</v>
      </c>
      <c r="E34" s="35">
        <v>5823</v>
      </c>
      <c r="F34" s="35">
        <v>0</v>
      </c>
      <c r="G34" s="35">
        <f t="shared" si="0"/>
        <v>73098</v>
      </c>
      <c r="H34" s="28">
        <v>52.5</v>
      </c>
      <c r="I34" s="29">
        <v>0</v>
      </c>
      <c r="J34" s="29">
        <f t="shared" si="1"/>
        <v>0</v>
      </c>
      <c r="L34" s="38">
        <f t="shared" si="10"/>
        <v>5823</v>
      </c>
      <c r="R34" s="21">
        <f t="shared" si="11"/>
        <v>1968</v>
      </c>
      <c r="S34" s="4">
        <f t="shared" si="2"/>
        <v>5823</v>
      </c>
      <c r="T34">
        <f t="shared" si="3"/>
        <v>0</v>
      </c>
      <c r="U34">
        <f t="shared" si="4"/>
        <v>43</v>
      </c>
      <c r="V34" s="1" t="str">
        <f t="shared" si="5"/>
        <v>S0</v>
      </c>
      <c r="W34" s="2">
        <f t="shared" si="6"/>
        <v>135.41860465116278</v>
      </c>
      <c r="X34" s="2">
        <f t="shared" si="12"/>
        <v>0</v>
      </c>
      <c r="Y34" s="18">
        <f t="shared" si="7"/>
        <v>12.990192837847172</v>
      </c>
      <c r="Z34" s="18">
        <f t="shared" si="8"/>
        <v>0</v>
      </c>
      <c r="AA34" s="2">
        <f t="shared" si="13"/>
        <v>1759.1137882507924</v>
      </c>
    </row>
    <row r="35" spans="1:27" ht="12.75">
      <c r="A35">
        <v>1969</v>
      </c>
      <c r="C35" s="35">
        <f t="shared" si="9"/>
        <v>73098</v>
      </c>
      <c r="D35" s="35">
        <v>0</v>
      </c>
      <c r="E35" s="35">
        <v>8651</v>
      </c>
      <c r="F35" s="35">
        <v>0</v>
      </c>
      <c r="G35" s="35">
        <f t="shared" si="0"/>
        <v>81749</v>
      </c>
      <c r="H35" s="28">
        <v>51.5</v>
      </c>
      <c r="I35" s="29">
        <v>0</v>
      </c>
      <c r="J35" s="29">
        <f t="shared" si="1"/>
        <v>0</v>
      </c>
      <c r="L35" s="38">
        <f t="shared" si="10"/>
        <v>8651</v>
      </c>
      <c r="R35" s="21">
        <f t="shared" si="11"/>
        <v>1969</v>
      </c>
      <c r="S35" s="4">
        <f t="shared" si="2"/>
        <v>8651</v>
      </c>
      <c r="T35">
        <f t="shared" si="3"/>
        <v>0</v>
      </c>
      <c r="U35">
        <f t="shared" si="4"/>
        <v>43</v>
      </c>
      <c r="V35" s="1" t="str">
        <f t="shared" si="5"/>
        <v>S0</v>
      </c>
      <c r="W35" s="2">
        <f t="shared" si="6"/>
        <v>201.1860465116279</v>
      </c>
      <c r="X35" s="2">
        <f t="shared" si="12"/>
        <v>0</v>
      </c>
      <c r="Y35" s="18">
        <f t="shared" si="7"/>
        <v>13.410659370597829</v>
      </c>
      <c r="Z35" s="18">
        <f t="shared" si="8"/>
        <v>0</v>
      </c>
      <c r="AA35" s="2">
        <f t="shared" si="13"/>
        <v>2698.037539884693</v>
      </c>
    </row>
    <row r="36" spans="1:27" ht="12.75">
      <c r="A36">
        <v>1970</v>
      </c>
      <c r="C36" s="35">
        <f t="shared" si="9"/>
        <v>81749</v>
      </c>
      <c r="D36" s="35">
        <v>0</v>
      </c>
      <c r="E36" s="35">
        <v>8413</v>
      </c>
      <c r="F36" s="35">
        <v>0</v>
      </c>
      <c r="G36" s="35">
        <f t="shared" si="0"/>
        <v>90162</v>
      </c>
      <c r="H36" s="28">
        <v>50.5</v>
      </c>
      <c r="I36" s="29">
        <v>0</v>
      </c>
      <c r="J36" s="29">
        <f t="shared" si="1"/>
        <v>0</v>
      </c>
      <c r="L36" s="38">
        <f t="shared" si="10"/>
        <v>8413</v>
      </c>
      <c r="R36" s="21">
        <f t="shared" si="11"/>
        <v>1970</v>
      </c>
      <c r="S36" s="4">
        <f t="shared" si="2"/>
        <v>8413</v>
      </c>
      <c r="T36">
        <f t="shared" si="3"/>
        <v>0</v>
      </c>
      <c r="U36">
        <f t="shared" si="4"/>
        <v>43</v>
      </c>
      <c r="V36" s="1" t="str">
        <f t="shared" si="5"/>
        <v>S0</v>
      </c>
      <c r="W36" s="2">
        <f t="shared" si="6"/>
        <v>195.65116279069767</v>
      </c>
      <c r="X36" s="2">
        <f t="shared" si="12"/>
        <v>0</v>
      </c>
      <c r="Y36" s="18">
        <f t="shared" si="7"/>
        <v>13.833729191060561</v>
      </c>
      <c r="Z36" s="18">
        <f t="shared" si="8"/>
        <v>0</v>
      </c>
      <c r="AA36" s="2">
        <f t="shared" si="13"/>
        <v>2706.5852019626163</v>
      </c>
    </row>
    <row r="37" spans="1:27" ht="12.75">
      <c r="A37">
        <v>1971</v>
      </c>
      <c r="C37" s="35">
        <f t="shared" si="9"/>
        <v>90162</v>
      </c>
      <c r="D37" s="35">
        <v>0</v>
      </c>
      <c r="E37" s="35">
        <v>6017</v>
      </c>
      <c r="F37" s="35">
        <v>0</v>
      </c>
      <c r="G37" s="35">
        <f t="shared" si="0"/>
        <v>96179</v>
      </c>
      <c r="H37" s="28">
        <v>49.5</v>
      </c>
      <c r="I37" s="29">
        <v>0</v>
      </c>
      <c r="J37" s="29">
        <f t="shared" si="1"/>
        <v>0</v>
      </c>
      <c r="L37" s="38">
        <f t="shared" si="10"/>
        <v>6017</v>
      </c>
      <c r="R37" s="21">
        <f t="shared" si="11"/>
        <v>1971</v>
      </c>
      <c r="S37" s="4">
        <f t="shared" si="2"/>
        <v>6017</v>
      </c>
      <c r="T37">
        <f t="shared" si="3"/>
        <v>0</v>
      </c>
      <c r="U37">
        <f t="shared" si="4"/>
        <v>43</v>
      </c>
      <c r="V37" s="1" t="str">
        <f t="shared" si="5"/>
        <v>S0</v>
      </c>
      <c r="W37" s="2">
        <f t="shared" si="6"/>
        <v>139.93023255813952</v>
      </c>
      <c r="X37" s="2">
        <f t="shared" si="12"/>
        <v>0</v>
      </c>
      <c r="Y37" s="18">
        <f t="shared" si="7"/>
        <v>14.259482675115699</v>
      </c>
      <c r="Z37" s="18">
        <f t="shared" si="8"/>
        <v>0</v>
      </c>
      <c r="AA37" s="2">
        <f t="shared" si="13"/>
        <v>1995.3327268877013</v>
      </c>
    </row>
    <row r="38" spans="1:27" ht="12.75">
      <c r="A38">
        <v>1972</v>
      </c>
      <c r="C38" s="35">
        <f t="shared" si="9"/>
        <v>96179</v>
      </c>
      <c r="D38" s="35">
        <v>0</v>
      </c>
      <c r="E38" s="35">
        <v>6795</v>
      </c>
      <c r="F38" s="35">
        <v>0</v>
      </c>
      <c r="G38" s="35">
        <f t="shared" si="0"/>
        <v>102974</v>
      </c>
      <c r="H38" s="28">
        <v>48.5</v>
      </c>
      <c r="I38" s="29">
        <v>0</v>
      </c>
      <c r="J38" s="29">
        <f t="shared" si="1"/>
        <v>0</v>
      </c>
      <c r="L38" s="38">
        <f t="shared" si="10"/>
        <v>6795</v>
      </c>
      <c r="R38" s="21">
        <f t="shared" si="11"/>
        <v>1972</v>
      </c>
      <c r="S38" s="4">
        <f aca="true" t="shared" si="14" ref="S38:S72">E38</f>
        <v>6795</v>
      </c>
      <c r="T38">
        <f aca="true" t="shared" si="15" ref="T38:T68">IF(D38&gt;0,IF(J38&gt;0,D38,0),0)</f>
        <v>0</v>
      </c>
      <c r="U38">
        <f aca="true" t="shared" si="16" ref="U38:U69">$V$94</f>
        <v>43</v>
      </c>
      <c r="V38" s="1" t="str">
        <f aca="true" t="shared" si="17" ref="V38:V69">$V$93</f>
        <v>S0</v>
      </c>
      <c r="W38" s="2">
        <f aca="true" t="shared" si="18" ref="W38:W68">S38/U38</f>
        <v>158.02325581395348</v>
      </c>
      <c r="X38" s="2">
        <f t="shared" si="12"/>
        <v>0</v>
      </c>
      <c r="Y38" s="18">
        <f aca="true" t="shared" si="19" ref="Y38:Y66">Prob_life(V38,H38,U38)</f>
        <v>14.688003839563056</v>
      </c>
      <c r="Z38" s="18">
        <f aca="true" t="shared" si="20" ref="Z38:Z68">IF(J38&gt;0,Prob_life(V38,J38+0.5,U38),0)</f>
        <v>0</v>
      </c>
      <c r="AA38" s="2">
        <f t="shared" si="13"/>
        <v>2321.0461881356036</v>
      </c>
    </row>
    <row r="39" spans="1:27" ht="12.75">
      <c r="A39">
        <v>1973</v>
      </c>
      <c r="C39" s="35">
        <f t="shared" si="9"/>
        <v>102974</v>
      </c>
      <c r="D39" s="35">
        <v>0</v>
      </c>
      <c r="E39" s="35">
        <v>8877</v>
      </c>
      <c r="F39" s="35">
        <v>0</v>
      </c>
      <c r="G39" s="35">
        <f t="shared" si="0"/>
        <v>111851</v>
      </c>
      <c r="H39" s="28">
        <v>47.5</v>
      </c>
      <c r="I39" s="29">
        <v>0</v>
      </c>
      <c r="J39" s="29">
        <f t="shared" si="1"/>
        <v>0</v>
      </c>
      <c r="L39" s="38">
        <f t="shared" si="10"/>
        <v>8877</v>
      </c>
      <c r="R39" s="21">
        <f t="shared" si="11"/>
        <v>1973</v>
      </c>
      <c r="S39" s="4">
        <f t="shared" si="14"/>
        <v>8877</v>
      </c>
      <c r="T39">
        <f t="shared" si="15"/>
        <v>0</v>
      </c>
      <c r="U39">
        <f t="shared" si="16"/>
        <v>43</v>
      </c>
      <c r="V39" s="1" t="str">
        <f t="shared" si="17"/>
        <v>S0</v>
      </c>
      <c r="W39" s="2">
        <f t="shared" si="18"/>
        <v>206.4418604651163</v>
      </c>
      <c r="X39" s="2">
        <f t="shared" si="12"/>
        <v>0</v>
      </c>
      <c r="Y39" s="18">
        <f t="shared" si="19"/>
        <v>15.119380543594751</v>
      </c>
      <c r="Z39" s="18">
        <f t="shared" si="20"/>
        <v>0</v>
      </c>
      <c r="AA39" s="2">
        <f t="shared" si="13"/>
        <v>3121.273048499782</v>
      </c>
    </row>
    <row r="40" spans="1:27" ht="12.75">
      <c r="A40">
        <v>1974</v>
      </c>
      <c r="C40" s="35">
        <f t="shared" si="9"/>
        <v>111851</v>
      </c>
      <c r="D40" s="35">
        <v>0</v>
      </c>
      <c r="E40" s="35">
        <v>5641</v>
      </c>
      <c r="F40" s="35">
        <v>0</v>
      </c>
      <c r="G40" s="35">
        <f t="shared" si="0"/>
        <v>117492</v>
      </c>
      <c r="H40" s="28">
        <v>46.5</v>
      </c>
      <c r="I40" s="29">
        <v>0</v>
      </c>
      <c r="J40" s="29">
        <f t="shared" si="1"/>
        <v>0</v>
      </c>
      <c r="L40" s="38">
        <f t="shared" si="10"/>
        <v>5641</v>
      </c>
      <c r="R40" s="21">
        <f t="shared" si="11"/>
        <v>1974</v>
      </c>
      <c r="S40" s="4">
        <f t="shared" si="14"/>
        <v>5641</v>
      </c>
      <c r="T40">
        <f t="shared" si="15"/>
        <v>0</v>
      </c>
      <c r="U40">
        <f t="shared" si="16"/>
        <v>43</v>
      </c>
      <c r="V40" s="1" t="str">
        <f t="shared" si="17"/>
        <v>S0</v>
      </c>
      <c r="W40" s="2">
        <f t="shared" si="18"/>
        <v>131.1860465116279</v>
      </c>
      <c r="X40" s="2">
        <f t="shared" si="12"/>
        <v>0</v>
      </c>
      <c r="Y40" s="18">
        <f t="shared" si="19"/>
        <v>15.553704707040987</v>
      </c>
      <c r="Z40" s="18">
        <f t="shared" si="20"/>
        <v>0</v>
      </c>
      <c r="AA40" s="2">
        <f t="shared" si="13"/>
        <v>2040.4290291260047</v>
      </c>
    </row>
    <row r="41" spans="1:27" ht="12.75">
      <c r="A41">
        <v>1975</v>
      </c>
      <c r="C41" s="35">
        <f t="shared" si="9"/>
        <v>117492</v>
      </c>
      <c r="D41" s="35">
        <v>0</v>
      </c>
      <c r="E41" s="35">
        <v>4065</v>
      </c>
      <c r="F41" s="35">
        <v>0</v>
      </c>
      <c r="G41" s="35">
        <f t="shared" si="0"/>
        <v>121557</v>
      </c>
      <c r="H41" s="28">
        <v>45.5</v>
      </c>
      <c r="I41" s="29">
        <v>0</v>
      </c>
      <c r="J41" s="29">
        <f t="shared" si="1"/>
        <v>0</v>
      </c>
      <c r="L41" s="38">
        <f t="shared" si="10"/>
        <v>4065</v>
      </c>
      <c r="R41" s="21">
        <f t="shared" si="11"/>
        <v>1975</v>
      </c>
      <c r="S41" s="4">
        <f t="shared" si="14"/>
        <v>4065</v>
      </c>
      <c r="T41">
        <f t="shared" si="15"/>
        <v>0</v>
      </c>
      <c r="U41">
        <f t="shared" si="16"/>
        <v>43</v>
      </c>
      <c r="V41" s="1" t="str">
        <f t="shared" si="17"/>
        <v>S0</v>
      </c>
      <c r="W41" s="2">
        <f t="shared" si="18"/>
        <v>94.53488372093024</v>
      </c>
      <c r="X41" s="2">
        <f t="shared" si="12"/>
        <v>0</v>
      </c>
      <c r="Y41" s="18">
        <f t="shared" si="19"/>
        <v>15.991072546603405</v>
      </c>
      <c r="Z41" s="18">
        <f t="shared" si="20"/>
        <v>0</v>
      </c>
      <c r="AA41" s="2">
        <f t="shared" si="13"/>
        <v>1511.7141837661127</v>
      </c>
    </row>
    <row r="42" spans="1:27" ht="12.75">
      <c r="A42">
        <v>1976</v>
      </c>
      <c r="C42" s="35">
        <f t="shared" si="9"/>
        <v>121557</v>
      </c>
      <c r="D42" s="35">
        <v>0</v>
      </c>
      <c r="E42" s="35">
        <v>2843</v>
      </c>
      <c r="F42" s="35">
        <v>0</v>
      </c>
      <c r="G42" s="35">
        <f t="shared" si="0"/>
        <v>124400</v>
      </c>
      <c r="H42" s="28">
        <v>44.5</v>
      </c>
      <c r="I42" s="29">
        <v>0</v>
      </c>
      <c r="J42" s="29">
        <f t="shared" si="1"/>
        <v>0</v>
      </c>
      <c r="L42" s="38">
        <f t="shared" si="10"/>
        <v>2843</v>
      </c>
      <c r="R42" s="21">
        <f t="shared" si="11"/>
        <v>1976</v>
      </c>
      <c r="S42" s="4">
        <f t="shared" si="14"/>
        <v>2843</v>
      </c>
      <c r="T42">
        <f t="shared" si="15"/>
        <v>0</v>
      </c>
      <c r="U42">
        <f t="shared" si="16"/>
        <v>43</v>
      </c>
      <c r="V42" s="1" t="str">
        <f t="shared" si="17"/>
        <v>S0</v>
      </c>
      <c r="W42" s="2">
        <f t="shared" si="18"/>
        <v>66.11627906976744</v>
      </c>
      <c r="X42" s="2">
        <f t="shared" si="12"/>
        <v>0</v>
      </c>
      <c r="Y42" s="18">
        <f t="shared" si="19"/>
        <v>16.431584831488188</v>
      </c>
      <c r="Z42" s="18">
        <f t="shared" si="20"/>
        <v>0</v>
      </c>
      <c r="AA42" s="2">
        <f t="shared" si="13"/>
        <v>1086.3952482772306</v>
      </c>
    </row>
    <row r="43" spans="1:27" ht="12.75">
      <c r="A43">
        <v>1977</v>
      </c>
      <c r="C43" s="35">
        <f t="shared" si="9"/>
        <v>124400</v>
      </c>
      <c r="D43" s="35">
        <v>0</v>
      </c>
      <c r="E43" s="35">
        <v>2209</v>
      </c>
      <c r="F43" s="35">
        <v>0</v>
      </c>
      <c r="G43" s="35">
        <f t="shared" si="0"/>
        <v>126609</v>
      </c>
      <c r="H43" s="28">
        <v>43.5</v>
      </c>
      <c r="I43" s="29">
        <v>0</v>
      </c>
      <c r="J43" s="29">
        <f t="shared" si="1"/>
        <v>0</v>
      </c>
      <c r="L43" s="38">
        <f t="shared" si="10"/>
        <v>2209</v>
      </c>
      <c r="R43" s="21">
        <f t="shared" si="11"/>
        <v>1977</v>
      </c>
      <c r="S43" s="4">
        <f t="shared" si="14"/>
        <v>2209</v>
      </c>
      <c r="T43">
        <f t="shared" si="15"/>
        <v>0</v>
      </c>
      <c r="U43">
        <f t="shared" si="16"/>
        <v>43</v>
      </c>
      <c r="V43" s="1" t="str">
        <f t="shared" si="17"/>
        <v>S0</v>
      </c>
      <c r="W43" s="2">
        <f t="shared" si="18"/>
        <v>51.372093023255815</v>
      </c>
      <c r="X43" s="2">
        <f t="shared" si="12"/>
        <v>0</v>
      </c>
      <c r="Y43" s="18">
        <f t="shared" si="19"/>
        <v>16.875347160063814</v>
      </c>
      <c r="Z43" s="18">
        <f t="shared" si="20"/>
        <v>0</v>
      </c>
      <c r="AA43" s="2">
        <f t="shared" si="13"/>
        <v>866.921904106534</v>
      </c>
    </row>
    <row r="44" spans="1:27" ht="12.75">
      <c r="A44">
        <v>1978</v>
      </c>
      <c r="C44" s="35">
        <f t="shared" si="9"/>
        <v>126609</v>
      </c>
      <c r="D44" s="35">
        <v>0</v>
      </c>
      <c r="E44" s="35">
        <v>1604</v>
      </c>
      <c r="F44" s="35">
        <v>0</v>
      </c>
      <c r="G44" s="35">
        <f t="shared" si="0"/>
        <v>128213</v>
      </c>
      <c r="H44" s="28">
        <v>42.5</v>
      </c>
      <c r="I44" s="29">
        <v>0</v>
      </c>
      <c r="J44" s="29">
        <f t="shared" si="1"/>
        <v>0</v>
      </c>
      <c r="L44" s="38">
        <f t="shared" si="10"/>
        <v>1604</v>
      </c>
      <c r="R44" s="21">
        <f t="shared" si="11"/>
        <v>1978</v>
      </c>
      <c r="S44" s="4">
        <f t="shared" si="14"/>
        <v>1604</v>
      </c>
      <c r="T44">
        <f t="shared" si="15"/>
        <v>0</v>
      </c>
      <c r="U44">
        <f t="shared" si="16"/>
        <v>43</v>
      </c>
      <c r="V44" s="1" t="str">
        <f t="shared" si="17"/>
        <v>S0</v>
      </c>
      <c r="W44" s="2">
        <f t="shared" si="18"/>
        <v>37.30232558139535</v>
      </c>
      <c r="X44" s="2">
        <f t="shared" si="12"/>
        <v>0</v>
      </c>
      <c r="Y44" s="18">
        <f t="shared" si="19"/>
        <v>17.32247025939487</v>
      </c>
      <c r="Z44" s="18">
        <f t="shared" si="20"/>
        <v>0</v>
      </c>
      <c r="AA44" s="2">
        <f t="shared" si="13"/>
        <v>646.1684254899853</v>
      </c>
    </row>
    <row r="45" spans="1:27" ht="12.75">
      <c r="A45">
        <v>1979</v>
      </c>
      <c r="C45" s="35">
        <f t="shared" si="9"/>
        <v>128213</v>
      </c>
      <c r="D45" s="35">
        <v>0</v>
      </c>
      <c r="E45" s="35">
        <v>4463</v>
      </c>
      <c r="F45" s="35">
        <v>0</v>
      </c>
      <c r="G45" s="35">
        <f t="shared" si="0"/>
        <v>132676</v>
      </c>
      <c r="H45" s="28">
        <v>41.5</v>
      </c>
      <c r="I45" s="29">
        <v>0</v>
      </c>
      <c r="J45" s="29">
        <f t="shared" si="1"/>
        <v>0</v>
      </c>
      <c r="L45" s="38">
        <f t="shared" si="10"/>
        <v>4463</v>
      </c>
      <c r="R45" s="21">
        <f t="shared" si="11"/>
        <v>1979</v>
      </c>
      <c r="S45" s="4">
        <f t="shared" si="14"/>
        <v>4463</v>
      </c>
      <c r="T45">
        <f t="shared" si="15"/>
        <v>0</v>
      </c>
      <c r="U45">
        <f t="shared" si="16"/>
        <v>43</v>
      </c>
      <c r="V45" s="1" t="str">
        <f t="shared" si="17"/>
        <v>S0</v>
      </c>
      <c r="W45" s="2">
        <f t="shared" si="18"/>
        <v>103.79069767441861</v>
      </c>
      <c r="X45" s="2">
        <f t="shared" si="12"/>
        <v>0</v>
      </c>
      <c r="Y45" s="18">
        <f t="shared" si="19"/>
        <v>17.773070309756616</v>
      </c>
      <c r="Z45" s="18">
        <f t="shared" si="20"/>
        <v>0</v>
      </c>
      <c r="AA45" s="2">
        <f t="shared" si="13"/>
        <v>1844.6793672661345</v>
      </c>
    </row>
    <row r="46" spans="1:27" ht="12.75">
      <c r="A46">
        <v>1980</v>
      </c>
      <c r="C46" s="35">
        <f t="shared" si="9"/>
        <v>132676</v>
      </c>
      <c r="D46" s="35">
        <v>0</v>
      </c>
      <c r="E46" s="35">
        <v>5200</v>
      </c>
      <c r="F46" s="35">
        <v>0</v>
      </c>
      <c r="G46" s="35">
        <f t="shared" si="0"/>
        <v>137876</v>
      </c>
      <c r="H46" s="28">
        <v>40.5</v>
      </c>
      <c r="I46" s="29">
        <v>0</v>
      </c>
      <c r="J46" s="29">
        <f t="shared" si="1"/>
        <v>0</v>
      </c>
      <c r="L46" s="38">
        <f t="shared" si="10"/>
        <v>5200</v>
      </c>
      <c r="R46" s="21">
        <f t="shared" si="11"/>
        <v>1980</v>
      </c>
      <c r="S46" s="4">
        <f t="shared" si="14"/>
        <v>5200</v>
      </c>
      <c r="T46">
        <f t="shared" si="15"/>
        <v>0</v>
      </c>
      <c r="U46">
        <f t="shared" si="16"/>
        <v>43</v>
      </c>
      <c r="V46" s="1" t="str">
        <f t="shared" si="17"/>
        <v>S0</v>
      </c>
      <c r="W46" s="2">
        <f t="shared" si="18"/>
        <v>120.93023255813954</v>
      </c>
      <c r="X46" s="2">
        <f t="shared" si="12"/>
        <v>0</v>
      </c>
      <c r="Y46" s="18">
        <f t="shared" si="19"/>
        <v>18.22726929651193</v>
      </c>
      <c r="Z46" s="18">
        <f t="shared" si="20"/>
        <v>0</v>
      </c>
      <c r="AA46" s="2">
        <f t="shared" si="13"/>
        <v>2204.2279149270244</v>
      </c>
    </row>
    <row r="47" spans="1:27" ht="12.75">
      <c r="A47">
        <v>1981</v>
      </c>
      <c r="C47" s="35">
        <f t="shared" si="9"/>
        <v>137876</v>
      </c>
      <c r="D47" s="35">
        <v>0</v>
      </c>
      <c r="E47" s="35">
        <v>12046</v>
      </c>
      <c r="F47" s="35">
        <v>0</v>
      </c>
      <c r="G47" s="35">
        <f t="shared" si="0"/>
        <v>149922</v>
      </c>
      <c r="H47" s="28">
        <v>39.5</v>
      </c>
      <c r="I47" s="29">
        <v>0</v>
      </c>
      <c r="J47" s="29">
        <f t="shared" si="1"/>
        <v>0</v>
      </c>
      <c r="L47" s="38">
        <f t="shared" si="10"/>
        <v>12046</v>
      </c>
      <c r="R47" s="21">
        <f t="shared" si="11"/>
        <v>1981</v>
      </c>
      <c r="S47" s="4">
        <f t="shared" si="14"/>
        <v>12046</v>
      </c>
      <c r="T47">
        <f t="shared" si="15"/>
        <v>0</v>
      </c>
      <c r="U47">
        <f t="shared" si="16"/>
        <v>43</v>
      </c>
      <c r="V47" s="1" t="str">
        <f t="shared" si="17"/>
        <v>S0</v>
      </c>
      <c r="W47" s="2">
        <f t="shared" si="18"/>
        <v>280.13953488372096</v>
      </c>
      <c r="X47" s="2">
        <f t="shared" si="12"/>
        <v>0</v>
      </c>
      <c r="Y47" s="18">
        <f t="shared" si="19"/>
        <v>18.685195392049923</v>
      </c>
      <c r="Z47" s="18">
        <f t="shared" si="20"/>
        <v>0</v>
      </c>
      <c r="AA47" s="2">
        <f t="shared" si="13"/>
        <v>5234.461946340311</v>
      </c>
    </row>
    <row r="48" spans="1:27" ht="12.75">
      <c r="A48">
        <v>1982</v>
      </c>
      <c r="C48" s="35">
        <f t="shared" si="9"/>
        <v>149922</v>
      </c>
      <c r="D48" s="35">
        <v>0</v>
      </c>
      <c r="E48" s="35">
        <v>66540</v>
      </c>
      <c r="F48" s="35">
        <v>716</v>
      </c>
      <c r="G48" s="35">
        <f t="shared" si="0"/>
        <v>215746</v>
      </c>
      <c r="H48" s="28">
        <v>38.5</v>
      </c>
      <c r="I48" s="29">
        <v>0</v>
      </c>
      <c r="J48" s="29">
        <f t="shared" si="1"/>
        <v>0</v>
      </c>
      <c r="L48" s="38">
        <f t="shared" si="10"/>
        <v>66540</v>
      </c>
      <c r="R48" s="21">
        <f t="shared" si="11"/>
        <v>1982</v>
      </c>
      <c r="S48" s="4">
        <f t="shared" si="14"/>
        <v>66540</v>
      </c>
      <c r="T48">
        <f t="shared" si="15"/>
        <v>0</v>
      </c>
      <c r="U48">
        <f t="shared" si="16"/>
        <v>43</v>
      </c>
      <c r="V48" s="1" t="str">
        <f t="shared" si="17"/>
        <v>S0</v>
      </c>
      <c r="W48" s="2">
        <f t="shared" si="18"/>
        <v>1547.4418604651162</v>
      </c>
      <c r="X48" s="2">
        <f t="shared" si="12"/>
        <v>0</v>
      </c>
      <c r="Y48" s="18">
        <f t="shared" si="19"/>
        <v>19.146983370837997</v>
      </c>
      <c r="Z48" s="18">
        <f t="shared" si="20"/>
        <v>0</v>
      </c>
      <c r="AA48" s="2">
        <f t="shared" si="13"/>
        <v>29628.843569664194</v>
      </c>
    </row>
    <row r="49" spans="1:27" ht="12.75">
      <c r="A49">
        <v>1983</v>
      </c>
      <c r="C49" s="35">
        <f t="shared" si="9"/>
        <v>215746</v>
      </c>
      <c r="D49" s="35">
        <v>0</v>
      </c>
      <c r="E49" s="35">
        <v>99610</v>
      </c>
      <c r="F49" s="35">
        <v>0</v>
      </c>
      <c r="G49" s="35">
        <f t="shared" si="0"/>
        <v>315356</v>
      </c>
      <c r="H49" s="28">
        <v>37.5</v>
      </c>
      <c r="I49" s="29">
        <v>0</v>
      </c>
      <c r="J49" s="29">
        <f t="shared" si="1"/>
        <v>0</v>
      </c>
      <c r="L49" s="38">
        <f t="shared" si="10"/>
        <v>99610</v>
      </c>
      <c r="R49" s="21">
        <f t="shared" si="11"/>
        <v>1983</v>
      </c>
      <c r="S49" s="4">
        <f t="shared" si="14"/>
        <v>99610</v>
      </c>
      <c r="T49">
        <f t="shared" si="15"/>
        <v>0</v>
      </c>
      <c r="U49">
        <f t="shared" si="16"/>
        <v>43</v>
      </c>
      <c r="V49" s="1" t="str">
        <f t="shared" si="17"/>
        <v>S0</v>
      </c>
      <c r="W49" s="2">
        <f t="shared" si="18"/>
        <v>2316.5116279069766</v>
      </c>
      <c r="X49" s="2">
        <f t="shared" si="12"/>
        <v>0</v>
      </c>
      <c r="Y49" s="18">
        <f t="shared" si="19"/>
        <v>19.61277506104798</v>
      </c>
      <c r="Z49" s="18">
        <f t="shared" si="20"/>
        <v>0</v>
      </c>
      <c r="AA49" s="2">
        <f t="shared" si="13"/>
        <v>45433.22148444161</v>
      </c>
    </row>
    <row r="50" spans="1:27" ht="12.75">
      <c r="A50">
        <v>1984</v>
      </c>
      <c r="C50" s="35">
        <f t="shared" si="9"/>
        <v>315356</v>
      </c>
      <c r="D50" s="35">
        <v>0</v>
      </c>
      <c r="E50" s="35">
        <v>94296</v>
      </c>
      <c r="F50" s="35">
        <v>0</v>
      </c>
      <c r="G50" s="35">
        <f t="shared" si="0"/>
        <v>409652</v>
      </c>
      <c r="H50" s="28">
        <v>36.5</v>
      </c>
      <c r="I50" s="29">
        <v>0</v>
      </c>
      <c r="J50" s="29">
        <f t="shared" si="1"/>
        <v>0</v>
      </c>
      <c r="L50" s="38">
        <f t="shared" si="10"/>
        <v>94296</v>
      </c>
      <c r="R50" s="21">
        <f t="shared" si="11"/>
        <v>1984</v>
      </c>
      <c r="S50" s="4">
        <f t="shared" si="14"/>
        <v>94296</v>
      </c>
      <c r="T50">
        <f t="shared" si="15"/>
        <v>0</v>
      </c>
      <c r="U50">
        <f t="shared" si="16"/>
        <v>43</v>
      </c>
      <c r="V50" s="1" t="str">
        <f t="shared" si="17"/>
        <v>S0</v>
      </c>
      <c r="W50" s="2">
        <f t="shared" si="18"/>
        <v>2192.9302325581393</v>
      </c>
      <c r="X50" s="2">
        <f t="shared" si="12"/>
        <v>0</v>
      </c>
      <c r="Y50" s="18">
        <f t="shared" si="19"/>
        <v>20.082719836682262</v>
      </c>
      <c r="Z50" s="18">
        <f t="shared" si="20"/>
        <v>0</v>
      </c>
      <c r="AA50" s="2">
        <f t="shared" si="13"/>
        <v>44040.003481855594</v>
      </c>
    </row>
    <row r="51" spans="1:27" ht="12.75">
      <c r="A51">
        <v>1985</v>
      </c>
      <c r="C51" s="35">
        <f t="shared" si="9"/>
        <v>409652</v>
      </c>
      <c r="D51" s="35">
        <v>0</v>
      </c>
      <c r="E51" s="35">
        <v>67324</v>
      </c>
      <c r="F51" s="35">
        <v>0</v>
      </c>
      <c r="G51" s="35">
        <f t="shared" si="0"/>
        <v>476976</v>
      </c>
      <c r="H51" s="28">
        <v>35.5</v>
      </c>
      <c r="I51" s="29">
        <v>0</v>
      </c>
      <c r="J51" s="29">
        <f t="shared" si="1"/>
        <v>0</v>
      </c>
      <c r="L51" s="38">
        <f t="shared" si="10"/>
        <v>67324</v>
      </c>
      <c r="R51" s="21">
        <f t="shared" si="11"/>
        <v>1985</v>
      </c>
      <c r="S51" s="4">
        <f t="shared" si="14"/>
        <v>67324</v>
      </c>
      <c r="T51">
        <f t="shared" si="15"/>
        <v>0</v>
      </c>
      <c r="U51">
        <f t="shared" si="16"/>
        <v>43</v>
      </c>
      <c r="V51" s="1" t="str">
        <f t="shared" si="17"/>
        <v>S0</v>
      </c>
      <c r="W51" s="2">
        <f t="shared" si="18"/>
        <v>1565.6744186046512</v>
      </c>
      <c r="X51" s="2">
        <f t="shared" si="12"/>
        <v>0</v>
      </c>
      <c r="Y51" s="18">
        <f t="shared" si="19"/>
        <v>20.556975154662172</v>
      </c>
      <c r="Z51" s="18">
        <f t="shared" si="20"/>
        <v>0</v>
      </c>
      <c r="AA51" s="2">
        <f t="shared" si="13"/>
        <v>32185.530123545956</v>
      </c>
    </row>
    <row r="52" spans="1:27" ht="12.75">
      <c r="A52">
        <v>1986</v>
      </c>
      <c r="C52" s="35">
        <f aca="true" t="shared" si="21" ref="C52:C68">G51</f>
        <v>476976</v>
      </c>
      <c r="D52" s="35">
        <v>0</v>
      </c>
      <c r="E52" s="35">
        <f>70474-40337+39551</f>
        <v>69688</v>
      </c>
      <c r="F52" s="35">
        <f>1518+224</f>
        <v>1742</v>
      </c>
      <c r="G52" s="35">
        <f aca="true" t="shared" si="22" ref="G52:G68">C52+D52+E52-F52</f>
        <v>544922</v>
      </c>
      <c r="H52" s="28">
        <v>34.5</v>
      </c>
      <c r="I52" s="29">
        <v>0</v>
      </c>
      <c r="J52" s="29">
        <f>IF(I52=0,0,ROUND((I52/D52/$G$94)+H52,1))</f>
        <v>0</v>
      </c>
      <c r="L52" s="38">
        <f t="shared" si="10"/>
        <v>69688</v>
      </c>
      <c r="R52" s="21">
        <f t="shared" si="11"/>
        <v>1986</v>
      </c>
      <c r="S52" s="4">
        <f t="shared" si="14"/>
        <v>69688</v>
      </c>
      <c r="T52">
        <f t="shared" si="15"/>
        <v>0</v>
      </c>
      <c r="U52">
        <f t="shared" si="16"/>
        <v>43</v>
      </c>
      <c r="V52" s="1" t="str">
        <f t="shared" si="17"/>
        <v>S0</v>
      </c>
      <c r="W52" s="2">
        <f t="shared" si="18"/>
        <v>1620.6511627906978</v>
      </c>
      <c r="X52" s="2">
        <f t="shared" si="12"/>
        <v>0</v>
      </c>
      <c r="Y52" s="18">
        <f t="shared" si="19"/>
        <v>21.035707141963506</v>
      </c>
      <c r="Z52" s="18">
        <f t="shared" si="20"/>
        <v>0</v>
      </c>
      <c r="AA52" s="2">
        <f t="shared" si="13"/>
        <v>34091.54323974774</v>
      </c>
    </row>
    <row r="53" spans="1:27" ht="12.75">
      <c r="A53">
        <v>1987</v>
      </c>
      <c r="C53" s="35">
        <f t="shared" si="21"/>
        <v>544922</v>
      </c>
      <c r="D53" s="35">
        <v>0</v>
      </c>
      <c r="E53" s="35">
        <f>58499-39551+41271</f>
        <v>60219</v>
      </c>
      <c r="F53" s="35">
        <f>265-224</f>
        <v>41</v>
      </c>
      <c r="G53" s="35">
        <f t="shared" si="22"/>
        <v>605100</v>
      </c>
      <c r="H53" s="28">
        <v>33.5</v>
      </c>
      <c r="I53" s="29">
        <v>0</v>
      </c>
      <c r="J53" s="29">
        <f aca="true" t="shared" si="23" ref="J53:J68">IF(I53=0,0,ROUND((I53/D53/$G$94)+H53,1))</f>
        <v>0</v>
      </c>
      <c r="L53" s="38">
        <f t="shared" si="10"/>
        <v>60219</v>
      </c>
      <c r="R53" s="21">
        <f t="shared" si="11"/>
        <v>1987</v>
      </c>
      <c r="S53" s="4">
        <f t="shared" si="14"/>
        <v>60219</v>
      </c>
      <c r="T53">
        <f t="shared" si="15"/>
        <v>0</v>
      </c>
      <c r="U53">
        <f t="shared" si="16"/>
        <v>43</v>
      </c>
      <c r="V53" s="1" t="str">
        <f t="shared" si="17"/>
        <v>S0</v>
      </c>
      <c r="W53" s="2">
        <f t="shared" si="18"/>
        <v>1400.4418604651162</v>
      </c>
      <c r="X53" s="2">
        <f t="shared" si="12"/>
        <v>0</v>
      </c>
      <c r="Y53" s="18">
        <f t="shared" si="19"/>
        <v>21.519091238610685</v>
      </c>
      <c r="Z53" s="18">
        <f t="shared" si="20"/>
        <v>0</v>
      </c>
      <c r="AA53" s="2">
        <f t="shared" si="13"/>
        <v>30136.23616971853</v>
      </c>
    </row>
    <row r="54" spans="1:27" ht="12.75">
      <c r="A54">
        <v>1988</v>
      </c>
      <c r="C54" s="35">
        <f t="shared" si="21"/>
        <v>605100</v>
      </c>
      <c r="D54" s="35">
        <v>0</v>
      </c>
      <c r="E54" s="35">
        <f>56821-41271+55850</f>
        <v>71400</v>
      </c>
      <c r="F54" s="35">
        <f>79+939</f>
        <v>1018</v>
      </c>
      <c r="G54" s="35">
        <f t="shared" si="22"/>
        <v>675482</v>
      </c>
      <c r="H54" s="28">
        <v>32.5</v>
      </c>
      <c r="I54" s="9">
        <v>0</v>
      </c>
      <c r="J54" s="29">
        <f t="shared" si="23"/>
        <v>0</v>
      </c>
      <c r="L54" s="38">
        <f t="shared" si="10"/>
        <v>71400</v>
      </c>
      <c r="R54" s="21">
        <f t="shared" si="11"/>
        <v>1988</v>
      </c>
      <c r="S54" s="4">
        <f t="shared" si="14"/>
        <v>71400</v>
      </c>
      <c r="T54">
        <f t="shared" si="15"/>
        <v>0</v>
      </c>
      <c r="U54">
        <f t="shared" si="16"/>
        <v>43</v>
      </c>
      <c r="V54" s="1" t="str">
        <f t="shared" si="17"/>
        <v>S0</v>
      </c>
      <c r="W54" s="2">
        <f t="shared" si="18"/>
        <v>1660.4651162790697</v>
      </c>
      <c r="X54" s="2">
        <f t="shared" si="12"/>
        <v>0</v>
      </c>
      <c r="Y54" s="18">
        <f t="shared" si="19"/>
        <v>22.007312903184722</v>
      </c>
      <c r="Z54" s="18">
        <f t="shared" si="20"/>
        <v>0</v>
      </c>
      <c r="AA54" s="2">
        <f t="shared" si="13"/>
        <v>36542.37537877649</v>
      </c>
    </row>
    <row r="55" spans="1:27" ht="12.75">
      <c r="A55">
        <v>1989</v>
      </c>
      <c r="C55" s="35">
        <f t="shared" si="21"/>
        <v>675482</v>
      </c>
      <c r="D55" s="35">
        <v>296457</v>
      </c>
      <c r="E55" s="35">
        <f>75862-55850+69250</f>
        <v>89262</v>
      </c>
      <c r="F55" s="35">
        <f>1835-939+970</f>
        <v>1866</v>
      </c>
      <c r="G55" s="35">
        <f t="shared" si="22"/>
        <v>1059335</v>
      </c>
      <c r="H55" s="28">
        <v>31.5</v>
      </c>
      <c r="I55" s="29">
        <v>149111</v>
      </c>
      <c r="J55" s="29">
        <f t="shared" si="23"/>
        <v>48.3</v>
      </c>
      <c r="L55" s="38">
        <f t="shared" si="10"/>
        <v>385719</v>
      </c>
      <c r="R55" s="21">
        <f t="shared" si="11"/>
        <v>1989</v>
      </c>
      <c r="S55" s="4">
        <f t="shared" si="14"/>
        <v>89262</v>
      </c>
      <c r="T55">
        <f t="shared" si="15"/>
        <v>296457</v>
      </c>
      <c r="U55">
        <f t="shared" si="16"/>
        <v>43</v>
      </c>
      <c r="V55" s="1" t="str">
        <f t="shared" si="17"/>
        <v>S0</v>
      </c>
      <c r="W55" s="2">
        <f t="shared" si="18"/>
        <v>2075.860465116279</v>
      </c>
      <c r="X55" s="2">
        <f t="shared" si="12"/>
        <v>6894.3488372093025</v>
      </c>
      <c r="Y55" s="18">
        <f t="shared" si="19"/>
        <v>22.500568388500213</v>
      </c>
      <c r="Z55" s="18">
        <f t="shared" si="20"/>
        <v>0</v>
      </c>
      <c r="AA55" s="2">
        <f t="shared" si="13"/>
        <v>46708.0403603327</v>
      </c>
    </row>
    <row r="56" spans="1:27" ht="12.75">
      <c r="A56">
        <v>1990</v>
      </c>
      <c r="C56" s="35">
        <f t="shared" si="21"/>
        <v>1059335</v>
      </c>
      <c r="D56" s="35">
        <f>296457-296457</f>
        <v>0</v>
      </c>
      <c r="E56" s="35">
        <f>124593-69250+92354</f>
        <v>147697</v>
      </c>
      <c r="F56" s="35">
        <f>3162-970+1467</f>
        <v>3659</v>
      </c>
      <c r="G56" s="35">
        <f t="shared" si="22"/>
        <v>1203373</v>
      </c>
      <c r="H56" s="28">
        <v>30.5</v>
      </c>
      <c r="I56" s="29">
        <v>0</v>
      </c>
      <c r="J56" s="29">
        <f t="shared" si="23"/>
        <v>0</v>
      </c>
      <c r="L56" s="38">
        <f t="shared" si="10"/>
        <v>147697</v>
      </c>
      <c r="R56" s="21">
        <f t="shared" si="11"/>
        <v>1990</v>
      </c>
      <c r="S56" s="4">
        <f t="shared" si="14"/>
        <v>147697</v>
      </c>
      <c r="T56">
        <f t="shared" si="15"/>
        <v>0</v>
      </c>
      <c r="U56">
        <f t="shared" si="16"/>
        <v>43</v>
      </c>
      <c r="V56" s="1" t="str">
        <f t="shared" si="17"/>
        <v>S0</v>
      </c>
      <c r="W56" s="2">
        <f t="shared" si="18"/>
        <v>3434.813953488372</v>
      </c>
      <c r="X56" s="2">
        <f t="shared" si="12"/>
        <v>0</v>
      </c>
      <c r="Y56" s="18">
        <f t="shared" si="19"/>
        <v>22.9990655962782</v>
      </c>
      <c r="Z56" s="18">
        <f t="shared" si="20"/>
        <v>0</v>
      </c>
      <c r="AA56" s="2">
        <f t="shared" si="13"/>
        <v>78997.51142729072</v>
      </c>
    </row>
    <row r="57" spans="1:27" ht="12.75">
      <c r="A57">
        <v>1991</v>
      </c>
      <c r="C57" s="35">
        <f t="shared" si="21"/>
        <v>1203373</v>
      </c>
      <c r="D57" s="35">
        <v>0</v>
      </c>
      <c r="E57" s="35">
        <f>138295-92354+73055</f>
        <v>118996</v>
      </c>
      <c r="F57" s="35">
        <f>15041-1467+4856</f>
        <v>18430</v>
      </c>
      <c r="G57" s="35">
        <f t="shared" si="22"/>
        <v>1303939</v>
      </c>
      <c r="H57" s="28">
        <v>29.5</v>
      </c>
      <c r="I57" s="29">
        <v>0</v>
      </c>
      <c r="J57" s="29">
        <f t="shared" si="23"/>
        <v>0</v>
      </c>
      <c r="L57" s="38">
        <f t="shared" si="10"/>
        <v>118996</v>
      </c>
      <c r="R57" s="21">
        <f t="shared" si="11"/>
        <v>1991</v>
      </c>
      <c r="S57" s="4">
        <f t="shared" si="14"/>
        <v>118996</v>
      </c>
      <c r="T57">
        <f t="shared" si="15"/>
        <v>0</v>
      </c>
      <c r="U57">
        <f t="shared" si="16"/>
        <v>43</v>
      </c>
      <c r="V57" s="1" t="str">
        <f t="shared" si="17"/>
        <v>S0</v>
      </c>
      <c r="W57" s="2">
        <f t="shared" si="18"/>
        <v>2767.3488372093025</v>
      </c>
      <c r="X57" s="2">
        <f t="shared" si="12"/>
        <v>0</v>
      </c>
      <c r="Y57" s="18">
        <f t="shared" si="19"/>
        <v>23.503025021040543</v>
      </c>
      <c r="Z57" s="18">
        <f t="shared" si="20"/>
        <v>0</v>
      </c>
      <c r="AA57" s="2">
        <f t="shared" si="13"/>
        <v>65041.06896287769</v>
      </c>
    </row>
    <row r="58" spans="1:27" ht="12.75">
      <c r="A58">
        <v>1992</v>
      </c>
      <c r="C58" s="35">
        <f t="shared" si="21"/>
        <v>1303939</v>
      </c>
      <c r="D58" s="35">
        <v>0</v>
      </c>
      <c r="E58" s="35">
        <f>118932-73055+124455</f>
        <v>170332</v>
      </c>
      <c r="F58" s="35">
        <f>8598-4856+2458</f>
        <v>6200</v>
      </c>
      <c r="G58" s="35">
        <f t="shared" si="22"/>
        <v>1468071</v>
      </c>
      <c r="H58" s="28">
        <v>28.5</v>
      </c>
      <c r="I58" s="29">
        <v>0</v>
      </c>
      <c r="J58" s="29">
        <f t="shared" si="23"/>
        <v>0</v>
      </c>
      <c r="L58" s="38">
        <f t="shared" si="10"/>
        <v>170332</v>
      </c>
      <c r="R58" s="21">
        <f t="shared" si="11"/>
        <v>1992</v>
      </c>
      <c r="S58" s="4">
        <f t="shared" si="14"/>
        <v>170332</v>
      </c>
      <c r="T58">
        <f t="shared" si="15"/>
        <v>0</v>
      </c>
      <c r="U58">
        <f t="shared" si="16"/>
        <v>43</v>
      </c>
      <c r="V58" s="1" t="str">
        <f t="shared" si="17"/>
        <v>S0</v>
      </c>
      <c r="W58" s="2">
        <f t="shared" si="18"/>
        <v>3961.2093023255816</v>
      </c>
      <c r="X58" s="2">
        <f t="shared" si="12"/>
        <v>0</v>
      </c>
      <c r="Y58" s="18">
        <f t="shared" si="19"/>
        <v>24.012680795113095</v>
      </c>
      <c r="Z58" s="18">
        <f t="shared" si="20"/>
        <v>0</v>
      </c>
      <c r="AA58" s="2">
        <f t="shared" si="13"/>
        <v>95119.25453937684</v>
      </c>
    </row>
    <row r="59" spans="1:27" ht="12.75">
      <c r="A59">
        <v>1993</v>
      </c>
      <c r="C59" s="35">
        <f t="shared" si="21"/>
        <v>1468071</v>
      </c>
      <c r="D59" s="35">
        <v>0</v>
      </c>
      <c r="E59" s="35">
        <f>179197-124455+87610</f>
        <v>142352</v>
      </c>
      <c r="F59" s="35">
        <f>3570-2458+2316</f>
        <v>3428</v>
      </c>
      <c r="G59" s="35">
        <f t="shared" si="22"/>
        <v>1606995</v>
      </c>
      <c r="H59" s="28">
        <v>27.5</v>
      </c>
      <c r="I59" s="29"/>
      <c r="J59" s="29">
        <f t="shared" si="23"/>
        <v>0</v>
      </c>
      <c r="L59" s="38">
        <f t="shared" si="10"/>
        <v>142352</v>
      </c>
      <c r="R59" s="21">
        <f t="shared" si="11"/>
        <v>1993</v>
      </c>
      <c r="S59" s="4">
        <f t="shared" si="14"/>
        <v>142352</v>
      </c>
      <c r="T59">
        <f t="shared" si="15"/>
        <v>0</v>
      </c>
      <c r="U59">
        <f t="shared" si="16"/>
        <v>43</v>
      </c>
      <c r="V59" s="1" t="str">
        <f t="shared" si="17"/>
        <v>S0</v>
      </c>
      <c r="W59" s="2">
        <f t="shared" si="18"/>
        <v>3310.5116279069766</v>
      </c>
      <c r="X59" s="2">
        <f t="shared" si="12"/>
        <v>0</v>
      </c>
      <c r="Y59" s="18">
        <f t="shared" si="19"/>
        <v>24.528281848624076</v>
      </c>
      <c r="Z59" s="18">
        <f t="shared" si="20"/>
        <v>0</v>
      </c>
      <c r="AA59" s="2">
        <f t="shared" si="13"/>
        <v>81201.16227244964</v>
      </c>
    </row>
    <row r="60" spans="1:27" ht="12.75">
      <c r="A60">
        <v>1994</v>
      </c>
      <c r="C60" s="35">
        <f t="shared" si="21"/>
        <v>1606995</v>
      </c>
      <c r="D60" s="35">
        <v>0</v>
      </c>
      <c r="E60" s="35">
        <f>134465-87610+113762</f>
        <v>160617</v>
      </c>
      <c r="F60" s="35">
        <f>4124-2316+1523</f>
        <v>3331</v>
      </c>
      <c r="G60" s="35">
        <f t="shared" si="22"/>
        <v>1764281</v>
      </c>
      <c r="H60" s="28">
        <v>26.5</v>
      </c>
      <c r="I60" s="29">
        <v>0</v>
      </c>
      <c r="J60" s="29">
        <f t="shared" si="23"/>
        <v>0</v>
      </c>
      <c r="L60" s="38">
        <f t="shared" si="10"/>
        <v>160617</v>
      </c>
      <c r="R60" s="21">
        <f t="shared" si="11"/>
        <v>1994</v>
      </c>
      <c r="S60" s="4">
        <f t="shared" si="14"/>
        <v>160617</v>
      </c>
      <c r="T60">
        <f t="shared" si="15"/>
        <v>0</v>
      </c>
      <c r="U60">
        <f t="shared" si="16"/>
        <v>43</v>
      </c>
      <c r="V60" s="1" t="str">
        <f t="shared" si="17"/>
        <v>S0</v>
      </c>
      <c r="W60" s="2">
        <f t="shared" si="18"/>
        <v>3735.279069767442</v>
      </c>
      <c r="X60" s="2">
        <f t="shared" si="12"/>
        <v>0</v>
      </c>
      <c r="Y60" s="18">
        <f t="shared" si="19"/>
        <v>25.050093200791927</v>
      </c>
      <c r="Z60" s="18">
        <f t="shared" si="20"/>
        <v>0</v>
      </c>
      <c r="AA60" s="2">
        <f t="shared" si="13"/>
        <v>93569.08882864179</v>
      </c>
    </row>
    <row r="61" spans="1:27" ht="12.75">
      <c r="A61">
        <v>1995</v>
      </c>
      <c r="C61" s="35">
        <f t="shared" si="21"/>
        <v>1764281</v>
      </c>
      <c r="D61" s="35">
        <v>0</v>
      </c>
      <c r="E61" s="35">
        <f>174849-113762+87090</f>
        <v>148177</v>
      </c>
      <c r="F61" s="35">
        <f>5549-1523+1988</f>
        <v>6014</v>
      </c>
      <c r="G61" s="35">
        <f t="shared" si="22"/>
        <v>1906444</v>
      </c>
      <c r="H61" s="28">
        <v>25.5</v>
      </c>
      <c r="I61" s="29"/>
      <c r="J61" s="29">
        <f t="shared" si="23"/>
        <v>0</v>
      </c>
      <c r="L61" s="38">
        <f t="shared" si="10"/>
        <v>148177</v>
      </c>
      <c r="R61" s="21">
        <f t="shared" si="11"/>
        <v>1995</v>
      </c>
      <c r="S61" s="4">
        <f t="shared" si="14"/>
        <v>148177</v>
      </c>
      <c r="T61">
        <f t="shared" si="15"/>
        <v>0</v>
      </c>
      <c r="U61">
        <f t="shared" si="16"/>
        <v>43</v>
      </c>
      <c r="V61" s="1" t="str">
        <f t="shared" si="17"/>
        <v>S0</v>
      </c>
      <c r="W61" s="2">
        <f t="shared" si="18"/>
        <v>3445.9767441860463</v>
      </c>
      <c r="X61" s="2">
        <f t="shared" si="12"/>
        <v>0</v>
      </c>
      <c r="Y61" s="18">
        <f t="shared" si="19"/>
        <v>25.578397401725763</v>
      </c>
      <c r="Z61" s="18">
        <f t="shared" si="20"/>
        <v>0</v>
      </c>
      <c r="AA61" s="2">
        <f t="shared" si="13"/>
        <v>88142.56259989577</v>
      </c>
    </row>
    <row r="62" spans="1:27" ht="12.75">
      <c r="A62">
        <v>1996</v>
      </c>
      <c r="C62" s="35">
        <f t="shared" si="21"/>
        <v>1906444</v>
      </c>
      <c r="D62" s="35">
        <v>0</v>
      </c>
      <c r="E62" s="35">
        <f>133697-87090+104230</f>
        <v>150837</v>
      </c>
      <c r="F62" s="35">
        <f>2995-1988+1541</f>
        <v>2548</v>
      </c>
      <c r="G62" s="35">
        <f t="shared" si="22"/>
        <v>2054733</v>
      </c>
      <c r="H62" s="28">
        <v>24.5</v>
      </c>
      <c r="I62" s="29">
        <v>0</v>
      </c>
      <c r="J62" s="29">
        <f t="shared" si="23"/>
        <v>0</v>
      </c>
      <c r="L62" s="38">
        <f t="shared" si="10"/>
        <v>150837</v>
      </c>
      <c r="R62" s="21">
        <f t="shared" si="11"/>
        <v>1996</v>
      </c>
      <c r="S62" s="4">
        <f t="shared" si="14"/>
        <v>150837</v>
      </c>
      <c r="T62">
        <f t="shared" si="15"/>
        <v>0</v>
      </c>
      <c r="U62">
        <f t="shared" si="16"/>
        <v>43</v>
      </c>
      <c r="V62" s="1" t="str">
        <f t="shared" si="17"/>
        <v>S0</v>
      </c>
      <c r="W62" s="2">
        <f t="shared" si="18"/>
        <v>3507.8372093023254</v>
      </c>
      <c r="X62" s="2">
        <f t="shared" si="12"/>
        <v>0</v>
      </c>
      <c r="Y62" s="18">
        <f t="shared" si="19"/>
        <v>26.113496147539987</v>
      </c>
      <c r="Z62" s="18">
        <f t="shared" si="20"/>
        <v>0</v>
      </c>
      <c r="AA62" s="2">
        <f t="shared" si="13"/>
        <v>91601.89345131369</v>
      </c>
    </row>
    <row r="63" spans="1:27" ht="12.75">
      <c r="A63">
        <v>1997</v>
      </c>
      <c r="C63" s="35">
        <f t="shared" si="21"/>
        <v>2054733</v>
      </c>
      <c r="D63" s="35">
        <v>0</v>
      </c>
      <c r="E63" s="35">
        <v>149850</v>
      </c>
      <c r="F63" s="35">
        <v>5491</v>
      </c>
      <c r="G63" s="35">
        <f t="shared" si="22"/>
        <v>2199092</v>
      </c>
      <c r="H63" s="28">
        <v>23.5</v>
      </c>
      <c r="I63" s="9">
        <v>0</v>
      </c>
      <c r="J63" s="29">
        <f t="shared" si="23"/>
        <v>0</v>
      </c>
      <c r="L63" s="38">
        <f t="shared" si="10"/>
        <v>149850</v>
      </c>
      <c r="R63" s="21">
        <f t="shared" si="11"/>
        <v>1997</v>
      </c>
      <c r="S63" s="4">
        <f t="shared" si="14"/>
        <v>149850</v>
      </c>
      <c r="T63">
        <f t="shared" si="15"/>
        <v>0</v>
      </c>
      <c r="U63">
        <f t="shared" si="16"/>
        <v>43</v>
      </c>
      <c r="V63" s="1" t="str">
        <f t="shared" si="17"/>
        <v>S0</v>
      </c>
      <c r="W63" s="2">
        <f t="shared" si="18"/>
        <v>3484.8837209302324</v>
      </c>
      <c r="X63" s="2">
        <f t="shared" si="12"/>
        <v>0</v>
      </c>
      <c r="Y63" s="18">
        <f t="shared" si="19"/>
        <v>26.655712095994208</v>
      </c>
      <c r="Z63" s="18">
        <f t="shared" si="20"/>
        <v>0</v>
      </c>
      <c r="AA63" s="2">
        <f t="shared" si="13"/>
        <v>92892.0571531333</v>
      </c>
    </row>
    <row r="64" spans="1:27" ht="12.75">
      <c r="A64">
        <v>1998</v>
      </c>
      <c r="C64" s="35">
        <f t="shared" si="21"/>
        <v>2199092</v>
      </c>
      <c r="D64" s="35">
        <v>0</v>
      </c>
      <c r="E64" s="35">
        <v>172095</v>
      </c>
      <c r="F64" s="35">
        <v>6032</v>
      </c>
      <c r="G64" s="35">
        <f t="shared" si="22"/>
        <v>2365155</v>
      </c>
      <c r="H64" s="28">
        <v>22.5</v>
      </c>
      <c r="I64" s="29"/>
      <c r="J64" s="29">
        <f t="shared" si="23"/>
        <v>0</v>
      </c>
      <c r="L64" s="38">
        <f t="shared" si="10"/>
        <v>172095</v>
      </c>
      <c r="R64" s="21">
        <f t="shared" si="11"/>
        <v>1998</v>
      </c>
      <c r="S64" s="4">
        <f t="shared" si="14"/>
        <v>172095</v>
      </c>
      <c r="T64">
        <f t="shared" si="15"/>
        <v>0</v>
      </c>
      <c r="U64">
        <f t="shared" si="16"/>
        <v>43</v>
      </c>
      <c r="V64" s="1" t="str">
        <f t="shared" si="17"/>
        <v>S0</v>
      </c>
      <c r="W64" s="2">
        <f t="shared" si="18"/>
        <v>4002.2093023255816</v>
      </c>
      <c r="X64" s="2">
        <f t="shared" si="12"/>
        <v>0</v>
      </c>
      <c r="Y64" s="18">
        <f t="shared" si="19"/>
        <v>27.205390915346147</v>
      </c>
      <c r="Z64" s="18">
        <f t="shared" si="20"/>
        <v>0</v>
      </c>
      <c r="AA64" s="2">
        <f t="shared" si="13"/>
        <v>108881.66859480222</v>
      </c>
    </row>
    <row r="65" spans="1:27" ht="12.75">
      <c r="A65">
        <v>1999</v>
      </c>
      <c r="C65" s="35">
        <f t="shared" si="21"/>
        <v>2365155</v>
      </c>
      <c r="D65" s="35">
        <v>0</v>
      </c>
      <c r="E65" s="35">
        <v>155766</v>
      </c>
      <c r="F65" s="35">
        <v>7892</v>
      </c>
      <c r="G65" s="35">
        <f t="shared" si="22"/>
        <v>2513029</v>
      </c>
      <c r="H65" s="28">
        <v>21.5</v>
      </c>
      <c r="I65" s="29">
        <v>0</v>
      </c>
      <c r="J65" s="29">
        <f t="shared" si="23"/>
        <v>0</v>
      </c>
      <c r="L65" s="38">
        <f t="shared" si="10"/>
        <v>155766</v>
      </c>
      <c r="R65" s="21">
        <f t="shared" si="11"/>
        <v>1999</v>
      </c>
      <c r="S65" s="4">
        <f t="shared" si="14"/>
        <v>155766</v>
      </c>
      <c r="T65">
        <f t="shared" si="15"/>
        <v>0</v>
      </c>
      <c r="U65">
        <f t="shared" si="16"/>
        <v>43</v>
      </c>
      <c r="V65" s="1" t="str">
        <f t="shared" si="17"/>
        <v>S0</v>
      </c>
      <c r="W65" s="2">
        <f t="shared" si="18"/>
        <v>3622.4651162790697</v>
      </c>
      <c r="X65" s="2">
        <f t="shared" si="12"/>
        <v>0</v>
      </c>
      <c r="Y65" s="18">
        <f t="shared" si="19"/>
        <v>27.762903605963253</v>
      </c>
      <c r="Z65" s="18">
        <f t="shared" si="20"/>
        <v>0</v>
      </c>
      <c r="AA65" s="2">
        <f t="shared" si="13"/>
        <v>100570.14983922028</v>
      </c>
    </row>
    <row r="66" spans="1:27" ht="12.75">
      <c r="A66">
        <v>2000</v>
      </c>
      <c r="C66" s="35">
        <f t="shared" si="21"/>
        <v>2513029</v>
      </c>
      <c r="D66" s="35">
        <v>0</v>
      </c>
      <c r="E66" s="35">
        <v>122090</v>
      </c>
      <c r="F66" s="35">
        <v>22470</v>
      </c>
      <c r="G66" s="35">
        <f t="shared" si="22"/>
        <v>2612649</v>
      </c>
      <c r="H66" s="28">
        <v>20.5</v>
      </c>
      <c r="I66" s="9">
        <v>0</v>
      </c>
      <c r="J66" s="29">
        <f t="shared" si="23"/>
        <v>0</v>
      </c>
      <c r="L66" s="38">
        <f t="shared" si="10"/>
        <v>122090</v>
      </c>
      <c r="R66" s="21">
        <f t="shared" si="11"/>
        <v>2000</v>
      </c>
      <c r="S66" s="4">
        <f t="shared" si="14"/>
        <v>122090</v>
      </c>
      <c r="T66">
        <f t="shared" si="15"/>
        <v>0</v>
      </c>
      <c r="U66">
        <f t="shared" si="16"/>
        <v>43</v>
      </c>
      <c r="V66" s="1" t="str">
        <f t="shared" si="17"/>
        <v>S0</v>
      </c>
      <c r="W66" s="2">
        <f t="shared" si="18"/>
        <v>2839.3023255813955</v>
      </c>
      <c r="X66" s="2">
        <f t="shared" si="12"/>
        <v>0</v>
      </c>
      <c r="Y66" s="18">
        <f t="shared" si="19"/>
        <v>28.328649142910667</v>
      </c>
      <c r="Z66" s="18">
        <f t="shared" si="20"/>
        <v>0</v>
      </c>
      <c r="AA66" s="2">
        <f t="shared" si="13"/>
        <v>80433.59939204567</v>
      </c>
    </row>
    <row r="67" spans="1:27" ht="12.75">
      <c r="A67">
        <v>2001</v>
      </c>
      <c r="C67" s="35">
        <f t="shared" si="21"/>
        <v>2612649</v>
      </c>
      <c r="D67" s="35">
        <v>0</v>
      </c>
      <c r="E67" s="35">
        <v>98891</v>
      </c>
      <c r="F67" s="35">
        <v>21077</v>
      </c>
      <c r="G67" s="35">
        <f t="shared" si="22"/>
        <v>2690463</v>
      </c>
      <c r="H67" s="28">
        <v>19.5</v>
      </c>
      <c r="I67" s="9">
        <v>0</v>
      </c>
      <c r="J67" s="29">
        <f t="shared" si="23"/>
        <v>0</v>
      </c>
      <c r="L67" s="38">
        <f t="shared" si="10"/>
        <v>98891</v>
      </c>
      <c r="R67" s="21">
        <f t="shared" si="11"/>
        <v>2001</v>
      </c>
      <c r="S67" s="4">
        <f t="shared" si="14"/>
        <v>98891</v>
      </c>
      <c r="T67">
        <f t="shared" si="15"/>
        <v>0</v>
      </c>
      <c r="U67">
        <f t="shared" si="16"/>
        <v>43</v>
      </c>
      <c r="V67" s="1" t="str">
        <f t="shared" si="17"/>
        <v>S0</v>
      </c>
      <c r="W67" s="2">
        <f t="shared" si="18"/>
        <v>2299.7906976744184</v>
      </c>
      <c r="X67" s="2">
        <f t="shared" si="12"/>
        <v>0</v>
      </c>
      <c r="Y67" s="18">
        <f>Prob_life($V$67,H67,$U$67)</f>
        <v>28.903057498810714</v>
      </c>
      <c r="Z67" s="18">
        <f t="shared" si="20"/>
        <v>0</v>
      </c>
      <c r="AA67" s="2">
        <f t="shared" si="13"/>
        <v>66470.98277011373</v>
      </c>
    </row>
    <row r="68" spans="1:27" ht="12.75">
      <c r="A68">
        <v>2002</v>
      </c>
      <c r="C68" s="35">
        <f t="shared" si="21"/>
        <v>2690463</v>
      </c>
      <c r="D68" s="35">
        <v>0</v>
      </c>
      <c r="E68" s="35">
        <v>93543.33</v>
      </c>
      <c r="F68" s="35">
        <v>10619</v>
      </c>
      <c r="G68" s="35">
        <f t="shared" si="22"/>
        <v>2773387.33</v>
      </c>
      <c r="H68" s="28">
        <v>18.5</v>
      </c>
      <c r="I68" s="29">
        <v>0</v>
      </c>
      <c r="J68" s="29">
        <f t="shared" si="23"/>
        <v>0</v>
      </c>
      <c r="L68" s="38">
        <f t="shared" si="10"/>
        <v>93543.33</v>
      </c>
      <c r="R68" s="21">
        <f t="shared" si="11"/>
        <v>2002</v>
      </c>
      <c r="S68" s="4">
        <f t="shared" si="14"/>
        <v>93543.33</v>
      </c>
      <c r="T68">
        <f t="shared" si="15"/>
        <v>0</v>
      </c>
      <c r="U68">
        <f t="shared" si="16"/>
        <v>43</v>
      </c>
      <c r="V68" s="1" t="str">
        <f t="shared" si="17"/>
        <v>S0</v>
      </c>
      <c r="W68" s="2">
        <f t="shared" si="18"/>
        <v>2175.4262790697676</v>
      </c>
      <c r="X68" s="2">
        <f t="shared" si="12"/>
        <v>0</v>
      </c>
      <c r="Y68" s="18">
        <f aca="true" t="shared" si="24" ref="Y68:Y75">Prob_life(V68,H68,U68)</f>
        <v>29.486593120577645</v>
      </c>
      <c r="Z68" s="18">
        <f t="shared" si="20"/>
        <v>0</v>
      </c>
      <c r="AA68" s="2">
        <f t="shared" si="13"/>
        <v>64145.90955474243</v>
      </c>
    </row>
    <row r="69" spans="1:27" ht="12.75">
      <c r="A69">
        <v>2003</v>
      </c>
      <c r="C69" s="35">
        <f aca="true" t="shared" si="25" ref="C69:C75">G68</f>
        <v>2773387.33</v>
      </c>
      <c r="D69" s="35">
        <v>0</v>
      </c>
      <c r="E69" s="35">
        <v>102667</v>
      </c>
      <c r="F69" s="35">
        <v>10963</v>
      </c>
      <c r="G69" s="35">
        <f aca="true" t="shared" si="26" ref="G69:G75">C69+D69+E69-F69</f>
        <v>2865091.33</v>
      </c>
      <c r="H69" s="28">
        <v>17.5</v>
      </c>
      <c r="I69" s="29"/>
      <c r="J69" s="29"/>
      <c r="L69" s="38">
        <f t="shared" si="10"/>
        <v>102667</v>
      </c>
      <c r="R69" s="21">
        <f t="shared" si="11"/>
        <v>2003</v>
      </c>
      <c r="S69" s="4">
        <f t="shared" si="14"/>
        <v>102667</v>
      </c>
      <c r="T69">
        <f aca="true" t="shared" si="27" ref="T69:T75">IF(D69&gt;0,IF(J69&gt;0,D69,0),0)</f>
        <v>0</v>
      </c>
      <c r="U69">
        <f t="shared" si="16"/>
        <v>43</v>
      </c>
      <c r="V69" s="1" t="str">
        <f t="shared" si="17"/>
        <v>S0</v>
      </c>
      <c r="W69" s="2">
        <f aca="true" t="shared" si="28" ref="W69:W75">S69/U69</f>
        <v>2387.6046511627906</v>
      </c>
      <c r="X69" s="2">
        <f aca="true" t="shared" si="29" ref="X69:X75">T69/U69</f>
        <v>0</v>
      </c>
      <c r="Y69" s="18">
        <f t="shared" si="24"/>
        <v>30.079758952347024</v>
      </c>
      <c r="Z69" s="18">
        <f aca="true" t="shared" si="30" ref="Z69:Z75">IF(J69&gt;0,Prob_life(V69,J69+0.5,U69),0)</f>
        <v>0</v>
      </c>
      <c r="AA69" s="2">
        <f aca="true" t="shared" si="31" ref="AA69:AA75">W69*Y69+X69*Z69</f>
        <v>71818.57238047934</v>
      </c>
    </row>
    <row r="70" spans="1:27" ht="12.75">
      <c r="A70">
        <v>2004</v>
      </c>
      <c r="C70" s="35">
        <f t="shared" si="25"/>
        <v>2865091.33</v>
      </c>
      <c r="D70" s="35">
        <v>0</v>
      </c>
      <c r="E70" s="35">
        <v>112534</v>
      </c>
      <c r="F70" s="35">
        <v>6222</v>
      </c>
      <c r="G70" s="35">
        <f t="shared" si="26"/>
        <v>2971403.33</v>
      </c>
      <c r="H70" s="28">
        <v>16.5</v>
      </c>
      <c r="I70" s="29"/>
      <c r="J70" s="29"/>
      <c r="L70" s="38">
        <f t="shared" si="10"/>
        <v>112534</v>
      </c>
      <c r="R70" s="21">
        <f t="shared" si="11"/>
        <v>2004</v>
      </c>
      <c r="S70" s="4">
        <f t="shared" si="14"/>
        <v>112534</v>
      </c>
      <c r="T70">
        <f t="shared" si="27"/>
        <v>0</v>
      </c>
      <c r="U70">
        <f aca="true" t="shared" si="32" ref="U70:U86">$V$94</f>
        <v>43</v>
      </c>
      <c r="V70" s="1" t="str">
        <f aca="true" t="shared" si="33" ref="V70:V86">$V$93</f>
        <v>S0</v>
      </c>
      <c r="W70" s="2">
        <f t="shared" si="28"/>
        <v>2617.0697674418607</v>
      </c>
      <c r="X70" s="2">
        <f t="shared" si="29"/>
        <v>0</v>
      </c>
      <c r="Y70" s="18">
        <f t="shared" si="24"/>
        <v>30.683101121730132</v>
      </c>
      <c r="Z70" s="18">
        <f t="shared" si="30"/>
        <v>0</v>
      </c>
      <c r="AA70" s="2">
        <f t="shared" si="31"/>
        <v>80299.81631704138</v>
      </c>
    </row>
    <row r="71" spans="1:27" ht="12.75">
      <c r="A71">
        <v>2005</v>
      </c>
      <c r="C71" s="35">
        <f t="shared" si="25"/>
        <v>2971403.33</v>
      </c>
      <c r="D71" s="35">
        <v>0</v>
      </c>
      <c r="E71" s="35">
        <v>110798.33</v>
      </c>
      <c r="F71" s="35">
        <v>7134.94</v>
      </c>
      <c r="G71" s="35">
        <f t="shared" si="26"/>
        <v>3075066.72</v>
      </c>
      <c r="H71" s="28">
        <v>15.5</v>
      </c>
      <c r="I71" s="29"/>
      <c r="J71" s="29"/>
      <c r="L71" s="38">
        <f aca="true" t="shared" si="34" ref="L71:L86">D71+E71</f>
        <v>110798.33</v>
      </c>
      <c r="R71" s="21">
        <f>A71</f>
        <v>2005</v>
      </c>
      <c r="S71" s="4">
        <f t="shared" si="14"/>
        <v>110798.33</v>
      </c>
      <c r="T71">
        <f t="shared" si="27"/>
        <v>0</v>
      </c>
      <c r="U71">
        <f t="shared" si="32"/>
        <v>43</v>
      </c>
      <c r="V71" s="1" t="str">
        <f t="shared" si="33"/>
        <v>S0</v>
      </c>
      <c r="W71" s="2">
        <f t="shared" si="28"/>
        <v>2576.7053488372094</v>
      </c>
      <c r="X71" s="2">
        <f t="shared" si="29"/>
        <v>0</v>
      </c>
      <c r="Y71" s="18">
        <f t="shared" si="24"/>
        <v>31.297214439923216</v>
      </c>
      <c r="Z71" s="18">
        <f t="shared" si="30"/>
        <v>0</v>
      </c>
      <c r="AA71" s="2">
        <f t="shared" si="31"/>
        <v>80643.6998510553</v>
      </c>
    </row>
    <row r="72" spans="1:27" ht="12.75">
      <c r="A72">
        <v>2006</v>
      </c>
      <c r="C72" s="35">
        <f t="shared" si="25"/>
        <v>3075066.72</v>
      </c>
      <c r="D72" s="35">
        <v>0</v>
      </c>
      <c r="E72" s="35">
        <v>82817.67</v>
      </c>
      <c r="F72" s="35">
        <v>12269.81</v>
      </c>
      <c r="G72" s="35">
        <f t="shared" si="26"/>
        <v>3145614.58</v>
      </c>
      <c r="H72" s="28">
        <v>14.5</v>
      </c>
      <c r="I72" s="29"/>
      <c r="J72" s="29"/>
      <c r="L72" s="38">
        <f t="shared" si="34"/>
        <v>82817.67</v>
      </c>
      <c r="R72" s="21">
        <f>A72</f>
        <v>2006</v>
      </c>
      <c r="S72" s="4">
        <f t="shared" si="14"/>
        <v>82817.67</v>
      </c>
      <c r="T72">
        <f t="shared" si="27"/>
        <v>0</v>
      </c>
      <c r="U72">
        <f t="shared" si="32"/>
        <v>43</v>
      </c>
      <c r="V72" s="1" t="str">
        <f t="shared" si="33"/>
        <v>S0</v>
      </c>
      <c r="W72" s="2">
        <f t="shared" si="28"/>
        <v>1925.9923255813953</v>
      </c>
      <c r="X72" s="2">
        <f t="shared" si="29"/>
        <v>0</v>
      </c>
      <c r="Y72" s="18">
        <f t="shared" si="24"/>
        <v>31.922748911920554</v>
      </c>
      <c r="Z72" s="18">
        <f t="shared" si="30"/>
        <v>0</v>
      </c>
      <c r="AA72" s="2">
        <f t="shared" si="31"/>
        <v>61482.96941582082</v>
      </c>
    </row>
    <row r="73" spans="1:27" ht="12.75">
      <c r="A73">
        <v>2007</v>
      </c>
      <c r="C73" s="35">
        <f t="shared" si="25"/>
        <v>3145614.58</v>
      </c>
      <c r="D73" s="35">
        <v>0</v>
      </c>
      <c r="E73" s="35">
        <v>90409.65</v>
      </c>
      <c r="F73" s="35">
        <v>48870.32</v>
      </c>
      <c r="G73" s="35">
        <f t="shared" si="26"/>
        <v>3187153.91</v>
      </c>
      <c r="H73" s="28">
        <v>13.5</v>
      </c>
      <c r="I73" s="29"/>
      <c r="J73" s="29"/>
      <c r="L73" s="38">
        <f t="shared" si="34"/>
        <v>90409.65</v>
      </c>
      <c r="R73" s="21">
        <f>A73</f>
        <v>2007</v>
      </c>
      <c r="S73" s="4">
        <f>E73</f>
        <v>90409.65</v>
      </c>
      <c r="T73">
        <f t="shared" si="27"/>
        <v>0</v>
      </c>
      <c r="U73">
        <f t="shared" si="32"/>
        <v>43</v>
      </c>
      <c r="V73" s="1" t="str">
        <f t="shared" si="33"/>
        <v>S0</v>
      </c>
      <c r="W73" s="2">
        <f t="shared" si="28"/>
        <v>2102.5499999999997</v>
      </c>
      <c r="X73" s="2">
        <f t="shared" si="29"/>
        <v>0</v>
      </c>
      <c r="Y73" s="18">
        <f t="shared" si="24"/>
        <v>32.56041751686603</v>
      </c>
      <c r="Z73" s="18">
        <f t="shared" si="30"/>
        <v>0</v>
      </c>
      <c r="AA73" s="2">
        <f t="shared" si="31"/>
        <v>68459.90585008667</v>
      </c>
    </row>
    <row r="74" spans="1:27" ht="12.75">
      <c r="A74">
        <v>2008</v>
      </c>
      <c r="C74" s="35">
        <f t="shared" si="25"/>
        <v>3187153.91</v>
      </c>
      <c r="D74" s="35">
        <v>0</v>
      </c>
      <c r="E74" s="35">
        <v>68712.8</v>
      </c>
      <c r="F74" s="35">
        <v>71493.87</v>
      </c>
      <c r="G74" s="35">
        <f t="shared" si="26"/>
        <v>3184372.84</v>
      </c>
      <c r="H74" s="28">
        <v>12.5</v>
      </c>
      <c r="I74" s="29"/>
      <c r="J74" s="29"/>
      <c r="L74" s="38">
        <f t="shared" si="34"/>
        <v>68712.8</v>
      </c>
      <c r="R74" s="21">
        <f>A74</f>
        <v>2008</v>
      </c>
      <c r="S74" s="4">
        <f>E74</f>
        <v>68712.8</v>
      </c>
      <c r="T74">
        <f t="shared" si="27"/>
        <v>0</v>
      </c>
      <c r="U74">
        <f t="shared" si="32"/>
        <v>43</v>
      </c>
      <c r="V74" s="1" t="str">
        <f t="shared" si="33"/>
        <v>S0</v>
      </c>
      <c r="W74" s="2">
        <f t="shared" si="28"/>
        <v>1597.9720930232559</v>
      </c>
      <c r="X74" s="2">
        <f t="shared" si="29"/>
        <v>0</v>
      </c>
      <c r="Y74" s="18">
        <f t="shared" si="24"/>
        <v>33.21100560948416</v>
      </c>
      <c r="Z74" s="18">
        <f t="shared" si="30"/>
        <v>0</v>
      </c>
      <c r="AA74" s="2">
        <f t="shared" si="31"/>
        <v>53070.260145194494</v>
      </c>
    </row>
    <row r="75" spans="1:27" ht="12.75">
      <c r="A75" s="29">
        <v>2009</v>
      </c>
      <c r="C75" s="35">
        <f t="shared" si="25"/>
        <v>3184372.84</v>
      </c>
      <c r="D75" s="35">
        <v>0</v>
      </c>
      <c r="E75" s="35">
        <v>54832.1</v>
      </c>
      <c r="F75" s="35">
        <v>53167.62</v>
      </c>
      <c r="G75" s="35">
        <f t="shared" si="26"/>
        <v>3186037.32</v>
      </c>
      <c r="H75" s="28">
        <v>11.5</v>
      </c>
      <c r="I75" s="29"/>
      <c r="J75" s="29"/>
      <c r="L75" s="38">
        <f t="shared" si="34"/>
        <v>54832.1</v>
      </c>
      <c r="R75" s="21">
        <f>A75</f>
        <v>2009</v>
      </c>
      <c r="S75" s="4">
        <f>E75</f>
        <v>54832.1</v>
      </c>
      <c r="T75">
        <f t="shared" si="27"/>
        <v>0</v>
      </c>
      <c r="U75">
        <f t="shared" si="32"/>
        <v>43</v>
      </c>
      <c r="V75" s="1" t="str">
        <f t="shared" si="33"/>
        <v>S0</v>
      </c>
      <c r="W75" s="2">
        <f t="shared" si="28"/>
        <v>1275.1651162790697</v>
      </c>
      <c r="X75" s="2">
        <f t="shared" si="29"/>
        <v>0</v>
      </c>
      <c r="Y75" s="18">
        <f t="shared" si="24"/>
        <v>33.875382426274605</v>
      </c>
      <c r="Z75" s="18">
        <f t="shared" si="30"/>
        <v>0</v>
      </c>
      <c r="AA75" s="2">
        <f t="shared" si="31"/>
        <v>43196.705970598414</v>
      </c>
    </row>
    <row r="76" spans="1:27" ht="12.75">
      <c r="A76" s="29">
        <v>2010</v>
      </c>
      <c r="C76" s="35">
        <f aca="true" t="shared" si="35" ref="C76:C86">G75</f>
        <v>3186037.32</v>
      </c>
      <c r="D76" s="35">
        <v>180.95</v>
      </c>
      <c r="E76" s="35">
        <v>64077.33</v>
      </c>
      <c r="F76" s="35">
        <v>92891.47</v>
      </c>
      <c r="G76" s="35">
        <f aca="true" t="shared" si="36" ref="G76:G86">C76+D76+E76-F76</f>
        <v>3157404.13</v>
      </c>
      <c r="H76" s="28">
        <v>10.5</v>
      </c>
      <c r="I76" s="29"/>
      <c r="J76" s="29"/>
      <c r="L76" s="38">
        <f t="shared" si="34"/>
        <v>64258.28</v>
      </c>
      <c r="R76" s="21">
        <f aca="true" t="shared" si="37" ref="R76:R86">A76</f>
        <v>2010</v>
      </c>
      <c r="S76" s="4">
        <f aca="true" t="shared" si="38" ref="S76:S86">E76</f>
        <v>64077.33</v>
      </c>
      <c r="T76">
        <f aca="true" t="shared" si="39" ref="T76:T86">IF(D76&gt;0,IF(J76&gt;0,D76,0),0)</f>
        <v>0</v>
      </c>
      <c r="U76">
        <f t="shared" si="32"/>
        <v>43</v>
      </c>
      <c r="V76" s="1" t="str">
        <f t="shared" si="33"/>
        <v>S0</v>
      </c>
      <c r="W76" s="2">
        <f aca="true" t="shared" si="40" ref="W76:W86">S76/U76</f>
        <v>1490.170465116279</v>
      </c>
      <c r="X76" s="2">
        <f aca="true" t="shared" si="41" ref="X76:X86">T76/U76</f>
        <v>0</v>
      </c>
      <c r="Y76" s="18">
        <f aca="true" t="shared" si="42" ref="Y76:Y86">Prob_life(V76,H76,U76)</f>
        <v>34.55451537944795</v>
      </c>
      <c r="Z76" s="18">
        <f aca="true" t="shared" si="43" ref="Z76:Z86">IF(J76&gt;0,Prob_life(V76,J76+0.5,U76),0)</f>
        <v>0</v>
      </c>
      <c r="AA76" s="2">
        <f aca="true" t="shared" si="44" ref="AA76:AA86">W76*Y76+X76*Z76</f>
        <v>51492.11825485957</v>
      </c>
    </row>
    <row r="77" spans="1:27" ht="12.75">
      <c r="A77" s="29">
        <v>2011</v>
      </c>
      <c r="C77" s="35">
        <f t="shared" si="35"/>
        <v>3157404.13</v>
      </c>
      <c r="D77" s="35">
        <v>0</v>
      </c>
      <c r="E77" s="35">
        <v>90774.29</v>
      </c>
      <c r="F77" s="35">
        <v>68247.5</v>
      </c>
      <c r="G77" s="35">
        <f t="shared" si="36"/>
        <v>3179930.92</v>
      </c>
      <c r="H77" s="28">
        <v>9.5</v>
      </c>
      <c r="I77" s="29"/>
      <c r="J77" s="29"/>
      <c r="L77" s="38">
        <f t="shared" si="34"/>
        <v>90774.29</v>
      </c>
      <c r="R77" s="21">
        <f t="shared" si="37"/>
        <v>2011</v>
      </c>
      <c r="S77" s="4">
        <f t="shared" si="38"/>
        <v>90774.29</v>
      </c>
      <c r="T77">
        <f t="shared" si="39"/>
        <v>0</v>
      </c>
      <c r="U77">
        <f t="shared" si="32"/>
        <v>43</v>
      </c>
      <c r="V77" s="1" t="str">
        <f t="shared" si="33"/>
        <v>S0</v>
      </c>
      <c r="W77" s="2">
        <f t="shared" si="40"/>
        <v>2111.0299999999997</v>
      </c>
      <c r="X77" s="2">
        <f t="shared" si="41"/>
        <v>0</v>
      </c>
      <c r="Y77" s="18">
        <f t="shared" si="42"/>
        <v>35.249488130562234</v>
      </c>
      <c r="Z77" s="18">
        <f t="shared" si="43"/>
        <v>0</v>
      </c>
      <c r="AA77" s="2">
        <f t="shared" si="44"/>
        <v>74412.72692826079</v>
      </c>
    </row>
    <row r="78" spans="1:27" ht="12.75">
      <c r="A78" s="29">
        <v>2012</v>
      </c>
      <c r="C78" s="35">
        <f t="shared" si="35"/>
        <v>3179930.92</v>
      </c>
      <c r="D78" s="35">
        <v>0</v>
      </c>
      <c r="E78" s="35">
        <v>86817.51</v>
      </c>
      <c r="F78" s="35">
        <v>68871.2</v>
      </c>
      <c r="G78" s="35">
        <f t="shared" si="36"/>
        <v>3197877.2299999995</v>
      </c>
      <c r="H78" s="28">
        <v>8.5</v>
      </c>
      <c r="I78" s="29"/>
      <c r="J78" s="29"/>
      <c r="L78" s="38">
        <f t="shared" si="34"/>
        <v>86817.51</v>
      </c>
      <c r="R78" s="21">
        <f t="shared" si="37"/>
        <v>2012</v>
      </c>
      <c r="S78" s="4">
        <f t="shared" si="38"/>
        <v>86817.51</v>
      </c>
      <c r="T78">
        <f t="shared" si="39"/>
        <v>0</v>
      </c>
      <c r="U78">
        <f t="shared" si="32"/>
        <v>43</v>
      </c>
      <c r="V78" s="1" t="str">
        <f t="shared" si="33"/>
        <v>S0</v>
      </c>
      <c r="W78" s="2">
        <f t="shared" si="40"/>
        <v>2019.0118604651161</v>
      </c>
      <c r="X78" s="2">
        <f t="shared" si="41"/>
        <v>0</v>
      </c>
      <c r="Y78" s="18">
        <f t="shared" si="42"/>
        <v>35.96152393320206</v>
      </c>
      <c r="Z78" s="18">
        <f t="shared" si="43"/>
        <v>0</v>
      </c>
      <c r="AA78" s="2">
        <f t="shared" si="44"/>
        <v>72606.7433415351</v>
      </c>
    </row>
    <row r="79" spans="1:27" ht="12.75">
      <c r="A79" s="29">
        <v>2013</v>
      </c>
      <c r="C79" s="35">
        <f t="shared" si="35"/>
        <v>3197877.2299999995</v>
      </c>
      <c r="D79" s="35">
        <v>0</v>
      </c>
      <c r="E79" s="35">
        <v>115890.21</v>
      </c>
      <c r="F79" s="35">
        <v>78238.54</v>
      </c>
      <c r="G79" s="35">
        <f t="shared" si="36"/>
        <v>3235528.8999999994</v>
      </c>
      <c r="H79" s="28">
        <v>7.5</v>
      </c>
      <c r="I79" s="29"/>
      <c r="J79" s="29"/>
      <c r="L79" s="38">
        <f t="shared" si="34"/>
        <v>115890.21</v>
      </c>
      <c r="R79" s="21">
        <f t="shared" si="37"/>
        <v>2013</v>
      </c>
      <c r="S79" s="4">
        <f t="shared" si="38"/>
        <v>115890.21</v>
      </c>
      <c r="T79">
        <f t="shared" si="39"/>
        <v>0</v>
      </c>
      <c r="U79">
        <f t="shared" si="32"/>
        <v>43</v>
      </c>
      <c r="V79" s="1" t="str">
        <f t="shared" si="33"/>
        <v>S0</v>
      </c>
      <c r="W79" s="2">
        <f t="shared" si="40"/>
        <v>2695.121162790698</v>
      </c>
      <c r="X79" s="2">
        <f t="shared" si="41"/>
        <v>0</v>
      </c>
      <c r="Y79" s="18">
        <f t="shared" si="42"/>
        <v>36.692016571176836</v>
      </c>
      <c r="Z79" s="18">
        <f t="shared" si="43"/>
        <v>0</v>
      </c>
      <c r="AA79" s="2">
        <f t="shared" si="44"/>
        <v>98889.43036644567</v>
      </c>
    </row>
    <row r="80" spans="1:27" ht="12.75">
      <c r="A80" s="29">
        <v>2014</v>
      </c>
      <c r="C80" s="35">
        <f t="shared" si="35"/>
        <v>3235528.8999999994</v>
      </c>
      <c r="D80" s="35">
        <v>0</v>
      </c>
      <c r="E80" s="35">
        <v>117495.87</v>
      </c>
      <c r="F80" s="35">
        <v>19075.19</v>
      </c>
      <c r="G80" s="35">
        <f t="shared" si="36"/>
        <v>3333949.5799999996</v>
      </c>
      <c r="H80" s="28">
        <v>6.5</v>
      </c>
      <c r="I80" s="29"/>
      <c r="J80" s="29"/>
      <c r="L80" s="38">
        <f t="shared" si="34"/>
        <v>117495.87</v>
      </c>
      <c r="R80" s="21">
        <f t="shared" si="37"/>
        <v>2014</v>
      </c>
      <c r="S80" s="4">
        <f t="shared" si="38"/>
        <v>117495.87</v>
      </c>
      <c r="T80">
        <f t="shared" si="39"/>
        <v>0</v>
      </c>
      <c r="U80">
        <f t="shared" si="32"/>
        <v>43</v>
      </c>
      <c r="V80" s="1" t="str">
        <f t="shared" si="33"/>
        <v>S0</v>
      </c>
      <c r="W80" s="2">
        <f t="shared" si="40"/>
        <v>2732.462093023256</v>
      </c>
      <c r="X80" s="2">
        <f t="shared" si="41"/>
        <v>0</v>
      </c>
      <c r="Y80" s="18">
        <f t="shared" si="42"/>
        <v>37.4425727054077</v>
      </c>
      <c r="Z80" s="18">
        <f t="shared" si="43"/>
        <v>0</v>
      </c>
      <c r="AA80" s="2">
        <f t="shared" si="44"/>
        <v>102310.41058279375</v>
      </c>
    </row>
    <row r="81" spans="1:27" ht="12.75">
      <c r="A81" s="29">
        <v>2015</v>
      </c>
      <c r="C81" s="35">
        <f t="shared" si="35"/>
        <v>3333949.5799999996</v>
      </c>
      <c r="D81" s="35">
        <v>0</v>
      </c>
      <c r="E81" s="35">
        <v>128188.9</v>
      </c>
      <c r="F81" s="35">
        <v>31849.94</v>
      </c>
      <c r="G81" s="35">
        <f t="shared" si="36"/>
        <v>3430288.5399999996</v>
      </c>
      <c r="H81" s="28">
        <v>5.5</v>
      </c>
      <c r="I81" s="29"/>
      <c r="J81" s="29"/>
      <c r="L81" s="38">
        <f t="shared" si="34"/>
        <v>128188.9</v>
      </c>
      <c r="R81" s="21">
        <f t="shared" si="37"/>
        <v>2015</v>
      </c>
      <c r="S81" s="4">
        <f t="shared" si="38"/>
        <v>128188.9</v>
      </c>
      <c r="T81">
        <f t="shared" si="39"/>
        <v>0</v>
      </c>
      <c r="U81">
        <f t="shared" si="32"/>
        <v>43</v>
      </c>
      <c r="V81" s="1" t="str">
        <f t="shared" si="33"/>
        <v>S0</v>
      </c>
      <c r="W81" s="2">
        <f t="shared" si="40"/>
        <v>2981.1372093023256</v>
      </c>
      <c r="X81" s="2">
        <f t="shared" si="41"/>
        <v>0</v>
      </c>
      <c r="Y81" s="18">
        <f t="shared" si="42"/>
        <v>38.21507226342426</v>
      </c>
      <c r="Z81" s="18">
        <f t="shared" si="43"/>
        <v>0</v>
      </c>
      <c r="AA81" s="2">
        <f t="shared" si="44"/>
        <v>113924.37388067131</v>
      </c>
    </row>
    <row r="82" spans="1:27" ht="12.75">
      <c r="A82" s="29">
        <v>2016</v>
      </c>
      <c r="C82" s="35">
        <f t="shared" si="35"/>
        <v>3430288.5399999996</v>
      </c>
      <c r="D82" s="35">
        <v>-9105.84</v>
      </c>
      <c r="E82" s="35">
        <v>130015.77</v>
      </c>
      <c r="F82" s="35">
        <v>61009.54</v>
      </c>
      <c r="G82" s="35">
        <f t="shared" si="36"/>
        <v>3490188.9299999997</v>
      </c>
      <c r="H82" s="28">
        <v>4.5</v>
      </c>
      <c r="I82" s="29"/>
      <c r="J82" s="29"/>
      <c r="L82" s="38">
        <f t="shared" si="34"/>
        <v>120909.93000000001</v>
      </c>
      <c r="R82" s="21">
        <f t="shared" si="37"/>
        <v>2016</v>
      </c>
      <c r="S82" s="4">
        <f t="shared" si="38"/>
        <v>130015.77</v>
      </c>
      <c r="T82">
        <f t="shared" si="39"/>
        <v>0</v>
      </c>
      <c r="U82">
        <f t="shared" si="32"/>
        <v>43</v>
      </c>
      <c r="V82" s="1" t="str">
        <f t="shared" si="33"/>
        <v>S0</v>
      </c>
      <c r="W82" s="2">
        <f t="shared" si="40"/>
        <v>3023.622558139535</v>
      </c>
      <c r="X82" s="2">
        <f t="shared" si="41"/>
        <v>0</v>
      </c>
      <c r="Y82" s="18">
        <f t="shared" si="42"/>
        <v>39.011759324662634</v>
      </c>
      <c r="Z82" s="18">
        <f t="shared" si="43"/>
        <v>0</v>
      </c>
      <c r="AA82" s="2">
        <f t="shared" si="44"/>
        <v>117956.8355267603</v>
      </c>
    </row>
    <row r="83" spans="1:27" ht="12.75">
      <c r="A83" s="29">
        <v>2017</v>
      </c>
      <c r="C83" s="35">
        <f t="shared" si="35"/>
        <v>3490188.9299999997</v>
      </c>
      <c r="D83" s="35">
        <v>0</v>
      </c>
      <c r="E83" s="35">
        <v>127268.98</v>
      </c>
      <c r="F83" s="35">
        <v>41962.95</v>
      </c>
      <c r="G83" s="35">
        <f t="shared" si="36"/>
        <v>3575494.9599999995</v>
      </c>
      <c r="H83" s="28">
        <v>3.5</v>
      </c>
      <c r="I83" s="29"/>
      <c r="J83" s="29"/>
      <c r="L83" s="38">
        <f t="shared" si="34"/>
        <v>127268.98</v>
      </c>
      <c r="R83" s="21">
        <f t="shared" si="37"/>
        <v>2017</v>
      </c>
      <c r="S83" s="4">
        <f t="shared" si="38"/>
        <v>127268.98</v>
      </c>
      <c r="T83">
        <f t="shared" si="39"/>
        <v>0</v>
      </c>
      <c r="U83">
        <f t="shared" si="32"/>
        <v>43</v>
      </c>
      <c r="V83" s="1" t="str">
        <f t="shared" si="33"/>
        <v>S0</v>
      </c>
      <c r="W83" s="2">
        <f t="shared" si="40"/>
        <v>2959.7437209302325</v>
      </c>
      <c r="X83" s="2">
        <f t="shared" si="41"/>
        <v>0</v>
      </c>
      <c r="Y83" s="18">
        <f t="shared" si="42"/>
        <v>39.8353893580113</v>
      </c>
      <c r="Z83" s="18">
        <f t="shared" si="43"/>
        <v>0</v>
      </c>
      <c r="AA83" s="2">
        <f t="shared" si="44"/>
        <v>117902.54352318494</v>
      </c>
    </row>
    <row r="84" spans="1:27" ht="12.75">
      <c r="A84" s="29">
        <v>2018</v>
      </c>
      <c r="C84" s="35">
        <f t="shared" si="35"/>
        <v>3575494.9599999995</v>
      </c>
      <c r="D84" s="35">
        <v>0</v>
      </c>
      <c r="E84" s="35">
        <v>101336.85</v>
      </c>
      <c r="F84" s="35">
        <v>38547.03</v>
      </c>
      <c r="G84" s="35">
        <f t="shared" si="36"/>
        <v>3638284.78</v>
      </c>
      <c r="H84" s="28">
        <v>2.5</v>
      </c>
      <c r="I84" s="29"/>
      <c r="J84" s="29"/>
      <c r="L84" s="38">
        <f t="shared" si="34"/>
        <v>101336.85</v>
      </c>
      <c r="R84" s="21">
        <f t="shared" si="37"/>
        <v>2018</v>
      </c>
      <c r="S84" s="4">
        <f t="shared" si="38"/>
        <v>101336.85</v>
      </c>
      <c r="T84">
        <f t="shared" si="39"/>
        <v>0</v>
      </c>
      <c r="U84">
        <f t="shared" si="32"/>
        <v>43</v>
      </c>
      <c r="V84" s="1" t="str">
        <f t="shared" si="33"/>
        <v>S0</v>
      </c>
      <c r="W84" s="2">
        <f t="shared" si="40"/>
        <v>2356.6709302325585</v>
      </c>
      <c r="X84" s="2">
        <f t="shared" si="41"/>
        <v>0</v>
      </c>
      <c r="Y84" s="18">
        <f t="shared" si="42"/>
        <v>40.689494656908956</v>
      </c>
      <c r="Z84" s="18">
        <f t="shared" si="43"/>
        <v>0</v>
      </c>
      <c r="AA84" s="2">
        <f t="shared" si="44"/>
        <v>95891.74922379035</v>
      </c>
    </row>
    <row r="85" spans="1:27" ht="12.75">
      <c r="A85" s="29">
        <v>2019</v>
      </c>
      <c r="C85" s="35">
        <f t="shared" si="35"/>
        <v>3638284.78</v>
      </c>
      <c r="D85" s="35">
        <v>0</v>
      </c>
      <c r="E85" s="35">
        <v>187547.72</v>
      </c>
      <c r="F85" s="35">
        <v>7459.67</v>
      </c>
      <c r="G85" s="35">
        <f t="shared" si="36"/>
        <v>3818372.83</v>
      </c>
      <c r="H85" s="28">
        <v>1.5</v>
      </c>
      <c r="I85" s="29"/>
      <c r="J85" s="29"/>
      <c r="L85" s="38">
        <f t="shared" si="34"/>
        <v>187547.72</v>
      </c>
      <c r="R85" s="21">
        <f t="shared" si="37"/>
        <v>2019</v>
      </c>
      <c r="S85" s="4">
        <f t="shared" si="38"/>
        <v>187547.72</v>
      </c>
      <c r="T85">
        <f t="shared" si="39"/>
        <v>0</v>
      </c>
      <c r="U85">
        <f t="shared" si="32"/>
        <v>43</v>
      </c>
      <c r="V85" s="1" t="str">
        <f t="shared" si="33"/>
        <v>S0</v>
      </c>
      <c r="W85" s="2">
        <f t="shared" si="40"/>
        <v>4361.57488372093</v>
      </c>
      <c r="X85" s="2">
        <f t="shared" si="41"/>
        <v>0</v>
      </c>
      <c r="Y85" s="18">
        <f t="shared" si="42"/>
        <v>41.578952043591656</v>
      </c>
      <c r="Z85" s="18">
        <f t="shared" si="43"/>
        <v>0</v>
      </c>
      <c r="AA85" s="2">
        <f t="shared" si="44"/>
        <v>181349.7129247664</v>
      </c>
    </row>
    <row r="86" spans="1:27" ht="12.75">
      <c r="A86" s="29">
        <v>2020</v>
      </c>
      <c r="C86" s="35">
        <f t="shared" si="35"/>
        <v>3818372.83</v>
      </c>
      <c r="D86" s="35">
        <v>0</v>
      </c>
      <c r="E86" s="35">
        <v>294080.24</v>
      </c>
      <c r="F86" s="35">
        <v>9430.49</v>
      </c>
      <c r="G86" s="35">
        <f t="shared" si="36"/>
        <v>4103022.58</v>
      </c>
      <c r="H86" s="28">
        <v>0.5</v>
      </c>
      <c r="I86" s="29"/>
      <c r="J86" s="29"/>
      <c r="L86" s="38">
        <f t="shared" si="34"/>
        <v>294080.24</v>
      </c>
      <c r="R86" s="21">
        <f t="shared" si="37"/>
        <v>2020</v>
      </c>
      <c r="S86" s="4">
        <f t="shared" si="38"/>
        <v>294080.24</v>
      </c>
      <c r="T86">
        <f t="shared" si="39"/>
        <v>0</v>
      </c>
      <c r="U86">
        <f t="shared" si="32"/>
        <v>43</v>
      </c>
      <c r="V86" s="1" t="str">
        <f t="shared" si="33"/>
        <v>S0</v>
      </c>
      <c r="W86" s="2">
        <f t="shared" si="40"/>
        <v>6839.075348837209</v>
      </c>
      <c r="X86" s="2">
        <f t="shared" si="41"/>
        <v>0</v>
      </c>
      <c r="Y86" s="18">
        <f t="shared" si="42"/>
        <v>42.511684522676646</v>
      </c>
      <c r="Z86" s="18">
        <f t="shared" si="43"/>
        <v>0</v>
      </c>
      <c r="AA86" s="2">
        <f t="shared" si="44"/>
        <v>290740.6136565822</v>
      </c>
    </row>
    <row r="87" spans="3:27" ht="12.75">
      <c r="C87" s="8"/>
      <c r="D87" s="8"/>
      <c r="E87" s="8"/>
      <c r="F87" s="8"/>
      <c r="G87" s="8"/>
      <c r="W87" s="2"/>
      <c r="X87" s="2"/>
      <c r="AA87" s="2"/>
    </row>
    <row r="88" spans="7:27" ht="12.75">
      <c r="G88" s="4">
        <f>SUM(G82:G87)/5</f>
        <v>3725072.8159999996</v>
      </c>
      <c r="I88" s="8"/>
      <c r="S88" s="4">
        <f>SUM(S6:S87)</f>
        <v>4665787.55</v>
      </c>
      <c r="T88" s="4">
        <f>SUM(T6:T87)</f>
        <v>296457</v>
      </c>
      <c r="W88" s="2">
        <f>SUM(W6:W87)</f>
        <v>108506.68720930234</v>
      </c>
      <c r="X88" s="2">
        <f>SUM(X6:X87)</f>
        <v>6894.3488372093025</v>
      </c>
      <c r="Y88" s="19">
        <f>AA88/W88</f>
        <v>29.73865298289729</v>
      </c>
      <c r="Z88" s="18"/>
      <c r="AA88" s="2">
        <f>SUM(AA6:AA87)</f>
        <v>3226842.717241222</v>
      </c>
    </row>
    <row r="90" spans="2:27" ht="12.75">
      <c r="B90" t="s">
        <v>7</v>
      </c>
      <c r="D90" s="4"/>
      <c r="G90" s="10"/>
      <c r="W90" t="s">
        <v>35</v>
      </c>
      <c r="AA90" s="15">
        <f>AA88/(W88+X88)</f>
        <v>27.96199087797326</v>
      </c>
    </row>
    <row r="92" spans="2:7" ht="12.75">
      <c r="B92" t="s">
        <v>8</v>
      </c>
      <c r="D92" s="8"/>
      <c r="G92" s="10"/>
    </row>
    <row r="93" spans="20:22" ht="12.75">
      <c r="T93" s="20" t="s">
        <v>26</v>
      </c>
      <c r="V93" s="32" t="s">
        <v>12</v>
      </c>
    </row>
    <row r="94" spans="2:22" ht="12.75">
      <c r="B94" t="s">
        <v>9</v>
      </c>
      <c r="G94">
        <v>0.03</v>
      </c>
      <c r="T94" s="20" t="s">
        <v>11</v>
      </c>
      <c r="V94">
        <v>43</v>
      </c>
    </row>
    <row r="96" ht="12.75">
      <c r="B96" t="s">
        <v>10</v>
      </c>
    </row>
    <row r="98" spans="3:11" ht="12.75">
      <c r="C98" s="24"/>
      <c r="D98" s="23"/>
      <c r="E98" s="23"/>
      <c r="F98" s="23"/>
      <c r="G98" s="23"/>
      <c r="H98" s="23"/>
      <c r="I98" s="23"/>
      <c r="J98" s="23"/>
      <c r="K98" s="16"/>
    </row>
    <row r="99" spans="3:11" ht="12.75">
      <c r="C99" s="24"/>
      <c r="D99" s="43"/>
      <c r="E99" s="23"/>
      <c r="F99" s="23"/>
      <c r="G99" s="23"/>
      <c r="H99" s="23"/>
      <c r="I99" s="23"/>
      <c r="J99" s="23"/>
      <c r="K99" s="16"/>
    </row>
    <row r="100" spans="3:11" ht="12.75">
      <c r="C100" s="24"/>
      <c r="D100" s="24"/>
      <c r="E100" s="24"/>
      <c r="F100" s="42"/>
      <c r="G100" s="42"/>
      <c r="H100" s="44"/>
      <c r="I100" s="44"/>
      <c r="J100" s="44"/>
      <c r="K100" s="25"/>
    </row>
    <row r="101" spans="3:11" ht="12.75">
      <c r="C101" s="24"/>
      <c r="D101" s="24"/>
      <c r="E101" s="24"/>
      <c r="F101" s="42"/>
      <c r="G101" s="42"/>
      <c r="H101" s="44"/>
      <c r="I101" s="44"/>
      <c r="J101" s="44"/>
      <c r="K101" s="25"/>
    </row>
    <row r="102" spans="3:11" ht="12.75">
      <c r="C102" s="24"/>
      <c r="D102" s="24"/>
      <c r="E102" s="24"/>
      <c r="F102" s="42"/>
      <c r="G102" s="42"/>
      <c r="H102" s="44"/>
      <c r="I102" s="44"/>
      <c r="J102" s="44"/>
      <c r="K102" s="25"/>
    </row>
    <row r="103" spans="3:11" ht="12.75">
      <c r="C103" s="24"/>
      <c r="D103" s="24"/>
      <c r="E103" s="24"/>
      <c r="F103" s="42"/>
      <c r="G103" s="42"/>
      <c r="H103" s="44"/>
      <c r="I103" s="44"/>
      <c r="J103" s="44"/>
      <c r="K103" s="25"/>
    </row>
    <row r="104" spans="3:11" ht="12.75">
      <c r="C104" s="24"/>
      <c r="D104" s="24"/>
      <c r="E104" s="24"/>
      <c r="F104" s="42"/>
      <c r="G104" s="42"/>
      <c r="H104" s="44"/>
      <c r="I104" s="44"/>
      <c r="J104" s="44"/>
      <c r="K104" s="25"/>
    </row>
    <row r="105" spans="3:11" ht="12.75">
      <c r="C105" s="24"/>
      <c r="D105" s="24"/>
      <c r="E105" s="24"/>
      <c r="F105" s="42"/>
      <c r="G105" s="42"/>
      <c r="H105" s="44"/>
      <c r="I105" s="44"/>
      <c r="J105" s="44"/>
      <c r="K105" s="25"/>
    </row>
    <row r="106" spans="3:11" ht="12.75">
      <c r="C106" s="24"/>
      <c r="D106" s="24"/>
      <c r="E106" s="24"/>
      <c r="F106" s="42"/>
      <c r="G106" s="42"/>
      <c r="H106" s="44"/>
      <c r="I106" s="44"/>
      <c r="J106" s="44"/>
      <c r="K106" s="25"/>
    </row>
    <row r="107" spans="3:11" ht="12.75">
      <c r="C107" s="24"/>
      <c r="D107" s="24"/>
      <c r="E107" s="24"/>
      <c r="F107" s="42"/>
      <c r="G107" s="42"/>
      <c r="H107" s="44"/>
      <c r="I107" s="44"/>
      <c r="J107" s="44"/>
      <c r="K107" s="25"/>
    </row>
    <row r="108" spans="3:11" ht="12.75">
      <c r="C108" s="24"/>
      <c r="D108" s="24"/>
      <c r="E108" s="24"/>
      <c r="F108" s="42"/>
      <c r="G108" s="42"/>
      <c r="H108" s="44"/>
      <c r="I108" s="44"/>
      <c r="J108" s="44"/>
      <c r="K108" s="25"/>
    </row>
    <row r="109" spans="3:11" ht="12.75">
      <c r="C109" s="24"/>
      <c r="D109" s="24"/>
      <c r="E109" s="24"/>
      <c r="F109" s="42"/>
      <c r="G109" s="42"/>
      <c r="H109" s="44"/>
      <c r="I109" s="44"/>
      <c r="J109" s="44"/>
      <c r="K109" s="25"/>
    </row>
    <row r="110" spans="3:11" ht="12.75">
      <c r="C110" s="24"/>
      <c r="D110" s="24"/>
      <c r="E110" s="24"/>
      <c r="F110" s="42"/>
      <c r="G110" s="42"/>
      <c r="H110" s="44"/>
      <c r="I110" s="44"/>
      <c r="J110" s="44"/>
      <c r="K110" s="25"/>
    </row>
    <row r="111" spans="3:11" ht="12.75">
      <c r="C111" s="24"/>
      <c r="D111" s="24"/>
      <c r="E111" s="24"/>
      <c r="F111" s="42"/>
      <c r="G111" s="42"/>
      <c r="H111" s="44"/>
      <c r="I111" s="44"/>
      <c r="J111" s="44"/>
      <c r="K111" s="25"/>
    </row>
    <row r="112" spans="3:11" ht="12.75">
      <c r="C112" s="24"/>
      <c r="D112" s="24"/>
      <c r="E112" s="24"/>
      <c r="F112" s="42"/>
      <c r="G112" s="42"/>
      <c r="H112" s="44"/>
      <c r="I112" s="44"/>
      <c r="J112" s="44"/>
      <c r="K112" s="25"/>
    </row>
    <row r="113" spans="3:11" ht="12.75">
      <c r="C113" s="24"/>
      <c r="D113" s="24"/>
      <c r="E113" s="24"/>
      <c r="F113" s="42"/>
      <c r="G113" s="42"/>
      <c r="H113" s="44"/>
      <c r="I113" s="44"/>
      <c r="J113" s="44"/>
      <c r="K113" s="25"/>
    </row>
    <row r="114" spans="3:11" ht="12.75">
      <c r="C114" s="24"/>
      <c r="D114" s="24"/>
      <c r="E114" s="24"/>
      <c r="F114" s="42"/>
      <c r="G114" s="42"/>
      <c r="H114" s="44"/>
      <c r="I114" s="44"/>
      <c r="J114" s="44"/>
      <c r="K114" s="25"/>
    </row>
    <row r="115" spans="3:11" ht="12.75">
      <c r="C115" s="24"/>
      <c r="D115" s="24"/>
      <c r="E115" s="24"/>
      <c r="F115" s="42"/>
      <c r="G115" s="42"/>
      <c r="H115" s="44"/>
      <c r="I115" s="44"/>
      <c r="J115" s="44"/>
      <c r="K115" s="25"/>
    </row>
    <row r="116" spans="3:11" ht="12.75">
      <c r="C116" s="24"/>
      <c r="D116" s="24"/>
      <c r="E116" s="24"/>
      <c r="F116" s="42"/>
      <c r="G116" s="42"/>
      <c r="H116" s="44"/>
      <c r="I116" s="44"/>
      <c r="J116" s="44"/>
      <c r="K116" s="25"/>
    </row>
    <row r="117" spans="3:11" ht="12.75">
      <c r="C117" s="24"/>
      <c r="D117" s="24"/>
      <c r="E117" s="24"/>
      <c r="F117" s="42"/>
      <c r="G117" s="42"/>
      <c r="H117" s="44"/>
      <c r="I117" s="44"/>
      <c r="J117" s="44"/>
      <c r="K117" s="25"/>
    </row>
    <row r="118" spans="3:11" ht="12.75">
      <c r="C118" s="24"/>
      <c r="D118" s="24"/>
      <c r="E118" s="24"/>
      <c r="F118" s="42"/>
      <c r="G118" s="42"/>
      <c r="H118" s="44"/>
      <c r="I118" s="44"/>
      <c r="J118" s="44"/>
      <c r="K118" s="25"/>
    </row>
    <row r="119" spans="3:11" ht="12.75">
      <c r="C119" s="24"/>
      <c r="D119" s="24"/>
      <c r="E119" s="24"/>
      <c r="F119" s="42"/>
      <c r="G119" s="42"/>
      <c r="H119" s="44"/>
      <c r="I119" s="44"/>
      <c r="J119" s="44"/>
      <c r="K119" s="25"/>
    </row>
    <row r="120" spans="3:11" ht="12.75">
      <c r="C120" s="24"/>
      <c r="D120" s="24"/>
      <c r="E120" s="24"/>
      <c r="F120" s="42"/>
      <c r="G120" s="42"/>
      <c r="H120" s="44"/>
      <c r="I120" s="44"/>
      <c r="J120" s="44"/>
      <c r="K120" s="25"/>
    </row>
    <row r="121" spans="3:11" ht="12.75">
      <c r="C121" s="24"/>
      <c r="D121" s="24"/>
      <c r="E121" s="24"/>
      <c r="F121" s="42"/>
      <c r="G121" s="42"/>
      <c r="H121" s="44"/>
      <c r="I121" s="44"/>
      <c r="J121" s="44"/>
      <c r="K121" s="25"/>
    </row>
    <row r="123" spans="4:5" ht="12.75">
      <c r="D123" s="33" t="s">
        <v>36</v>
      </c>
      <c r="E123" s="34">
        <v>40270</v>
      </c>
    </row>
  </sheetData>
  <sheetProtection/>
  <printOptions/>
  <pageMargins left="0.75" right="0.75" top="1.44" bottom="1" header="0.5" footer="0.5"/>
  <pageSetup horizontalDpi="600" verticalDpi="600" orientation="portrait" scale="80" r:id="rId1"/>
  <headerFooter alignWithMargins="0">
    <oddHeader>&amp;C&amp;"Arial,Bold"&amp;12Delta Natural Gas Company
Account Investment Summary
382 -- Meter &amp; Regulator Installation</oddHeader>
  </headerFooter>
  <rowBreaks count="1" manualBreakCount="1">
    <brk id="97" max="255" man="1"/>
  </rowBreaks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tabColor rgb="FF00B050"/>
  </sheetPr>
  <dimension ref="A1:AA124"/>
  <sheetViews>
    <sheetView zoomScalePageLayoutView="0" workbookViewId="0" topLeftCell="A81">
      <selection activeCell="C98" sqref="C98:J121"/>
    </sheetView>
  </sheetViews>
  <sheetFormatPr defaultColWidth="9.140625" defaultRowHeight="12.75"/>
  <cols>
    <col min="3" max="6" width="13.421875" style="0" customWidth="1"/>
    <col min="7" max="7" width="22.140625" style="0" customWidth="1"/>
    <col min="9" max="9" width="12.8515625" style="0" bestFit="1" customWidth="1"/>
    <col min="12" max="12" width="12.7109375" style="0" customWidth="1"/>
    <col min="19" max="19" width="12.421875" style="0" customWidth="1"/>
    <col min="22" max="27" width="15.7109375" style="0" customWidth="1"/>
  </cols>
  <sheetData>
    <row r="1" ht="12.75">
      <c r="R1" s="22"/>
    </row>
    <row r="2" spans="3:27" ht="12.75">
      <c r="C2" s="3" t="s">
        <v>0</v>
      </c>
      <c r="D2" s="3"/>
      <c r="E2" s="3"/>
      <c r="F2" s="3"/>
      <c r="G2" s="3" t="s">
        <v>0</v>
      </c>
      <c r="I2" s="3" t="s">
        <v>2</v>
      </c>
      <c r="V2" s="3" t="s">
        <v>30</v>
      </c>
      <c r="W2" s="16" t="s">
        <v>32</v>
      </c>
      <c r="X2" s="16" t="s">
        <v>32</v>
      </c>
      <c r="Y2" s="16" t="s">
        <v>33</v>
      </c>
      <c r="Z2" s="16" t="s">
        <v>33</v>
      </c>
      <c r="AA2" s="3" t="s">
        <v>34</v>
      </c>
    </row>
    <row r="3" spans="1:27" ht="13.5" thickBot="1">
      <c r="A3" s="14" t="s">
        <v>5</v>
      </c>
      <c r="B3" s="12"/>
      <c r="C3" s="13" t="s">
        <v>1</v>
      </c>
      <c r="D3" s="13" t="s">
        <v>2</v>
      </c>
      <c r="E3" s="13" t="s">
        <v>3</v>
      </c>
      <c r="F3" s="13" t="s">
        <v>4</v>
      </c>
      <c r="G3" s="13" t="s">
        <v>1</v>
      </c>
      <c r="H3" s="12"/>
      <c r="I3" s="13" t="s">
        <v>21</v>
      </c>
      <c r="J3" s="13" t="s">
        <v>22</v>
      </c>
      <c r="R3" s="14" t="s">
        <v>6</v>
      </c>
      <c r="S3" s="17" t="s">
        <v>3</v>
      </c>
      <c r="T3" s="13" t="s">
        <v>27</v>
      </c>
      <c r="U3" s="17" t="s">
        <v>11</v>
      </c>
      <c r="V3" s="17" t="s">
        <v>31</v>
      </c>
      <c r="W3" s="17" t="s">
        <v>28</v>
      </c>
      <c r="X3" s="17" t="s">
        <v>29</v>
      </c>
      <c r="Y3" s="17" t="s">
        <v>28</v>
      </c>
      <c r="Z3" s="17" t="s">
        <v>29</v>
      </c>
      <c r="AA3" s="17" t="s">
        <v>25</v>
      </c>
    </row>
    <row r="4" spans="3:7" ht="12.75">
      <c r="C4" s="1"/>
      <c r="D4" s="1"/>
      <c r="E4" s="1"/>
      <c r="F4" s="1"/>
      <c r="G4" s="1"/>
    </row>
    <row r="5" spans="3:7" ht="12.75">
      <c r="C5" s="1"/>
      <c r="D5" s="1"/>
      <c r="E5" s="1"/>
      <c r="F5" s="1"/>
      <c r="G5" s="1"/>
    </row>
    <row r="6" spans="1:27" ht="12.75">
      <c r="A6">
        <v>1940</v>
      </c>
      <c r="C6" s="35">
        <v>0</v>
      </c>
      <c r="D6" s="35">
        <v>0</v>
      </c>
      <c r="E6" s="35">
        <v>563</v>
      </c>
      <c r="F6" s="35">
        <v>0</v>
      </c>
      <c r="G6" s="35">
        <f aca="true" t="shared" si="0" ref="G6:G51">C6+D6+E6-F6</f>
        <v>563</v>
      </c>
      <c r="H6" s="28">
        <v>80.5</v>
      </c>
      <c r="I6" s="29">
        <v>0</v>
      </c>
      <c r="J6" s="29">
        <f aca="true" t="shared" si="1" ref="J6:J51">IF(I6=0,0,ROUND((I6/D6/$G$94)+H6,1))</f>
        <v>0</v>
      </c>
      <c r="L6" s="38">
        <f>D6+E6</f>
        <v>563</v>
      </c>
      <c r="R6" s="21">
        <f>A6</f>
        <v>1940</v>
      </c>
      <c r="S6" s="4">
        <f aca="true" t="shared" si="2" ref="S6:S37">E6</f>
        <v>563</v>
      </c>
      <c r="T6">
        <f aca="true" t="shared" si="3" ref="T6:T37">IF(D6&gt;0,IF(J6&gt;0,D6,0),0)</f>
        <v>0</v>
      </c>
      <c r="U6">
        <f aca="true" t="shared" si="4" ref="U6:U37">$V$94</f>
        <v>43</v>
      </c>
      <c r="V6" s="1" t="str">
        <f aca="true" t="shared" si="5" ref="V6:V37">$V$93</f>
        <v>S3</v>
      </c>
      <c r="W6" s="2">
        <f aca="true" t="shared" si="6" ref="W6:W37">S6/U6</f>
        <v>13.093023255813954</v>
      </c>
      <c r="X6" s="2">
        <f>T6/U6</f>
        <v>0</v>
      </c>
      <c r="Y6" s="18">
        <f aca="true" t="shared" si="7" ref="Y6:Y37">Prob_life(V6,H6,U6)</f>
        <v>1.0749543267602233</v>
      </c>
      <c r="Z6" s="18">
        <f aca="true" t="shared" si="8" ref="Z6:Z37">IF(J6&gt;0,Prob_life(V6,J6+0.5,U6),0)</f>
        <v>0</v>
      </c>
      <c r="AA6" s="2">
        <f>W6*Y6+X6*Z6</f>
        <v>14.074401999209435</v>
      </c>
    </row>
    <row r="7" spans="1:27" ht="12.75">
      <c r="A7">
        <v>1941</v>
      </c>
      <c r="C7" s="35">
        <f aca="true" t="shared" si="9" ref="C7:C51">G6</f>
        <v>563</v>
      </c>
      <c r="D7" s="35">
        <v>0</v>
      </c>
      <c r="E7" s="35">
        <v>0</v>
      </c>
      <c r="F7" s="35">
        <v>0</v>
      </c>
      <c r="G7" s="35">
        <f t="shared" si="0"/>
        <v>563</v>
      </c>
      <c r="H7" s="28">
        <v>79.5</v>
      </c>
      <c r="I7" s="29">
        <v>0</v>
      </c>
      <c r="J7" s="29">
        <f t="shared" si="1"/>
        <v>0</v>
      </c>
      <c r="L7" s="38">
        <f aca="true" t="shared" si="10" ref="L7:L70">D7+E7</f>
        <v>0</v>
      </c>
      <c r="R7" s="21">
        <f aca="true" t="shared" si="11" ref="R7:R68">A7</f>
        <v>1941</v>
      </c>
      <c r="S7" s="4">
        <f t="shared" si="2"/>
        <v>0</v>
      </c>
      <c r="T7">
        <f t="shared" si="3"/>
        <v>0</v>
      </c>
      <c r="U7">
        <f t="shared" si="4"/>
        <v>43</v>
      </c>
      <c r="V7" s="1" t="str">
        <f t="shared" si="5"/>
        <v>S3</v>
      </c>
      <c r="W7" s="2">
        <f t="shared" si="6"/>
        <v>0</v>
      </c>
      <c r="X7" s="2">
        <f aca="true" t="shared" si="12" ref="X7:X68">T7/U7</f>
        <v>0</v>
      </c>
      <c r="Y7" s="18">
        <f t="shared" si="7"/>
        <v>0.9947098449361087</v>
      </c>
      <c r="Z7" s="18">
        <f t="shared" si="8"/>
        <v>0</v>
      </c>
      <c r="AA7" s="2">
        <f aca="true" t="shared" si="13" ref="AA7:AA68">W7*Y7+X7*Z7</f>
        <v>0</v>
      </c>
    </row>
    <row r="8" spans="1:27" ht="12.75">
      <c r="A8">
        <v>1942</v>
      </c>
      <c r="C8" s="35">
        <f t="shared" si="9"/>
        <v>563</v>
      </c>
      <c r="D8" s="35">
        <v>0</v>
      </c>
      <c r="E8" s="35">
        <v>0</v>
      </c>
      <c r="F8" s="35">
        <v>0</v>
      </c>
      <c r="G8" s="35">
        <f t="shared" si="0"/>
        <v>563</v>
      </c>
      <c r="H8" s="28">
        <v>78.5</v>
      </c>
      <c r="I8" s="29">
        <v>0</v>
      </c>
      <c r="J8" s="29">
        <f t="shared" si="1"/>
        <v>0</v>
      </c>
      <c r="L8" s="38">
        <f t="shared" si="10"/>
        <v>0</v>
      </c>
      <c r="R8" s="21">
        <f t="shared" si="11"/>
        <v>1942</v>
      </c>
      <c r="S8" s="4">
        <f t="shared" si="2"/>
        <v>0</v>
      </c>
      <c r="T8">
        <f t="shared" si="3"/>
        <v>0</v>
      </c>
      <c r="U8">
        <f t="shared" si="4"/>
        <v>43</v>
      </c>
      <c r="V8" s="1" t="str">
        <f t="shared" si="5"/>
        <v>S3</v>
      </c>
      <c r="W8" s="2">
        <f t="shared" si="6"/>
        <v>0</v>
      </c>
      <c r="X8" s="2">
        <f t="shared" si="12"/>
        <v>0</v>
      </c>
      <c r="Y8" s="18">
        <f t="shared" si="7"/>
        <v>1.0334482826624434</v>
      </c>
      <c r="Z8" s="18">
        <f t="shared" si="8"/>
        <v>0</v>
      </c>
      <c r="AA8" s="2">
        <f t="shared" si="13"/>
        <v>0</v>
      </c>
    </row>
    <row r="9" spans="1:27" ht="12.75">
      <c r="A9">
        <v>1943</v>
      </c>
      <c r="C9" s="35">
        <f t="shared" si="9"/>
        <v>563</v>
      </c>
      <c r="D9" s="35">
        <v>0</v>
      </c>
      <c r="E9" s="35">
        <v>0</v>
      </c>
      <c r="F9" s="35">
        <v>0</v>
      </c>
      <c r="G9" s="35">
        <f t="shared" si="0"/>
        <v>563</v>
      </c>
      <c r="H9" s="28">
        <v>77.5</v>
      </c>
      <c r="I9" s="29">
        <v>0</v>
      </c>
      <c r="J9" s="29">
        <f t="shared" si="1"/>
        <v>0</v>
      </c>
      <c r="L9" s="38">
        <f t="shared" si="10"/>
        <v>0</v>
      </c>
      <c r="R9" s="21">
        <f t="shared" si="11"/>
        <v>1943</v>
      </c>
      <c r="S9" s="4">
        <f t="shared" si="2"/>
        <v>0</v>
      </c>
      <c r="T9">
        <f t="shared" si="3"/>
        <v>0</v>
      </c>
      <c r="U9">
        <f t="shared" si="4"/>
        <v>43</v>
      </c>
      <c r="V9" s="1" t="str">
        <f t="shared" si="5"/>
        <v>S3</v>
      </c>
      <c r="W9" s="2">
        <f t="shared" si="6"/>
        <v>0</v>
      </c>
      <c r="X9" s="2">
        <f t="shared" si="12"/>
        <v>0</v>
      </c>
      <c r="Y9" s="18">
        <f t="shared" si="7"/>
        <v>1.1209101254833762</v>
      </c>
      <c r="Z9" s="18">
        <f t="shared" si="8"/>
        <v>0</v>
      </c>
      <c r="AA9" s="2">
        <f t="shared" si="13"/>
        <v>0</v>
      </c>
    </row>
    <row r="10" spans="1:27" ht="12.75">
      <c r="A10">
        <v>1944</v>
      </c>
      <c r="C10" s="35">
        <f t="shared" si="9"/>
        <v>563</v>
      </c>
      <c r="D10" s="35">
        <v>0</v>
      </c>
      <c r="E10" s="35">
        <v>0</v>
      </c>
      <c r="F10" s="35">
        <v>0</v>
      </c>
      <c r="G10" s="35">
        <f t="shared" si="0"/>
        <v>563</v>
      </c>
      <c r="H10" s="28">
        <v>76.5</v>
      </c>
      <c r="I10" s="29">
        <v>0</v>
      </c>
      <c r="J10" s="29">
        <f t="shared" si="1"/>
        <v>0</v>
      </c>
      <c r="L10" s="38">
        <f t="shared" si="10"/>
        <v>0</v>
      </c>
      <c r="R10" s="21">
        <f t="shared" si="11"/>
        <v>1944</v>
      </c>
      <c r="S10" s="4">
        <f t="shared" si="2"/>
        <v>0</v>
      </c>
      <c r="T10">
        <f t="shared" si="3"/>
        <v>0</v>
      </c>
      <c r="U10">
        <f t="shared" si="4"/>
        <v>43</v>
      </c>
      <c r="V10" s="1" t="str">
        <f t="shared" si="5"/>
        <v>S3</v>
      </c>
      <c r="W10" s="2">
        <f t="shared" si="6"/>
        <v>0</v>
      </c>
      <c r="X10" s="2">
        <f t="shared" si="12"/>
        <v>0</v>
      </c>
      <c r="Y10" s="18">
        <f t="shared" si="7"/>
        <v>1.2297083425069906</v>
      </c>
      <c r="Z10" s="18">
        <f t="shared" si="8"/>
        <v>0</v>
      </c>
      <c r="AA10" s="2">
        <f t="shared" si="13"/>
        <v>0</v>
      </c>
    </row>
    <row r="11" spans="1:27" ht="12.75">
      <c r="A11">
        <v>1945</v>
      </c>
      <c r="C11" s="35">
        <f t="shared" si="9"/>
        <v>563</v>
      </c>
      <c r="D11" s="35">
        <v>0</v>
      </c>
      <c r="E11" s="35">
        <v>0</v>
      </c>
      <c r="F11" s="35">
        <v>0</v>
      </c>
      <c r="G11" s="35">
        <f t="shared" si="0"/>
        <v>563</v>
      </c>
      <c r="H11" s="28">
        <v>75.5</v>
      </c>
      <c r="I11" s="29">
        <v>0</v>
      </c>
      <c r="J11" s="29">
        <f t="shared" si="1"/>
        <v>0</v>
      </c>
      <c r="L11" s="38">
        <f t="shared" si="10"/>
        <v>0</v>
      </c>
      <c r="R11" s="21">
        <f t="shared" si="11"/>
        <v>1945</v>
      </c>
      <c r="S11" s="4">
        <f t="shared" si="2"/>
        <v>0</v>
      </c>
      <c r="T11">
        <f t="shared" si="3"/>
        <v>0</v>
      </c>
      <c r="U11">
        <f t="shared" si="4"/>
        <v>43</v>
      </c>
      <c r="V11" s="1" t="str">
        <f t="shared" si="5"/>
        <v>S3</v>
      </c>
      <c r="W11" s="2">
        <f t="shared" si="6"/>
        <v>0</v>
      </c>
      <c r="X11" s="2">
        <f t="shared" si="12"/>
        <v>0</v>
      </c>
      <c r="Y11" s="18">
        <f t="shared" si="7"/>
        <v>1.3495792555074364</v>
      </c>
      <c r="Z11" s="18">
        <f t="shared" si="8"/>
        <v>0</v>
      </c>
      <c r="AA11" s="2">
        <f t="shared" si="13"/>
        <v>0</v>
      </c>
    </row>
    <row r="12" spans="1:27" ht="12.75">
      <c r="A12">
        <v>1946</v>
      </c>
      <c r="C12" s="35">
        <f t="shared" si="9"/>
        <v>563</v>
      </c>
      <c r="D12" s="35">
        <v>0</v>
      </c>
      <c r="E12" s="35">
        <v>0</v>
      </c>
      <c r="F12" s="35">
        <v>0</v>
      </c>
      <c r="G12" s="35">
        <f t="shared" si="0"/>
        <v>563</v>
      </c>
      <c r="H12" s="28">
        <v>74.5</v>
      </c>
      <c r="I12" s="29">
        <v>0</v>
      </c>
      <c r="J12" s="29">
        <f t="shared" si="1"/>
        <v>0</v>
      </c>
      <c r="L12" s="38">
        <f t="shared" si="10"/>
        <v>0</v>
      </c>
      <c r="R12" s="21">
        <f t="shared" si="11"/>
        <v>1946</v>
      </c>
      <c r="S12" s="4">
        <f t="shared" si="2"/>
        <v>0</v>
      </c>
      <c r="T12">
        <f t="shared" si="3"/>
        <v>0</v>
      </c>
      <c r="U12">
        <f t="shared" si="4"/>
        <v>43</v>
      </c>
      <c r="V12" s="1" t="str">
        <f t="shared" si="5"/>
        <v>S3</v>
      </c>
      <c r="W12" s="2">
        <f t="shared" si="6"/>
        <v>0</v>
      </c>
      <c r="X12" s="2">
        <f t="shared" si="12"/>
        <v>0</v>
      </c>
      <c r="Y12" s="18">
        <f t="shared" si="7"/>
        <v>1.476417646011527</v>
      </c>
      <c r="Z12" s="18">
        <f t="shared" si="8"/>
        <v>0</v>
      </c>
      <c r="AA12" s="2">
        <f t="shared" si="13"/>
        <v>0</v>
      </c>
    </row>
    <row r="13" spans="1:27" ht="12.75">
      <c r="A13">
        <v>1947</v>
      </c>
      <c r="C13" s="35">
        <f t="shared" si="9"/>
        <v>563</v>
      </c>
      <c r="D13" s="35">
        <v>0</v>
      </c>
      <c r="E13" s="35">
        <v>6423</v>
      </c>
      <c r="F13" s="35">
        <v>0</v>
      </c>
      <c r="G13" s="35">
        <f t="shared" si="0"/>
        <v>6986</v>
      </c>
      <c r="H13" s="28">
        <v>73.5</v>
      </c>
      <c r="I13" s="29">
        <v>0</v>
      </c>
      <c r="J13" s="29">
        <f t="shared" si="1"/>
        <v>0</v>
      </c>
      <c r="L13" s="38">
        <f t="shared" si="10"/>
        <v>6423</v>
      </c>
      <c r="R13" s="21">
        <f t="shared" si="11"/>
        <v>1947</v>
      </c>
      <c r="S13" s="4">
        <f t="shared" si="2"/>
        <v>6423</v>
      </c>
      <c r="T13">
        <f t="shared" si="3"/>
        <v>0</v>
      </c>
      <c r="U13">
        <f t="shared" si="4"/>
        <v>43</v>
      </c>
      <c r="V13" s="1" t="str">
        <f t="shared" si="5"/>
        <v>S3</v>
      </c>
      <c r="W13" s="2">
        <f t="shared" si="6"/>
        <v>149.37209302325581</v>
      </c>
      <c r="X13" s="2">
        <f t="shared" si="12"/>
        <v>0</v>
      </c>
      <c r="Y13" s="18">
        <f t="shared" si="7"/>
        <v>1.608466319835731</v>
      </c>
      <c r="Z13" s="18">
        <f t="shared" si="8"/>
        <v>0</v>
      </c>
      <c r="AA13" s="2">
        <f t="shared" si="13"/>
        <v>240.25998075127674</v>
      </c>
    </row>
    <row r="14" spans="1:27" ht="12.75">
      <c r="A14">
        <v>1948</v>
      </c>
      <c r="C14" s="35">
        <f t="shared" si="9"/>
        <v>6986</v>
      </c>
      <c r="D14" s="35">
        <v>0</v>
      </c>
      <c r="E14" s="35">
        <v>560</v>
      </c>
      <c r="F14" s="35">
        <v>0</v>
      </c>
      <c r="G14" s="35">
        <f t="shared" si="0"/>
        <v>7546</v>
      </c>
      <c r="H14" s="28">
        <v>72.5</v>
      </c>
      <c r="I14" s="29">
        <v>0</v>
      </c>
      <c r="J14" s="29">
        <f t="shared" si="1"/>
        <v>0</v>
      </c>
      <c r="L14" s="38">
        <f t="shared" si="10"/>
        <v>560</v>
      </c>
      <c r="R14" s="21">
        <f t="shared" si="11"/>
        <v>1948</v>
      </c>
      <c r="S14" s="4">
        <f t="shared" si="2"/>
        <v>560</v>
      </c>
      <c r="T14">
        <f t="shared" si="3"/>
        <v>0</v>
      </c>
      <c r="U14">
        <f t="shared" si="4"/>
        <v>43</v>
      </c>
      <c r="V14" s="1" t="str">
        <f t="shared" si="5"/>
        <v>S3</v>
      </c>
      <c r="W14" s="2">
        <f t="shared" si="6"/>
        <v>13.023255813953488</v>
      </c>
      <c r="X14" s="2">
        <f t="shared" si="12"/>
        <v>0</v>
      </c>
      <c r="Y14" s="18">
        <f t="shared" si="7"/>
        <v>1.7449439774484383</v>
      </c>
      <c r="Z14" s="18">
        <f t="shared" si="8"/>
        <v>0</v>
      </c>
      <c r="AA14" s="2">
        <f t="shared" si="13"/>
        <v>22.724851799328498</v>
      </c>
    </row>
    <row r="15" spans="1:27" ht="12.75">
      <c r="A15">
        <v>1949</v>
      </c>
      <c r="C15" s="35">
        <f t="shared" si="9"/>
        <v>7546</v>
      </c>
      <c r="D15" s="35">
        <v>0</v>
      </c>
      <c r="E15" s="35">
        <v>508</v>
      </c>
      <c r="F15" s="35">
        <v>0</v>
      </c>
      <c r="G15" s="35">
        <f t="shared" si="0"/>
        <v>8054</v>
      </c>
      <c r="H15" s="28">
        <v>71.5</v>
      </c>
      <c r="I15" s="29">
        <v>0</v>
      </c>
      <c r="J15" s="29">
        <f t="shared" si="1"/>
        <v>0</v>
      </c>
      <c r="L15" s="38">
        <f t="shared" si="10"/>
        <v>508</v>
      </c>
      <c r="R15" s="21">
        <f t="shared" si="11"/>
        <v>1949</v>
      </c>
      <c r="S15" s="4">
        <f t="shared" si="2"/>
        <v>508</v>
      </c>
      <c r="T15">
        <f t="shared" si="3"/>
        <v>0</v>
      </c>
      <c r="U15">
        <f t="shared" si="4"/>
        <v>43</v>
      </c>
      <c r="V15" s="1" t="str">
        <f t="shared" si="5"/>
        <v>S3</v>
      </c>
      <c r="W15" s="2">
        <f t="shared" si="6"/>
        <v>11.813953488372093</v>
      </c>
      <c r="X15" s="2">
        <f t="shared" si="12"/>
        <v>0</v>
      </c>
      <c r="Y15" s="18">
        <f t="shared" si="7"/>
        <v>1.885513142647307</v>
      </c>
      <c r="Z15" s="18">
        <f t="shared" si="8"/>
        <v>0</v>
      </c>
      <c r="AA15" s="2">
        <f t="shared" si="13"/>
        <v>22.27536456894958</v>
      </c>
    </row>
    <row r="16" spans="1:27" ht="12.75">
      <c r="A16">
        <v>1950</v>
      </c>
      <c r="C16" s="35">
        <f t="shared" si="9"/>
        <v>8054</v>
      </c>
      <c r="D16" s="35">
        <v>0</v>
      </c>
      <c r="E16" s="35">
        <v>1192</v>
      </c>
      <c r="F16" s="35">
        <v>0</v>
      </c>
      <c r="G16" s="35">
        <f t="shared" si="0"/>
        <v>9246</v>
      </c>
      <c r="H16" s="28">
        <v>70.5</v>
      </c>
      <c r="I16" s="29">
        <v>0</v>
      </c>
      <c r="J16" s="29">
        <f t="shared" si="1"/>
        <v>0</v>
      </c>
      <c r="L16" s="38">
        <f t="shared" si="10"/>
        <v>1192</v>
      </c>
      <c r="R16" s="21">
        <f t="shared" si="11"/>
        <v>1950</v>
      </c>
      <c r="S16" s="4">
        <f t="shared" si="2"/>
        <v>1192</v>
      </c>
      <c r="T16">
        <f t="shared" si="3"/>
        <v>0</v>
      </c>
      <c r="U16">
        <f t="shared" si="4"/>
        <v>43</v>
      </c>
      <c r="V16" s="1" t="str">
        <f t="shared" si="5"/>
        <v>S3</v>
      </c>
      <c r="W16" s="2">
        <f t="shared" si="6"/>
        <v>27.72093023255814</v>
      </c>
      <c r="X16" s="2">
        <f t="shared" si="12"/>
        <v>0</v>
      </c>
      <c r="Y16" s="18">
        <f t="shared" si="7"/>
        <v>2.0300573888993725</v>
      </c>
      <c r="Z16" s="18">
        <f t="shared" si="8"/>
        <v>0</v>
      </c>
      <c r="AA16" s="2">
        <f t="shared" si="13"/>
        <v>56.27507924576865</v>
      </c>
    </row>
    <row r="17" spans="1:27" ht="12.75">
      <c r="A17">
        <v>1951</v>
      </c>
      <c r="C17" s="35">
        <f t="shared" si="9"/>
        <v>9246</v>
      </c>
      <c r="D17" s="35">
        <v>0</v>
      </c>
      <c r="E17" s="35">
        <v>3347</v>
      </c>
      <c r="F17" s="35">
        <v>0</v>
      </c>
      <c r="G17" s="35">
        <f t="shared" si="0"/>
        <v>12593</v>
      </c>
      <c r="H17" s="28">
        <v>69.5</v>
      </c>
      <c r="I17" s="29">
        <v>0</v>
      </c>
      <c r="J17" s="29">
        <f t="shared" si="1"/>
        <v>0</v>
      </c>
      <c r="L17" s="38">
        <f t="shared" si="10"/>
        <v>3347</v>
      </c>
      <c r="R17" s="21">
        <f t="shared" si="11"/>
        <v>1951</v>
      </c>
      <c r="S17" s="4">
        <f t="shared" si="2"/>
        <v>3347</v>
      </c>
      <c r="T17">
        <f t="shared" si="3"/>
        <v>0</v>
      </c>
      <c r="U17">
        <f t="shared" si="4"/>
        <v>43</v>
      </c>
      <c r="V17" s="1" t="str">
        <f t="shared" si="5"/>
        <v>S3</v>
      </c>
      <c r="W17" s="2">
        <f t="shared" si="6"/>
        <v>77.83720930232558</v>
      </c>
      <c r="X17" s="2">
        <f t="shared" si="12"/>
        <v>0</v>
      </c>
      <c r="Y17" s="18">
        <f t="shared" si="7"/>
        <v>2.1785811972481683</v>
      </c>
      <c r="Z17" s="18">
        <f t="shared" si="8"/>
        <v>0</v>
      </c>
      <c r="AA17" s="2">
        <f t="shared" si="13"/>
        <v>169.57468063231673</v>
      </c>
    </row>
    <row r="18" spans="1:27" ht="12.75">
      <c r="A18">
        <v>1952</v>
      </c>
      <c r="C18" s="35">
        <f t="shared" si="9"/>
        <v>12593</v>
      </c>
      <c r="D18" s="35">
        <v>0</v>
      </c>
      <c r="E18" s="35">
        <v>1274</v>
      </c>
      <c r="F18" s="35">
        <v>0</v>
      </c>
      <c r="G18" s="35">
        <f t="shared" si="0"/>
        <v>13867</v>
      </c>
      <c r="H18" s="28">
        <v>68.5</v>
      </c>
      <c r="I18" s="29">
        <v>0</v>
      </c>
      <c r="J18" s="29">
        <f t="shared" si="1"/>
        <v>0</v>
      </c>
      <c r="L18" s="38">
        <f t="shared" si="10"/>
        <v>1274</v>
      </c>
      <c r="R18" s="21">
        <f t="shared" si="11"/>
        <v>1952</v>
      </c>
      <c r="S18" s="4">
        <f t="shared" si="2"/>
        <v>1274</v>
      </c>
      <c r="T18">
        <f t="shared" si="3"/>
        <v>0</v>
      </c>
      <c r="U18">
        <f t="shared" si="4"/>
        <v>43</v>
      </c>
      <c r="V18" s="1" t="str">
        <f t="shared" si="5"/>
        <v>S3</v>
      </c>
      <c r="W18" s="2">
        <f t="shared" si="6"/>
        <v>29.627906976744185</v>
      </c>
      <c r="X18" s="2">
        <f t="shared" si="12"/>
        <v>0</v>
      </c>
      <c r="Y18" s="18">
        <f t="shared" si="7"/>
        <v>2.33116201502363</v>
      </c>
      <c r="Z18" s="18">
        <f t="shared" si="8"/>
        <v>0</v>
      </c>
      <c r="AA18" s="2">
        <f t="shared" si="13"/>
        <v>69.06745132883964</v>
      </c>
    </row>
    <row r="19" spans="1:27" ht="12.75">
      <c r="A19">
        <v>1953</v>
      </c>
      <c r="C19" s="35">
        <f t="shared" si="9"/>
        <v>13867</v>
      </c>
      <c r="D19" s="35">
        <v>0</v>
      </c>
      <c r="E19" s="35">
        <v>1063</v>
      </c>
      <c r="F19" s="35">
        <v>0</v>
      </c>
      <c r="G19" s="35">
        <f t="shared" si="0"/>
        <v>14930</v>
      </c>
      <c r="H19" s="28">
        <v>67.5</v>
      </c>
      <c r="I19" s="29">
        <v>0</v>
      </c>
      <c r="J19" s="29">
        <f t="shared" si="1"/>
        <v>0</v>
      </c>
      <c r="L19" s="38">
        <f t="shared" si="10"/>
        <v>1063</v>
      </c>
      <c r="R19" s="21">
        <f t="shared" si="11"/>
        <v>1953</v>
      </c>
      <c r="S19" s="4">
        <f t="shared" si="2"/>
        <v>1063</v>
      </c>
      <c r="T19">
        <f t="shared" si="3"/>
        <v>0</v>
      </c>
      <c r="U19">
        <f t="shared" si="4"/>
        <v>43</v>
      </c>
      <c r="V19" s="1" t="str">
        <f t="shared" si="5"/>
        <v>S3</v>
      </c>
      <c r="W19" s="2">
        <f t="shared" si="6"/>
        <v>24.72093023255814</v>
      </c>
      <c r="X19" s="2">
        <f t="shared" si="12"/>
        <v>0</v>
      </c>
      <c r="Y19" s="18">
        <f t="shared" si="7"/>
        <v>2.487926050280407</v>
      </c>
      <c r="Z19" s="18">
        <f t="shared" si="8"/>
        <v>0</v>
      </c>
      <c r="AA19" s="2">
        <f t="shared" si="13"/>
        <v>61.50384631274587</v>
      </c>
    </row>
    <row r="20" spans="1:27" ht="12.75">
      <c r="A20">
        <v>1954</v>
      </c>
      <c r="C20" s="35">
        <f t="shared" si="9"/>
        <v>14930</v>
      </c>
      <c r="D20" s="35">
        <v>0</v>
      </c>
      <c r="E20" s="35">
        <v>1689</v>
      </c>
      <c r="F20" s="35">
        <v>0</v>
      </c>
      <c r="G20" s="35">
        <f t="shared" si="0"/>
        <v>16619</v>
      </c>
      <c r="H20" s="28">
        <v>66.5</v>
      </c>
      <c r="I20" s="29">
        <v>0</v>
      </c>
      <c r="J20" s="29">
        <f t="shared" si="1"/>
        <v>0</v>
      </c>
      <c r="L20" s="38">
        <f t="shared" si="10"/>
        <v>1689</v>
      </c>
      <c r="R20" s="21">
        <f t="shared" si="11"/>
        <v>1954</v>
      </c>
      <c r="S20" s="4">
        <f t="shared" si="2"/>
        <v>1689</v>
      </c>
      <c r="T20">
        <f t="shared" si="3"/>
        <v>0</v>
      </c>
      <c r="U20">
        <f t="shared" si="4"/>
        <v>43</v>
      </c>
      <c r="V20" s="1" t="str">
        <f t="shared" si="5"/>
        <v>S3</v>
      </c>
      <c r="W20" s="2">
        <f t="shared" si="6"/>
        <v>39.27906976744186</v>
      </c>
      <c r="X20" s="2">
        <f t="shared" si="12"/>
        <v>0</v>
      </c>
      <c r="Y20" s="18">
        <f t="shared" si="7"/>
        <v>2.6490355401396464</v>
      </c>
      <c r="Z20" s="18">
        <f t="shared" si="8"/>
        <v>0</v>
      </c>
      <c r="AA20" s="2">
        <f t="shared" si="13"/>
        <v>104.0516517975782</v>
      </c>
    </row>
    <row r="21" spans="1:27" ht="12.75">
      <c r="A21">
        <v>1955</v>
      </c>
      <c r="C21" s="35">
        <f t="shared" si="9"/>
        <v>16619</v>
      </c>
      <c r="D21" s="35">
        <v>0</v>
      </c>
      <c r="E21" s="35">
        <v>4186</v>
      </c>
      <c r="F21" s="35">
        <v>0</v>
      </c>
      <c r="G21" s="35">
        <f t="shared" si="0"/>
        <v>20805</v>
      </c>
      <c r="H21" s="28">
        <v>65.5</v>
      </c>
      <c r="I21" s="29">
        <v>0</v>
      </c>
      <c r="J21" s="29">
        <f t="shared" si="1"/>
        <v>0</v>
      </c>
      <c r="L21" s="38">
        <f t="shared" si="10"/>
        <v>4186</v>
      </c>
      <c r="R21" s="21">
        <f t="shared" si="11"/>
        <v>1955</v>
      </c>
      <c r="S21" s="4">
        <f t="shared" si="2"/>
        <v>4186</v>
      </c>
      <c r="T21">
        <f t="shared" si="3"/>
        <v>0</v>
      </c>
      <c r="U21">
        <f t="shared" si="4"/>
        <v>43</v>
      </c>
      <c r="V21" s="1" t="str">
        <f t="shared" si="5"/>
        <v>S3</v>
      </c>
      <c r="W21" s="2">
        <f t="shared" si="6"/>
        <v>97.34883720930233</v>
      </c>
      <c r="X21" s="2">
        <f t="shared" si="12"/>
        <v>0</v>
      </c>
      <c r="Y21" s="18">
        <f t="shared" si="7"/>
        <v>2.8146818932812727</v>
      </c>
      <c r="Z21" s="18">
        <f t="shared" si="8"/>
        <v>0</v>
      </c>
      <c r="AA21" s="2">
        <f t="shared" si="13"/>
        <v>274.0060094250095</v>
      </c>
    </row>
    <row r="22" spans="1:27" ht="12.75">
      <c r="A22">
        <v>1956</v>
      </c>
      <c r="C22" s="35">
        <f t="shared" si="9"/>
        <v>20805</v>
      </c>
      <c r="D22" s="35">
        <v>0</v>
      </c>
      <c r="E22" s="35">
        <v>8755</v>
      </c>
      <c r="F22" s="35">
        <v>0</v>
      </c>
      <c r="G22" s="35">
        <f t="shared" si="0"/>
        <v>29560</v>
      </c>
      <c r="H22" s="28">
        <v>64.5</v>
      </c>
      <c r="I22" s="29">
        <v>0</v>
      </c>
      <c r="J22" s="29">
        <f t="shared" si="1"/>
        <v>0</v>
      </c>
      <c r="L22" s="38">
        <f t="shared" si="10"/>
        <v>8755</v>
      </c>
      <c r="R22" s="21">
        <f t="shared" si="11"/>
        <v>1956</v>
      </c>
      <c r="S22" s="4">
        <f t="shared" si="2"/>
        <v>8755</v>
      </c>
      <c r="T22">
        <f t="shared" si="3"/>
        <v>0</v>
      </c>
      <c r="U22">
        <f t="shared" si="4"/>
        <v>43</v>
      </c>
      <c r="V22" s="1" t="str">
        <f t="shared" si="5"/>
        <v>S3</v>
      </c>
      <c r="W22" s="2">
        <f t="shared" si="6"/>
        <v>203.6046511627907</v>
      </c>
      <c r="X22" s="2">
        <f t="shared" si="12"/>
        <v>0</v>
      </c>
      <c r="Y22" s="18">
        <f t="shared" si="7"/>
        <v>2.9850820087393446</v>
      </c>
      <c r="Z22" s="18">
        <f t="shared" si="8"/>
        <v>0</v>
      </c>
      <c r="AA22" s="2">
        <f t="shared" si="13"/>
        <v>607.7765810816968</v>
      </c>
    </row>
    <row r="23" spans="1:27" ht="12.75">
      <c r="A23">
        <v>1957</v>
      </c>
      <c r="C23" s="35">
        <f t="shared" si="9"/>
        <v>29560</v>
      </c>
      <c r="D23" s="35">
        <v>0</v>
      </c>
      <c r="E23" s="35">
        <v>6486</v>
      </c>
      <c r="F23" s="35">
        <v>0</v>
      </c>
      <c r="G23" s="35">
        <f t="shared" si="0"/>
        <v>36046</v>
      </c>
      <c r="H23" s="28">
        <v>63.5</v>
      </c>
      <c r="I23" s="29">
        <v>0</v>
      </c>
      <c r="J23" s="29">
        <f t="shared" si="1"/>
        <v>0</v>
      </c>
      <c r="L23" s="38">
        <f t="shared" si="10"/>
        <v>6486</v>
      </c>
      <c r="R23" s="21">
        <f t="shared" si="11"/>
        <v>1957</v>
      </c>
      <c r="S23" s="4">
        <f t="shared" si="2"/>
        <v>6486</v>
      </c>
      <c r="T23">
        <f t="shared" si="3"/>
        <v>0</v>
      </c>
      <c r="U23">
        <f t="shared" si="4"/>
        <v>43</v>
      </c>
      <c r="V23" s="1" t="str">
        <f t="shared" si="5"/>
        <v>S3</v>
      </c>
      <c r="W23" s="2">
        <f t="shared" si="6"/>
        <v>150.8372093023256</v>
      </c>
      <c r="X23" s="2">
        <f t="shared" si="12"/>
        <v>0</v>
      </c>
      <c r="Y23" s="18">
        <f t="shared" si="7"/>
        <v>3.160476405562334</v>
      </c>
      <c r="Z23" s="18">
        <f t="shared" si="8"/>
        <v>0</v>
      </c>
      <c r="AA23" s="2">
        <f t="shared" si="13"/>
        <v>476.71744108086745</v>
      </c>
    </row>
    <row r="24" spans="1:27" ht="12.75">
      <c r="A24">
        <v>1958</v>
      </c>
      <c r="C24" s="35">
        <f t="shared" si="9"/>
        <v>36046</v>
      </c>
      <c r="D24" s="35">
        <v>0</v>
      </c>
      <c r="E24" s="35">
        <v>4537</v>
      </c>
      <c r="F24" s="35">
        <v>0</v>
      </c>
      <c r="G24" s="35">
        <f t="shared" si="0"/>
        <v>40583</v>
      </c>
      <c r="H24" s="28">
        <v>62.5</v>
      </c>
      <c r="I24" s="29">
        <v>0</v>
      </c>
      <c r="J24" s="29">
        <f t="shared" si="1"/>
        <v>0</v>
      </c>
      <c r="L24" s="38">
        <f t="shared" si="10"/>
        <v>4537</v>
      </c>
      <c r="R24" s="21">
        <f t="shared" si="11"/>
        <v>1958</v>
      </c>
      <c r="S24" s="4">
        <f t="shared" si="2"/>
        <v>4537</v>
      </c>
      <c r="T24">
        <f t="shared" si="3"/>
        <v>0</v>
      </c>
      <c r="U24">
        <f t="shared" si="4"/>
        <v>43</v>
      </c>
      <c r="V24" s="1" t="str">
        <f t="shared" si="5"/>
        <v>S3</v>
      </c>
      <c r="W24" s="2">
        <f t="shared" si="6"/>
        <v>105.51162790697674</v>
      </c>
      <c r="X24" s="2">
        <f t="shared" si="12"/>
        <v>0</v>
      </c>
      <c r="Y24" s="18">
        <f t="shared" si="7"/>
        <v>3.341128439943552</v>
      </c>
      <c r="Z24" s="18">
        <f t="shared" si="8"/>
        <v>0</v>
      </c>
      <c r="AA24" s="2">
        <f t="shared" si="13"/>
        <v>352.52790074474177</v>
      </c>
    </row>
    <row r="25" spans="1:27" ht="12.75">
      <c r="A25">
        <v>1959</v>
      </c>
      <c r="C25" s="35">
        <f t="shared" si="9"/>
        <v>40583</v>
      </c>
      <c r="D25" s="35">
        <v>0</v>
      </c>
      <c r="E25" s="35">
        <v>4836</v>
      </c>
      <c r="F25" s="35">
        <v>0</v>
      </c>
      <c r="G25" s="35">
        <f t="shared" si="0"/>
        <v>45419</v>
      </c>
      <c r="H25" s="28">
        <v>61.5</v>
      </c>
      <c r="I25" s="29">
        <v>0</v>
      </c>
      <c r="J25" s="29">
        <f t="shared" si="1"/>
        <v>0</v>
      </c>
      <c r="L25" s="38">
        <f t="shared" si="10"/>
        <v>4836</v>
      </c>
      <c r="R25" s="21">
        <f t="shared" si="11"/>
        <v>1959</v>
      </c>
      <c r="S25" s="4">
        <f t="shared" si="2"/>
        <v>4836</v>
      </c>
      <c r="T25">
        <f t="shared" si="3"/>
        <v>0</v>
      </c>
      <c r="U25">
        <f t="shared" si="4"/>
        <v>43</v>
      </c>
      <c r="V25" s="1" t="str">
        <f t="shared" si="5"/>
        <v>S3</v>
      </c>
      <c r="W25" s="2">
        <f t="shared" si="6"/>
        <v>112.46511627906976</v>
      </c>
      <c r="X25" s="2">
        <f t="shared" si="12"/>
        <v>0</v>
      </c>
      <c r="Y25" s="18">
        <f t="shared" si="7"/>
        <v>3.5273242094877517</v>
      </c>
      <c r="Z25" s="18">
        <f t="shared" si="8"/>
        <v>0</v>
      </c>
      <c r="AA25" s="2">
        <f t="shared" si="13"/>
        <v>396.7009273740178</v>
      </c>
    </row>
    <row r="26" spans="1:27" ht="12.75">
      <c r="A26">
        <v>1960</v>
      </c>
      <c r="C26" s="35">
        <f t="shared" si="9"/>
        <v>45419</v>
      </c>
      <c r="D26" s="35">
        <v>0</v>
      </c>
      <c r="E26" s="35">
        <v>5466</v>
      </c>
      <c r="F26" s="35">
        <v>0</v>
      </c>
      <c r="G26" s="35">
        <f t="shared" si="0"/>
        <v>50885</v>
      </c>
      <c r="H26" s="28">
        <v>60.5</v>
      </c>
      <c r="I26" s="29">
        <v>0</v>
      </c>
      <c r="J26" s="29">
        <f t="shared" si="1"/>
        <v>0</v>
      </c>
      <c r="L26" s="38">
        <f t="shared" si="10"/>
        <v>5466</v>
      </c>
      <c r="R26" s="21">
        <f t="shared" si="11"/>
        <v>1960</v>
      </c>
      <c r="S26" s="4">
        <f t="shared" si="2"/>
        <v>5466</v>
      </c>
      <c r="T26">
        <f t="shared" si="3"/>
        <v>0</v>
      </c>
      <c r="U26">
        <f t="shared" si="4"/>
        <v>43</v>
      </c>
      <c r="V26" s="1" t="str">
        <f t="shared" si="5"/>
        <v>S3</v>
      </c>
      <c r="W26" s="2">
        <f t="shared" si="6"/>
        <v>127.11627906976744</v>
      </c>
      <c r="X26" s="2">
        <f t="shared" si="12"/>
        <v>0</v>
      </c>
      <c r="Y26" s="18">
        <f t="shared" si="7"/>
        <v>3.71937291343578</v>
      </c>
      <c r="Z26" s="18">
        <f t="shared" si="8"/>
        <v>0</v>
      </c>
      <c r="AA26" s="2">
        <f t="shared" si="13"/>
        <v>472.7928452288366</v>
      </c>
    </row>
    <row r="27" spans="1:27" ht="12.75">
      <c r="A27">
        <v>1961</v>
      </c>
      <c r="C27" s="35">
        <f t="shared" si="9"/>
        <v>50885</v>
      </c>
      <c r="D27" s="35">
        <v>0</v>
      </c>
      <c r="E27" s="35">
        <v>10139</v>
      </c>
      <c r="F27" s="35">
        <v>0</v>
      </c>
      <c r="G27" s="35">
        <f t="shared" si="0"/>
        <v>61024</v>
      </c>
      <c r="H27" s="28">
        <v>59.5</v>
      </c>
      <c r="I27" s="29">
        <v>0</v>
      </c>
      <c r="J27" s="29">
        <f t="shared" si="1"/>
        <v>0</v>
      </c>
      <c r="L27" s="38">
        <f t="shared" si="10"/>
        <v>10139</v>
      </c>
      <c r="R27" s="21">
        <f t="shared" si="11"/>
        <v>1961</v>
      </c>
      <c r="S27" s="4">
        <f t="shared" si="2"/>
        <v>10139</v>
      </c>
      <c r="T27">
        <f t="shared" si="3"/>
        <v>0</v>
      </c>
      <c r="U27">
        <f t="shared" si="4"/>
        <v>43</v>
      </c>
      <c r="V27" s="1" t="str">
        <f t="shared" si="5"/>
        <v>S3</v>
      </c>
      <c r="W27" s="2">
        <f t="shared" si="6"/>
        <v>235.7906976744186</v>
      </c>
      <c r="X27" s="2">
        <f t="shared" si="12"/>
        <v>0</v>
      </c>
      <c r="Y27" s="18">
        <f t="shared" si="7"/>
        <v>3.91760752917349</v>
      </c>
      <c r="Z27" s="18">
        <f t="shared" si="8"/>
        <v>0</v>
      </c>
      <c r="AA27" s="2">
        <f t="shared" si="13"/>
        <v>923.7354125183724</v>
      </c>
    </row>
    <row r="28" spans="1:27" ht="12.75">
      <c r="A28">
        <v>1962</v>
      </c>
      <c r="C28" s="35">
        <f t="shared" si="9"/>
        <v>61024</v>
      </c>
      <c r="D28" s="35">
        <v>0</v>
      </c>
      <c r="E28" s="35">
        <v>4564</v>
      </c>
      <c r="F28" s="35">
        <v>0</v>
      </c>
      <c r="G28" s="35">
        <f t="shared" si="0"/>
        <v>65588</v>
      </c>
      <c r="H28" s="28">
        <v>58.5</v>
      </c>
      <c r="I28" s="29">
        <v>0</v>
      </c>
      <c r="J28" s="29">
        <f t="shared" si="1"/>
        <v>0</v>
      </c>
      <c r="L28" s="38">
        <f t="shared" si="10"/>
        <v>4564</v>
      </c>
      <c r="R28" s="21">
        <f t="shared" si="11"/>
        <v>1962</v>
      </c>
      <c r="S28" s="4">
        <f t="shared" si="2"/>
        <v>4564</v>
      </c>
      <c r="T28">
        <f t="shared" si="3"/>
        <v>0</v>
      </c>
      <c r="U28">
        <f t="shared" si="4"/>
        <v>43</v>
      </c>
      <c r="V28" s="1" t="str">
        <f t="shared" si="5"/>
        <v>S3</v>
      </c>
      <c r="W28" s="2">
        <f t="shared" si="6"/>
        <v>106.13953488372093</v>
      </c>
      <c r="X28" s="2">
        <f t="shared" si="12"/>
        <v>0</v>
      </c>
      <c r="Y28" s="18">
        <f t="shared" si="7"/>
        <v>4.122385716130877</v>
      </c>
      <c r="Z28" s="18">
        <f t="shared" si="8"/>
        <v>0</v>
      </c>
      <c r="AA28" s="2">
        <f t="shared" si="13"/>
        <v>437.5481025214261</v>
      </c>
    </row>
    <row r="29" spans="1:27" ht="12.75">
      <c r="A29">
        <v>1963</v>
      </c>
      <c r="C29" s="35">
        <f t="shared" si="9"/>
        <v>65588</v>
      </c>
      <c r="D29" s="35">
        <v>0</v>
      </c>
      <c r="E29" s="35">
        <v>8161</v>
      </c>
      <c r="F29" s="35">
        <v>0</v>
      </c>
      <c r="G29" s="35">
        <f t="shared" si="0"/>
        <v>73749</v>
      </c>
      <c r="H29" s="28">
        <v>57.5</v>
      </c>
      <c r="I29" s="29">
        <v>0</v>
      </c>
      <c r="J29" s="29">
        <f t="shared" si="1"/>
        <v>0</v>
      </c>
      <c r="L29" s="38">
        <f t="shared" si="10"/>
        <v>8161</v>
      </c>
      <c r="R29" s="21">
        <f t="shared" si="11"/>
        <v>1963</v>
      </c>
      <c r="S29" s="4">
        <f t="shared" si="2"/>
        <v>8161</v>
      </c>
      <c r="T29">
        <f t="shared" si="3"/>
        <v>0</v>
      </c>
      <c r="U29">
        <f t="shared" si="4"/>
        <v>43</v>
      </c>
      <c r="V29" s="1" t="str">
        <f t="shared" si="5"/>
        <v>S3</v>
      </c>
      <c r="W29" s="2">
        <f t="shared" si="6"/>
        <v>189.7906976744186</v>
      </c>
      <c r="X29" s="2">
        <f t="shared" si="12"/>
        <v>0</v>
      </c>
      <c r="Y29" s="18">
        <f t="shared" si="7"/>
        <v>4.334090886682668</v>
      </c>
      <c r="Z29" s="18">
        <f t="shared" si="8"/>
        <v>0</v>
      </c>
      <c r="AA29" s="2">
        <f t="shared" si="13"/>
        <v>822.5701331678431</v>
      </c>
    </row>
    <row r="30" spans="1:27" ht="12.75">
      <c r="A30">
        <v>1964</v>
      </c>
      <c r="C30" s="35">
        <f t="shared" si="9"/>
        <v>73749</v>
      </c>
      <c r="D30" s="35">
        <v>0</v>
      </c>
      <c r="E30" s="35">
        <v>5251</v>
      </c>
      <c r="F30" s="35">
        <v>69</v>
      </c>
      <c r="G30" s="35">
        <f t="shared" si="0"/>
        <v>78931</v>
      </c>
      <c r="H30" s="28">
        <v>56.5</v>
      </c>
      <c r="I30" s="29">
        <v>0</v>
      </c>
      <c r="J30" s="29">
        <f t="shared" si="1"/>
        <v>0</v>
      </c>
      <c r="L30" s="38">
        <f t="shared" si="10"/>
        <v>5251</v>
      </c>
      <c r="R30" s="21">
        <f t="shared" si="11"/>
        <v>1964</v>
      </c>
      <c r="S30" s="4">
        <f t="shared" si="2"/>
        <v>5251</v>
      </c>
      <c r="T30">
        <f t="shared" si="3"/>
        <v>0</v>
      </c>
      <c r="U30">
        <f t="shared" si="4"/>
        <v>43</v>
      </c>
      <c r="V30" s="1" t="str">
        <f t="shared" si="5"/>
        <v>S3</v>
      </c>
      <c r="W30" s="2">
        <f t="shared" si="6"/>
        <v>122.11627906976744</v>
      </c>
      <c r="X30" s="2">
        <f t="shared" si="12"/>
        <v>0</v>
      </c>
      <c r="Y30" s="18">
        <f t="shared" si="7"/>
        <v>4.55313339940745</v>
      </c>
      <c r="Z30" s="18">
        <f t="shared" si="8"/>
        <v>0</v>
      </c>
      <c r="AA30" s="2">
        <f t="shared" si="13"/>
        <v>556.0117088439191</v>
      </c>
    </row>
    <row r="31" spans="1:27" ht="12.75">
      <c r="A31">
        <v>1965</v>
      </c>
      <c r="C31" s="35">
        <f t="shared" si="9"/>
        <v>78931</v>
      </c>
      <c r="D31" s="35">
        <v>0</v>
      </c>
      <c r="E31" s="35">
        <v>9372</v>
      </c>
      <c r="F31" s="35">
        <v>432</v>
      </c>
      <c r="G31" s="35">
        <f t="shared" si="0"/>
        <v>87871</v>
      </c>
      <c r="H31" s="28">
        <v>55.5</v>
      </c>
      <c r="I31" s="29">
        <v>0</v>
      </c>
      <c r="J31" s="29">
        <f t="shared" si="1"/>
        <v>0</v>
      </c>
      <c r="L31" s="38">
        <f t="shared" si="10"/>
        <v>9372</v>
      </c>
      <c r="R31" s="21">
        <f t="shared" si="11"/>
        <v>1965</v>
      </c>
      <c r="S31" s="4">
        <f t="shared" si="2"/>
        <v>9372</v>
      </c>
      <c r="T31">
        <f t="shared" si="3"/>
        <v>0</v>
      </c>
      <c r="U31">
        <f t="shared" si="4"/>
        <v>43</v>
      </c>
      <c r="V31" s="1" t="str">
        <f t="shared" si="5"/>
        <v>S3</v>
      </c>
      <c r="W31" s="2">
        <f t="shared" si="6"/>
        <v>217.95348837209303</v>
      </c>
      <c r="X31" s="2">
        <f t="shared" si="12"/>
        <v>0</v>
      </c>
      <c r="Y31" s="18">
        <f t="shared" si="7"/>
        <v>4.779951838137938</v>
      </c>
      <c r="Z31" s="18">
        <f t="shared" si="8"/>
        <v>0</v>
      </c>
      <c r="AA31" s="2">
        <f t="shared" si="13"/>
        <v>1041.8071773727618</v>
      </c>
    </row>
    <row r="32" spans="1:27" ht="12.75">
      <c r="A32">
        <v>1966</v>
      </c>
      <c r="C32" s="35">
        <f t="shared" si="9"/>
        <v>87871</v>
      </c>
      <c r="D32" s="35">
        <v>0</v>
      </c>
      <c r="E32" s="35">
        <v>5883</v>
      </c>
      <c r="F32" s="35">
        <v>122</v>
      </c>
      <c r="G32" s="35">
        <f t="shared" si="0"/>
        <v>93632</v>
      </c>
      <c r="H32" s="28">
        <v>54.5</v>
      </c>
      <c r="I32" s="29">
        <v>0</v>
      </c>
      <c r="J32" s="29">
        <f t="shared" si="1"/>
        <v>0</v>
      </c>
      <c r="L32" s="38">
        <f t="shared" si="10"/>
        <v>5883</v>
      </c>
      <c r="R32" s="21">
        <f t="shared" si="11"/>
        <v>1966</v>
      </c>
      <c r="S32" s="4">
        <f t="shared" si="2"/>
        <v>5883</v>
      </c>
      <c r="T32">
        <f t="shared" si="3"/>
        <v>0</v>
      </c>
      <c r="U32">
        <f t="shared" si="4"/>
        <v>43</v>
      </c>
      <c r="V32" s="1" t="str">
        <f t="shared" si="5"/>
        <v>S3</v>
      </c>
      <c r="W32" s="2">
        <f t="shared" si="6"/>
        <v>136.8139534883721</v>
      </c>
      <c r="X32" s="2">
        <f t="shared" si="12"/>
        <v>0</v>
      </c>
      <c r="Y32" s="18">
        <f t="shared" si="7"/>
        <v>5.015014343391584</v>
      </c>
      <c r="Z32" s="18">
        <f t="shared" si="8"/>
        <v>0</v>
      </c>
      <c r="AA32" s="2">
        <f t="shared" si="13"/>
        <v>686.1239391202952</v>
      </c>
    </row>
    <row r="33" spans="1:27" ht="12.75">
      <c r="A33">
        <v>1967</v>
      </c>
      <c r="C33" s="35">
        <f t="shared" si="9"/>
        <v>93632</v>
      </c>
      <c r="D33" s="35">
        <v>0</v>
      </c>
      <c r="E33" s="35">
        <v>8100</v>
      </c>
      <c r="F33" s="35">
        <v>423</v>
      </c>
      <c r="G33" s="35">
        <f t="shared" si="0"/>
        <v>101309</v>
      </c>
      <c r="H33" s="28">
        <v>53.5</v>
      </c>
      <c r="I33" s="29">
        <v>0</v>
      </c>
      <c r="J33" s="29">
        <f t="shared" si="1"/>
        <v>0</v>
      </c>
      <c r="L33" s="38">
        <f t="shared" si="10"/>
        <v>8100</v>
      </c>
      <c r="R33" s="21">
        <f t="shared" si="11"/>
        <v>1967</v>
      </c>
      <c r="S33" s="4">
        <f t="shared" si="2"/>
        <v>8100</v>
      </c>
      <c r="T33">
        <f t="shared" si="3"/>
        <v>0</v>
      </c>
      <c r="U33">
        <f t="shared" si="4"/>
        <v>43</v>
      </c>
      <c r="V33" s="1" t="str">
        <f t="shared" si="5"/>
        <v>S3</v>
      </c>
      <c r="W33" s="2">
        <f t="shared" si="6"/>
        <v>188.37209302325581</v>
      </c>
      <c r="X33" s="2">
        <f t="shared" si="12"/>
        <v>0</v>
      </c>
      <c r="Y33" s="18">
        <f t="shared" si="7"/>
        <v>5.258819962520535</v>
      </c>
      <c r="Z33" s="18">
        <f t="shared" si="8"/>
        <v>0</v>
      </c>
      <c r="AA33" s="2">
        <f t="shared" si="13"/>
        <v>990.6149231724729</v>
      </c>
    </row>
    <row r="34" spans="1:27" ht="12.75">
      <c r="A34">
        <v>1968</v>
      </c>
      <c r="C34" s="35">
        <f t="shared" si="9"/>
        <v>101309</v>
      </c>
      <c r="D34" s="35">
        <v>0</v>
      </c>
      <c r="E34" s="35">
        <v>10199</v>
      </c>
      <c r="F34" s="35">
        <v>152</v>
      </c>
      <c r="G34" s="35">
        <f t="shared" si="0"/>
        <v>111356</v>
      </c>
      <c r="H34" s="28">
        <v>52.5</v>
      </c>
      <c r="I34" s="29">
        <v>0</v>
      </c>
      <c r="J34" s="29">
        <f t="shared" si="1"/>
        <v>0</v>
      </c>
      <c r="L34" s="38">
        <f t="shared" si="10"/>
        <v>10199</v>
      </c>
      <c r="R34" s="21">
        <f t="shared" si="11"/>
        <v>1968</v>
      </c>
      <c r="S34" s="4">
        <f t="shared" si="2"/>
        <v>10199</v>
      </c>
      <c r="T34">
        <f t="shared" si="3"/>
        <v>0</v>
      </c>
      <c r="U34">
        <f t="shared" si="4"/>
        <v>43</v>
      </c>
      <c r="V34" s="1" t="str">
        <f t="shared" si="5"/>
        <v>S3</v>
      </c>
      <c r="W34" s="2">
        <f t="shared" si="6"/>
        <v>237.1860465116279</v>
      </c>
      <c r="X34" s="2">
        <f t="shared" si="12"/>
        <v>0</v>
      </c>
      <c r="Y34" s="18">
        <f t="shared" si="7"/>
        <v>5.511899982086937</v>
      </c>
      <c r="Z34" s="18">
        <f t="shared" si="8"/>
        <v>0</v>
      </c>
      <c r="AA34" s="2">
        <f t="shared" si="13"/>
        <v>1307.345765518713</v>
      </c>
    </row>
    <row r="35" spans="1:27" ht="12.75">
      <c r="A35">
        <v>1969</v>
      </c>
      <c r="C35" s="35">
        <f t="shared" si="9"/>
        <v>111356</v>
      </c>
      <c r="D35" s="35">
        <v>0</v>
      </c>
      <c r="E35" s="35">
        <v>15644</v>
      </c>
      <c r="F35" s="35">
        <v>492</v>
      </c>
      <c r="G35" s="35">
        <f t="shared" si="0"/>
        <v>126508</v>
      </c>
      <c r="H35" s="28">
        <v>51.5</v>
      </c>
      <c r="I35" s="29">
        <v>0</v>
      </c>
      <c r="J35" s="29">
        <f t="shared" si="1"/>
        <v>0</v>
      </c>
      <c r="L35" s="38">
        <f t="shared" si="10"/>
        <v>15644</v>
      </c>
      <c r="R35" s="21">
        <f t="shared" si="11"/>
        <v>1969</v>
      </c>
      <c r="S35" s="4">
        <f t="shared" si="2"/>
        <v>15644</v>
      </c>
      <c r="T35">
        <f t="shared" si="3"/>
        <v>0</v>
      </c>
      <c r="U35">
        <f t="shared" si="4"/>
        <v>43</v>
      </c>
      <c r="V35" s="1" t="str">
        <f t="shared" si="5"/>
        <v>S3</v>
      </c>
      <c r="W35" s="2">
        <f t="shared" si="6"/>
        <v>363.8139534883721</v>
      </c>
      <c r="X35" s="2">
        <f t="shared" si="12"/>
        <v>0</v>
      </c>
      <c r="Y35" s="18">
        <f t="shared" si="7"/>
        <v>5.774819201022174</v>
      </c>
      <c r="Z35" s="18">
        <f t="shared" si="8"/>
        <v>0</v>
      </c>
      <c r="AA35" s="2">
        <f t="shared" si="13"/>
        <v>2100.959804204439</v>
      </c>
    </row>
    <row r="36" spans="1:27" ht="12.75">
      <c r="A36">
        <v>1970</v>
      </c>
      <c r="C36" s="35">
        <f t="shared" si="9"/>
        <v>126508</v>
      </c>
      <c r="D36" s="35">
        <v>0</v>
      </c>
      <c r="E36" s="35">
        <v>15245</v>
      </c>
      <c r="F36" s="35">
        <v>648</v>
      </c>
      <c r="G36" s="35">
        <f t="shared" si="0"/>
        <v>141105</v>
      </c>
      <c r="H36" s="28">
        <v>50.5</v>
      </c>
      <c r="I36" s="29">
        <v>0</v>
      </c>
      <c r="J36" s="29">
        <f t="shared" si="1"/>
        <v>0</v>
      </c>
      <c r="L36" s="38">
        <f t="shared" si="10"/>
        <v>15245</v>
      </c>
      <c r="R36" s="21">
        <f t="shared" si="11"/>
        <v>1970</v>
      </c>
      <c r="S36" s="4">
        <f t="shared" si="2"/>
        <v>15245</v>
      </c>
      <c r="T36">
        <f t="shared" si="3"/>
        <v>0</v>
      </c>
      <c r="U36">
        <f t="shared" si="4"/>
        <v>43</v>
      </c>
      <c r="V36" s="1" t="str">
        <f t="shared" si="5"/>
        <v>S3</v>
      </c>
      <c r="W36" s="2">
        <f t="shared" si="6"/>
        <v>354.5348837209302</v>
      </c>
      <c r="X36" s="2">
        <f t="shared" si="12"/>
        <v>0</v>
      </c>
      <c r="Y36" s="18">
        <f t="shared" si="7"/>
        <v>6.048177096271967</v>
      </c>
      <c r="Z36" s="18">
        <f t="shared" si="8"/>
        <v>0</v>
      </c>
      <c r="AA36" s="2">
        <f t="shared" si="13"/>
        <v>2144.2897635503755</v>
      </c>
    </row>
    <row r="37" spans="1:27" ht="12.75">
      <c r="A37">
        <v>1971</v>
      </c>
      <c r="C37" s="35">
        <f t="shared" si="9"/>
        <v>141105</v>
      </c>
      <c r="D37" s="35">
        <v>0</v>
      </c>
      <c r="E37" s="35">
        <v>44148</v>
      </c>
      <c r="F37" s="35">
        <v>790</v>
      </c>
      <c r="G37" s="35">
        <f t="shared" si="0"/>
        <v>184463</v>
      </c>
      <c r="H37" s="28">
        <v>49.5</v>
      </c>
      <c r="I37" s="29">
        <v>0</v>
      </c>
      <c r="J37" s="29">
        <f t="shared" si="1"/>
        <v>0</v>
      </c>
      <c r="L37" s="38">
        <f t="shared" si="10"/>
        <v>44148</v>
      </c>
      <c r="R37" s="21">
        <f t="shared" si="11"/>
        <v>1971</v>
      </c>
      <c r="S37" s="4">
        <f t="shared" si="2"/>
        <v>44148</v>
      </c>
      <c r="T37">
        <f t="shared" si="3"/>
        <v>0</v>
      </c>
      <c r="U37">
        <f t="shared" si="4"/>
        <v>43</v>
      </c>
      <c r="V37" s="1" t="str">
        <f t="shared" si="5"/>
        <v>S3</v>
      </c>
      <c r="W37" s="2">
        <f t="shared" si="6"/>
        <v>1026.6976744186047</v>
      </c>
      <c r="X37" s="2">
        <f t="shared" si="12"/>
        <v>0</v>
      </c>
      <c r="Y37" s="18">
        <f t="shared" si="7"/>
        <v>6.332608823998447</v>
      </c>
      <c r="Z37" s="18">
        <f t="shared" si="8"/>
        <v>0</v>
      </c>
      <c r="AA37" s="2">
        <f t="shared" si="13"/>
        <v>6501.674752601941</v>
      </c>
    </row>
    <row r="38" spans="1:27" ht="12.75">
      <c r="A38">
        <v>1972</v>
      </c>
      <c r="C38" s="35">
        <f t="shared" si="9"/>
        <v>184463</v>
      </c>
      <c r="D38" s="35">
        <v>0</v>
      </c>
      <c r="E38" s="35">
        <v>18706</v>
      </c>
      <c r="F38" s="35">
        <v>1365</v>
      </c>
      <c r="G38" s="35">
        <f t="shared" si="0"/>
        <v>201804</v>
      </c>
      <c r="H38" s="28">
        <v>48.5</v>
      </c>
      <c r="I38" s="29">
        <v>0</v>
      </c>
      <c r="J38" s="29">
        <f t="shared" si="1"/>
        <v>0</v>
      </c>
      <c r="L38" s="38">
        <f t="shared" si="10"/>
        <v>18706</v>
      </c>
      <c r="R38" s="21">
        <f t="shared" si="11"/>
        <v>1972</v>
      </c>
      <c r="S38" s="4">
        <f aca="true" t="shared" si="14" ref="S38:S68">E38</f>
        <v>18706</v>
      </c>
      <c r="T38">
        <f aca="true" t="shared" si="15" ref="T38:T68">IF(D38&gt;0,IF(J38&gt;0,D38,0),0)</f>
        <v>0</v>
      </c>
      <c r="U38">
        <f aca="true" t="shared" si="16" ref="U38:U86">$V$94</f>
        <v>43</v>
      </c>
      <c r="V38" s="1" t="str">
        <f aca="true" t="shared" si="17" ref="V38:V86">$V$93</f>
        <v>S3</v>
      </c>
      <c r="W38" s="2">
        <f aca="true" t="shared" si="18" ref="W38:W68">S38/U38</f>
        <v>435.0232558139535</v>
      </c>
      <c r="X38" s="2">
        <f t="shared" si="12"/>
        <v>0</v>
      </c>
      <c r="Y38" s="18">
        <f aca="true" t="shared" si="19" ref="Y38:Y66">Prob_life(V38,H38,U38)</f>
        <v>6.628785989053383</v>
      </c>
      <c r="Z38" s="18">
        <f aca="true" t="shared" si="20" ref="Z38:Z68">IF(J38&gt;0,Prob_life(V38,J38+0.5,U38),0)</f>
        <v>0</v>
      </c>
      <c r="AA38" s="2">
        <f t="shared" si="13"/>
        <v>2883.6760630519207</v>
      </c>
    </row>
    <row r="39" spans="1:27" ht="12.75">
      <c r="A39">
        <v>1973</v>
      </c>
      <c r="C39" s="35">
        <f t="shared" si="9"/>
        <v>201804</v>
      </c>
      <c r="D39" s="35">
        <v>0</v>
      </c>
      <c r="E39" s="35">
        <v>18408</v>
      </c>
      <c r="F39" s="35">
        <v>483</v>
      </c>
      <c r="G39" s="35">
        <f t="shared" si="0"/>
        <v>219729</v>
      </c>
      <c r="H39" s="28">
        <v>47.5</v>
      </c>
      <c r="I39" s="29">
        <v>0</v>
      </c>
      <c r="J39" s="29">
        <f t="shared" si="1"/>
        <v>0</v>
      </c>
      <c r="L39" s="38">
        <f t="shared" si="10"/>
        <v>18408</v>
      </c>
      <c r="R39" s="21">
        <f t="shared" si="11"/>
        <v>1973</v>
      </c>
      <c r="S39" s="4">
        <f t="shared" si="14"/>
        <v>18408</v>
      </c>
      <c r="T39">
        <f t="shared" si="15"/>
        <v>0</v>
      </c>
      <c r="U39">
        <f t="shared" si="16"/>
        <v>43</v>
      </c>
      <c r="V39" s="1" t="str">
        <f t="shared" si="17"/>
        <v>S3</v>
      </c>
      <c r="W39" s="2">
        <f t="shared" si="18"/>
        <v>428.09302325581393</v>
      </c>
      <c r="X39" s="2">
        <f t="shared" si="12"/>
        <v>0</v>
      </c>
      <c r="Y39" s="18">
        <f t="shared" si="19"/>
        <v>6.937417103424946</v>
      </c>
      <c r="Z39" s="18">
        <f t="shared" si="20"/>
        <v>0</v>
      </c>
      <c r="AA39" s="2">
        <f t="shared" si="13"/>
        <v>2969.8598613917766</v>
      </c>
    </row>
    <row r="40" spans="1:27" ht="12.75">
      <c r="A40">
        <v>1974</v>
      </c>
      <c r="C40" s="35">
        <f t="shared" si="9"/>
        <v>219729</v>
      </c>
      <c r="D40" s="35">
        <v>0</v>
      </c>
      <c r="E40" s="35">
        <v>29340</v>
      </c>
      <c r="F40" s="35">
        <v>320</v>
      </c>
      <c r="G40" s="35">
        <f t="shared" si="0"/>
        <v>248749</v>
      </c>
      <c r="H40" s="28">
        <v>46.5</v>
      </c>
      <c r="I40" s="29">
        <v>0</v>
      </c>
      <c r="J40" s="29">
        <f t="shared" si="1"/>
        <v>0</v>
      </c>
      <c r="L40" s="38">
        <f t="shared" si="10"/>
        <v>29340</v>
      </c>
      <c r="R40" s="21">
        <f t="shared" si="11"/>
        <v>1974</v>
      </c>
      <c r="S40" s="4">
        <f t="shared" si="14"/>
        <v>29340</v>
      </c>
      <c r="T40">
        <f t="shared" si="15"/>
        <v>0</v>
      </c>
      <c r="U40">
        <f t="shared" si="16"/>
        <v>43</v>
      </c>
      <c r="V40" s="1" t="str">
        <f t="shared" si="17"/>
        <v>S3</v>
      </c>
      <c r="W40" s="2">
        <f t="shared" si="18"/>
        <v>682.3255813953489</v>
      </c>
      <c r="X40" s="2">
        <f t="shared" si="12"/>
        <v>0</v>
      </c>
      <c r="Y40" s="18">
        <f t="shared" si="19"/>
        <v>7.2592476407863</v>
      </c>
      <c r="Z40" s="18">
        <f t="shared" si="20"/>
        <v>0</v>
      </c>
      <c r="AA40" s="2">
        <f t="shared" si="13"/>
        <v>4953.170366992326</v>
      </c>
    </row>
    <row r="41" spans="1:27" ht="12.75">
      <c r="A41">
        <v>1975</v>
      </c>
      <c r="C41" s="35">
        <f t="shared" si="9"/>
        <v>248749</v>
      </c>
      <c r="D41" s="35">
        <v>0</v>
      </c>
      <c r="E41" s="35">
        <v>12375</v>
      </c>
      <c r="F41" s="35">
        <v>134</v>
      </c>
      <c r="G41" s="35">
        <f t="shared" si="0"/>
        <v>260990</v>
      </c>
      <c r="H41" s="28">
        <v>45.5</v>
      </c>
      <c r="I41" s="29">
        <v>0</v>
      </c>
      <c r="J41" s="29">
        <f t="shared" si="1"/>
        <v>0</v>
      </c>
      <c r="L41" s="38">
        <f t="shared" si="10"/>
        <v>12375</v>
      </c>
      <c r="R41" s="21">
        <f t="shared" si="11"/>
        <v>1975</v>
      </c>
      <c r="S41" s="4">
        <f t="shared" si="14"/>
        <v>12375</v>
      </c>
      <c r="T41">
        <f t="shared" si="15"/>
        <v>0</v>
      </c>
      <c r="U41">
        <f t="shared" si="16"/>
        <v>43</v>
      </c>
      <c r="V41" s="1" t="str">
        <f t="shared" si="17"/>
        <v>S3</v>
      </c>
      <c r="W41" s="2">
        <f t="shared" si="18"/>
        <v>287.7906976744186</v>
      </c>
      <c r="X41" s="2">
        <f t="shared" si="12"/>
        <v>0</v>
      </c>
      <c r="Y41" s="18">
        <f t="shared" si="19"/>
        <v>7.59505957933771</v>
      </c>
      <c r="Z41" s="18">
        <f t="shared" si="20"/>
        <v>0</v>
      </c>
      <c r="AA41" s="2">
        <f t="shared" si="13"/>
        <v>2185.7874952163756</v>
      </c>
    </row>
    <row r="42" spans="1:27" ht="12.75">
      <c r="A42">
        <v>1976</v>
      </c>
      <c r="C42" s="35">
        <f t="shared" si="9"/>
        <v>260990</v>
      </c>
      <c r="D42" s="35">
        <v>0</v>
      </c>
      <c r="E42" s="35">
        <v>18467</v>
      </c>
      <c r="F42" s="35">
        <v>432</v>
      </c>
      <c r="G42" s="35">
        <f t="shared" si="0"/>
        <v>279025</v>
      </c>
      <c r="H42" s="28">
        <v>44.5</v>
      </c>
      <c r="I42" s="29">
        <v>0</v>
      </c>
      <c r="J42" s="29">
        <f t="shared" si="1"/>
        <v>0</v>
      </c>
      <c r="L42" s="38">
        <f t="shared" si="10"/>
        <v>18467</v>
      </c>
      <c r="R42" s="21">
        <f t="shared" si="11"/>
        <v>1976</v>
      </c>
      <c r="S42" s="4">
        <f t="shared" si="14"/>
        <v>18467</v>
      </c>
      <c r="T42">
        <f t="shared" si="15"/>
        <v>0</v>
      </c>
      <c r="U42">
        <f t="shared" si="16"/>
        <v>43</v>
      </c>
      <c r="V42" s="1" t="str">
        <f t="shared" si="17"/>
        <v>S3</v>
      </c>
      <c r="W42" s="2">
        <f t="shared" si="18"/>
        <v>429.4651162790698</v>
      </c>
      <c r="X42" s="2">
        <f t="shared" si="12"/>
        <v>0</v>
      </c>
      <c r="Y42" s="18">
        <f t="shared" si="19"/>
        <v>7.945670309150674</v>
      </c>
      <c r="Z42" s="18">
        <f t="shared" si="20"/>
        <v>0</v>
      </c>
      <c r="AA42" s="2">
        <f t="shared" si="13"/>
        <v>3412.3882232345463</v>
      </c>
    </row>
    <row r="43" spans="1:27" ht="12.75">
      <c r="A43">
        <v>1977</v>
      </c>
      <c r="C43" s="35">
        <f t="shared" si="9"/>
        <v>279025</v>
      </c>
      <c r="D43" s="35">
        <v>0</v>
      </c>
      <c r="E43" s="35">
        <v>29083</v>
      </c>
      <c r="F43" s="35">
        <v>482</v>
      </c>
      <c r="G43" s="35">
        <f t="shared" si="0"/>
        <v>307626</v>
      </c>
      <c r="H43" s="28">
        <v>43.5</v>
      </c>
      <c r="I43" s="29">
        <v>0</v>
      </c>
      <c r="J43" s="29">
        <f t="shared" si="1"/>
        <v>0</v>
      </c>
      <c r="L43" s="38">
        <f t="shared" si="10"/>
        <v>29083</v>
      </c>
      <c r="R43" s="21">
        <f t="shared" si="11"/>
        <v>1977</v>
      </c>
      <c r="S43" s="4">
        <f t="shared" si="14"/>
        <v>29083</v>
      </c>
      <c r="T43">
        <f t="shared" si="15"/>
        <v>0</v>
      </c>
      <c r="U43">
        <f t="shared" si="16"/>
        <v>43</v>
      </c>
      <c r="V43" s="1" t="str">
        <f t="shared" si="17"/>
        <v>S3</v>
      </c>
      <c r="W43" s="2">
        <f t="shared" si="18"/>
        <v>676.3488372093024</v>
      </c>
      <c r="X43" s="2">
        <f t="shared" si="12"/>
        <v>0</v>
      </c>
      <c r="Y43" s="18">
        <f t="shared" si="19"/>
        <v>8.311930763720422</v>
      </c>
      <c r="Z43" s="18">
        <f t="shared" si="20"/>
        <v>0</v>
      </c>
      <c r="AA43" s="2">
        <f t="shared" si="13"/>
        <v>5621.764707006536</v>
      </c>
    </row>
    <row r="44" spans="1:27" ht="12.75">
      <c r="A44">
        <v>1978</v>
      </c>
      <c r="C44" s="35">
        <f t="shared" si="9"/>
        <v>307626</v>
      </c>
      <c r="D44" s="35">
        <v>0</v>
      </c>
      <c r="E44" s="35">
        <v>20730</v>
      </c>
      <c r="F44" s="35">
        <v>706</v>
      </c>
      <c r="G44" s="35">
        <f t="shared" si="0"/>
        <v>327650</v>
      </c>
      <c r="H44" s="28">
        <v>42.5</v>
      </c>
      <c r="I44" s="29">
        <v>0</v>
      </c>
      <c r="J44" s="29">
        <f t="shared" si="1"/>
        <v>0</v>
      </c>
      <c r="L44" s="38">
        <f t="shared" si="10"/>
        <v>20730</v>
      </c>
      <c r="R44" s="21">
        <f t="shared" si="11"/>
        <v>1978</v>
      </c>
      <c r="S44" s="4">
        <f t="shared" si="14"/>
        <v>20730</v>
      </c>
      <c r="T44">
        <f t="shared" si="15"/>
        <v>0</v>
      </c>
      <c r="U44">
        <f t="shared" si="16"/>
        <v>43</v>
      </c>
      <c r="V44" s="1" t="str">
        <f t="shared" si="17"/>
        <v>S3</v>
      </c>
      <c r="W44" s="2">
        <f t="shared" si="18"/>
        <v>482.09302325581393</v>
      </c>
      <c r="X44" s="2">
        <f t="shared" si="12"/>
        <v>0</v>
      </c>
      <c r="Y44" s="18">
        <f t="shared" si="19"/>
        <v>8.694722619181295</v>
      </c>
      <c r="Z44" s="18">
        <f t="shared" si="20"/>
        <v>0</v>
      </c>
      <c r="AA44" s="2">
        <f t="shared" si="13"/>
        <v>4191.665113851819</v>
      </c>
    </row>
    <row r="45" spans="1:27" ht="12.75">
      <c r="A45">
        <v>1979</v>
      </c>
      <c r="C45" s="35">
        <f t="shared" si="9"/>
        <v>327650</v>
      </c>
      <c r="D45" s="35">
        <v>0</v>
      </c>
      <c r="E45" s="35">
        <v>17688</v>
      </c>
      <c r="F45" s="35">
        <v>538</v>
      </c>
      <c r="G45" s="35">
        <f t="shared" si="0"/>
        <v>344800</v>
      </c>
      <c r="H45" s="28">
        <v>41.5</v>
      </c>
      <c r="I45" s="29">
        <v>0</v>
      </c>
      <c r="J45" s="29">
        <f t="shared" si="1"/>
        <v>0</v>
      </c>
      <c r="L45" s="38">
        <f t="shared" si="10"/>
        <v>17688</v>
      </c>
      <c r="R45" s="21">
        <f t="shared" si="11"/>
        <v>1979</v>
      </c>
      <c r="S45" s="4">
        <f t="shared" si="14"/>
        <v>17688</v>
      </c>
      <c r="T45">
        <f t="shared" si="15"/>
        <v>0</v>
      </c>
      <c r="U45">
        <f t="shared" si="16"/>
        <v>43</v>
      </c>
      <c r="V45" s="1" t="str">
        <f t="shared" si="17"/>
        <v>S3</v>
      </c>
      <c r="W45" s="2">
        <f t="shared" si="18"/>
        <v>411.3488372093023</v>
      </c>
      <c r="X45" s="2">
        <f t="shared" si="12"/>
        <v>0</v>
      </c>
      <c r="Y45" s="18">
        <f t="shared" si="19"/>
        <v>9.094954389744304</v>
      </c>
      <c r="Z45" s="18">
        <f t="shared" si="20"/>
        <v>0</v>
      </c>
      <c r="AA45" s="2">
        <f t="shared" si="13"/>
        <v>3741.198912692959</v>
      </c>
    </row>
    <row r="46" spans="1:27" ht="12.75">
      <c r="A46">
        <v>1980</v>
      </c>
      <c r="C46" s="35">
        <f t="shared" si="9"/>
        <v>344800</v>
      </c>
      <c r="D46" s="35">
        <v>0</v>
      </c>
      <c r="E46" s="35">
        <v>44258</v>
      </c>
      <c r="F46" s="35">
        <v>1493</v>
      </c>
      <c r="G46" s="35">
        <f t="shared" si="0"/>
        <v>387565</v>
      </c>
      <c r="H46" s="28">
        <v>40.5</v>
      </c>
      <c r="I46" s="29">
        <v>0</v>
      </c>
      <c r="J46" s="29">
        <f t="shared" si="1"/>
        <v>0</v>
      </c>
      <c r="L46" s="38">
        <f t="shared" si="10"/>
        <v>44258</v>
      </c>
      <c r="R46" s="21">
        <f t="shared" si="11"/>
        <v>1980</v>
      </c>
      <c r="S46" s="4">
        <f t="shared" si="14"/>
        <v>44258</v>
      </c>
      <c r="T46">
        <f t="shared" si="15"/>
        <v>0</v>
      </c>
      <c r="U46">
        <f t="shared" si="16"/>
        <v>43</v>
      </c>
      <c r="V46" s="1" t="str">
        <f t="shared" si="17"/>
        <v>S3</v>
      </c>
      <c r="W46" s="2">
        <f t="shared" si="18"/>
        <v>1029.2558139534883</v>
      </c>
      <c r="X46" s="2">
        <f t="shared" si="12"/>
        <v>0</v>
      </c>
      <c r="Y46" s="18">
        <f t="shared" si="19"/>
        <v>9.51355623588362</v>
      </c>
      <c r="Z46" s="18">
        <f t="shared" si="20"/>
        <v>0</v>
      </c>
      <c r="AA46" s="2">
        <f t="shared" si="13"/>
        <v>9791.88306715668</v>
      </c>
    </row>
    <row r="47" spans="1:27" ht="12.75">
      <c r="A47">
        <v>1981</v>
      </c>
      <c r="C47" s="35">
        <f t="shared" si="9"/>
        <v>387565</v>
      </c>
      <c r="D47" s="35">
        <v>0</v>
      </c>
      <c r="E47" s="35">
        <v>46611</v>
      </c>
      <c r="F47" s="35">
        <v>737</v>
      </c>
      <c r="G47" s="35">
        <f t="shared" si="0"/>
        <v>433439</v>
      </c>
      <c r="H47" s="28">
        <v>39.5</v>
      </c>
      <c r="I47" s="29">
        <v>0</v>
      </c>
      <c r="J47" s="29">
        <f t="shared" si="1"/>
        <v>0</v>
      </c>
      <c r="L47" s="38">
        <f t="shared" si="10"/>
        <v>46611</v>
      </c>
      <c r="R47" s="21">
        <f t="shared" si="11"/>
        <v>1981</v>
      </c>
      <c r="S47" s="4">
        <f t="shared" si="14"/>
        <v>46611</v>
      </c>
      <c r="T47">
        <f t="shared" si="15"/>
        <v>0</v>
      </c>
      <c r="U47">
        <f t="shared" si="16"/>
        <v>43</v>
      </c>
      <c r="V47" s="1" t="str">
        <f t="shared" si="17"/>
        <v>S3</v>
      </c>
      <c r="W47" s="2">
        <f t="shared" si="18"/>
        <v>1083.9767441860465</v>
      </c>
      <c r="X47" s="2">
        <f t="shared" si="12"/>
        <v>0</v>
      </c>
      <c r="Y47" s="18">
        <f t="shared" si="19"/>
        <v>9.951473294603796</v>
      </c>
      <c r="Z47" s="18">
        <f t="shared" si="20"/>
        <v>0</v>
      </c>
      <c r="AA47" s="2">
        <f t="shared" si="13"/>
        <v>10787.165621739012</v>
      </c>
    </row>
    <row r="48" spans="1:27" ht="12.75">
      <c r="A48">
        <v>1982</v>
      </c>
      <c r="C48" s="35">
        <f t="shared" si="9"/>
        <v>433439</v>
      </c>
      <c r="D48" s="35">
        <v>0</v>
      </c>
      <c r="E48" s="35">
        <v>62018</v>
      </c>
      <c r="F48" s="35">
        <v>1601</v>
      </c>
      <c r="G48" s="35">
        <f t="shared" si="0"/>
        <v>493856</v>
      </c>
      <c r="H48" s="28">
        <v>38.5</v>
      </c>
      <c r="I48" s="29">
        <v>0</v>
      </c>
      <c r="J48" s="29">
        <f t="shared" si="1"/>
        <v>0</v>
      </c>
      <c r="L48" s="38">
        <f t="shared" si="10"/>
        <v>62018</v>
      </c>
      <c r="R48" s="21">
        <f t="shared" si="11"/>
        <v>1982</v>
      </c>
      <c r="S48" s="4">
        <f t="shared" si="14"/>
        <v>62018</v>
      </c>
      <c r="T48">
        <f t="shared" si="15"/>
        <v>0</v>
      </c>
      <c r="U48">
        <f t="shared" si="16"/>
        <v>43</v>
      </c>
      <c r="V48" s="1" t="str">
        <f t="shared" si="17"/>
        <v>S3</v>
      </c>
      <c r="W48" s="2">
        <f t="shared" si="18"/>
        <v>1442.2790697674418</v>
      </c>
      <c r="X48" s="2">
        <f t="shared" si="12"/>
        <v>0</v>
      </c>
      <c r="Y48" s="18">
        <f t="shared" si="19"/>
        <v>10.409657341268469</v>
      </c>
      <c r="Z48" s="18">
        <f t="shared" si="20"/>
        <v>0</v>
      </c>
      <c r="AA48" s="2">
        <f t="shared" si="13"/>
        <v>15013.630906762508</v>
      </c>
    </row>
    <row r="49" spans="1:27" ht="12.75">
      <c r="A49">
        <v>1983</v>
      </c>
      <c r="C49" s="35">
        <f t="shared" si="9"/>
        <v>493856</v>
      </c>
      <c r="D49" s="35">
        <v>0</v>
      </c>
      <c r="E49" s="35">
        <v>79203</v>
      </c>
      <c r="F49" s="35">
        <v>15010</v>
      </c>
      <c r="G49" s="35">
        <f t="shared" si="0"/>
        <v>558049</v>
      </c>
      <c r="H49" s="28">
        <v>37.5</v>
      </c>
      <c r="I49" s="29">
        <v>0</v>
      </c>
      <c r="J49" s="29">
        <f t="shared" si="1"/>
        <v>0</v>
      </c>
      <c r="L49" s="38">
        <f t="shared" si="10"/>
        <v>79203</v>
      </c>
      <c r="R49" s="21">
        <f t="shared" si="11"/>
        <v>1983</v>
      </c>
      <c r="S49" s="4">
        <f t="shared" si="14"/>
        <v>79203</v>
      </c>
      <c r="T49">
        <f t="shared" si="15"/>
        <v>0</v>
      </c>
      <c r="U49">
        <f t="shared" si="16"/>
        <v>43</v>
      </c>
      <c r="V49" s="1" t="str">
        <f t="shared" si="17"/>
        <v>S3</v>
      </c>
      <c r="W49" s="2">
        <f t="shared" si="18"/>
        <v>1841.9302325581396</v>
      </c>
      <c r="X49" s="2">
        <f t="shared" si="12"/>
        <v>0</v>
      </c>
      <c r="Y49" s="18">
        <f t="shared" si="19"/>
        <v>10.889056603017979</v>
      </c>
      <c r="Z49" s="18">
        <f t="shared" si="20"/>
        <v>0</v>
      </c>
      <c r="AA49" s="2">
        <f t="shared" si="13"/>
        <v>20056.88256113565</v>
      </c>
    </row>
    <row r="50" spans="1:27" ht="12.75">
      <c r="A50">
        <v>1984</v>
      </c>
      <c r="C50" s="35">
        <f t="shared" si="9"/>
        <v>558049</v>
      </c>
      <c r="D50" s="35">
        <v>0</v>
      </c>
      <c r="E50" s="35">
        <v>68536</v>
      </c>
      <c r="F50" s="35">
        <v>16724</v>
      </c>
      <c r="G50" s="35">
        <f t="shared" si="0"/>
        <v>609861</v>
      </c>
      <c r="H50" s="28">
        <v>36.5</v>
      </c>
      <c r="I50" s="29">
        <v>0</v>
      </c>
      <c r="J50" s="29">
        <f t="shared" si="1"/>
        <v>0</v>
      </c>
      <c r="L50" s="38">
        <f t="shared" si="10"/>
        <v>68536</v>
      </c>
      <c r="R50" s="21">
        <f t="shared" si="11"/>
        <v>1984</v>
      </c>
      <c r="S50" s="4">
        <f t="shared" si="14"/>
        <v>68536</v>
      </c>
      <c r="T50">
        <f t="shared" si="15"/>
        <v>0</v>
      </c>
      <c r="U50">
        <f t="shared" si="16"/>
        <v>43</v>
      </c>
      <c r="V50" s="1" t="str">
        <f t="shared" si="17"/>
        <v>S3</v>
      </c>
      <c r="W50" s="2">
        <f t="shared" si="18"/>
        <v>1593.860465116279</v>
      </c>
      <c r="X50" s="2">
        <f t="shared" si="12"/>
        <v>0</v>
      </c>
      <c r="Y50" s="18">
        <f t="shared" si="19"/>
        <v>11.390603568315814</v>
      </c>
      <c r="Z50" s="18">
        <f t="shared" si="20"/>
        <v>0</v>
      </c>
      <c r="AA50" s="2">
        <f t="shared" si="13"/>
        <v>18155.032701350992</v>
      </c>
    </row>
    <row r="51" spans="1:27" ht="12.75">
      <c r="A51">
        <v>1985</v>
      </c>
      <c r="C51" s="35">
        <f t="shared" si="9"/>
        <v>609861</v>
      </c>
      <c r="D51" s="35">
        <v>0</v>
      </c>
      <c r="E51" s="35">
        <v>82809</v>
      </c>
      <c r="F51" s="35">
        <v>9800</v>
      </c>
      <c r="G51" s="35">
        <f t="shared" si="0"/>
        <v>682870</v>
      </c>
      <c r="H51" s="28">
        <v>35.5</v>
      </c>
      <c r="I51" s="29">
        <v>0</v>
      </c>
      <c r="J51" s="29">
        <f t="shared" si="1"/>
        <v>0</v>
      </c>
      <c r="L51" s="38">
        <f t="shared" si="10"/>
        <v>82809</v>
      </c>
      <c r="R51" s="21">
        <f t="shared" si="11"/>
        <v>1985</v>
      </c>
      <c r="S51" s="4">
        <f t="shared" si="14"/>
        <v>82809</v>
      </c>
      <c r="T51">
        <f t="shared" si="15"/>
        <v>0</v>
      </c>
      <c r="U51">
        <f t="shared" si="16"/>
        <v>43</v>
      </c>
      <c r="V51" s="1" t="str">
        <f t="shared" si="17"/>
        <v>S3</v>
      </c>
      <c r="W51" s="2">
        <f t="shared" si="18"/>
        <v>1925.7906976744187</v>
      </c>
      <c r="X51" s="2">
        <f t="shared" si="12"/>
        <v>0</v>
      </c>
      <c r="Y51" s="18">
        <f t="shared" si="19"/>
        <v>11.915200679614566</v>
      </c>
      <c r="Z51" s="18">
        <f t="shared" si="20"/>
        <v>0</v>
      </c>
      <c r="AA51" s="2">
        <f t="shared" si="13"/>
        <v>22946.18262972564</v>
      </c>
    </row>
    <row r="52" spans="1:27" ht="12.75">
      <c r="A52">
        <v>1986</v>
      </c>
      <c r="C52" s="37">
        <f>G51</f>
        <v>682870</v>
      </c>
      <c r="D52" s="37">
        <v>0</v>
      </c>
      <c r="E52" s="37">
        <f>49904-45476+41552</f>
        <v>45980</v>
      </c>
      <c r="F52" s="37">
        <f>3383-1659+974</f>
        <v>2698</v>
      </c>
      <c r="G52" s="37">
        <f>C52+D52+E52-F52</f>
        <v>726152</v>
      </c>
      <c r="H52" s="28">
        <v>34.5</v>
      </c>
      <c r="I52" s="29">
        <v>0</v>
      </c>
      <c r="J52" s="29">
        <f>IF(I52=0,0,ROUND((I52/D52/$G$94)+H52,1))</f>
        <v>0</v>
      </c>
      <c r="L52" s="38">
        <f t="shared" si="10"/>
        <v>45980</v>
      </c>
      <c r="R52" s="21">
        <f t="shared" si="11"/>
        <v>1986</v>
      </c>
      <c r="S52" s="4">
        <f t="shared" si="14"/>
        <v>45980</v>
      </c>
      <c r="T52">
        <f t="shared" si="15"/>
        <v>0</v>
      </c>
      <c r="U52">
        <f t="shared" si="16"/>
        <v>43</v>
      </c>
      <c r="V52" s="1" t="str">
        <f t="shared" si="17"/>
        <v>S3</v>
      </c>
      <c r="W52" s="2">
        <f t="shared" si="18"/>
        <v>1069.3023255813953</v>
      </c>
      <c r="X52" s="2">
        <f t="shared" si="12"/>
        <v>0</v>
      </c>
      <c r="Y52" s="18">
        <f t="shared" si="19"/>
        <v>12.463703860639377</v>
      </c>
      <c r="Z52" s="18">
        <f t="shared" si="20"/>
        <v>0</v>
      </c>
      <c r="AA52" s="2">
        <f t="shared" si="13"/>
        <v>13327.4675235395</v>
      </c>
    </row>
    <row r="53" spans="1:27" ht="12.75">
      <c r="A53">
        <v>1987</v>
      </c>
      <c r="C53" s="37">
        <f>G52</f>
        <v>726152</v>
      </c>
      <c r="D53" s="37">
        <v>3463</v>
      </c>
      <c r="E53" s="37">
        <f>75086-41552+73851</f>
        <v>107385</v>
      </c>
      <c r="F53" s="37">
        <f>1355-974+5908</f>
        <v>6289</v>
      </c>
      <c r="G53" s="37">
        <f>C53+D53+E53-F53</f>
        <v>830711</v>
      </c>
      <c r="H53" s="28">
        <v>33.5</v>
      </c>
      <c r="I53" s="29">
        <v>623</v>
      </c>
      <c r="J53" s="29">
        <f aca="true" t="shared" si="21" ref="J53:J68">IF(I53=0,0,ROUND((I53/D53/$G$94)+H53,1))</f>
        <v>39.5</v>
      </c>
      <c r="L53" s="38">
        <f t="shared" si="10"/>
        <v>110848</v>
      </c>
      <c r="R53" s="21">
        <f t="shared" si="11"/>
        <v>1987</v>
      </c>
      <c r="S53" s="4">
        <f t="shared" si="14"/>
        <v>107385</v>
      </c>
      <c r="T53">
        <f t="shared" si="15"/>
        <v>3463</v>
      </c>
      <c r="U53">
        <f t="shared" si="16"/>
        <v>43</v>
      </c>
      <c r="V53" s="1" t="str">
        <f t="shared" si="17"/>
        <v>S3</v>
      </c>
      <c r="W53" s="2">
        <f t="shared" si="18"/>
        <v>2497.3255813953488</v>
      </c>
      <c r="X53" s="2">
        <f t="shared" si="12"/>
        <v>80.53488372093024</v>
      </c>
      <c r="Y53" s="18">
        <f t="shared" si="19"/>
        <v>13.036903920235128</v>
      </c>
      <c r="Z53" s="18">
        <f t="shared" si="20"/>
        <v>0</v>
      </c>
      <c r="AA53" s="2">
        <f t="shared" si="13"/>
        <v>32557.393662196493</v>
      </c>
    </row>
    <row r="54" spans="1:27" ht="12.75">
      <c r="A54">
        <v>1988</v>
      </c>
      <c r="C54" s="37">
        <f aca="true" t="shared" si="22" ref="C54:C68">G53</f>
        <v>830711</v>
      </c>
      <c r="D54" s="37">
        <f>3463-3463</f>
        <v>0</v>
      </c>
      <c r="E54" s="37">
        <f>118794-73851+39638</f>
        <v>84581</v>
      </c>
      <c r="F54" s="37">
        <f>6984-5908+1471</f>
        <v>2547</v>
      </c>
      <c r="G54" s="37">
        <f aca="true" t="shared" si="23" ref="G54:G67">C54+D54+E54-F54</f>
        <v>912745</v>
      </c>
      <c r="H54" s="28">
        <v>32.5</v>
      </c>
      <c r="I54" s="9">
        <v>0</v>
      </c>
      <c r="J54" s="29">
        <f t="shared" si="21"/>
        <v>0</v>
      </c>
      <c r="L54" s="38">
        <f t="shared" si="10"/>
        <v>84581</v>
      </c>
      <c r="R54" s="21">
        <f t="shared" si="11"/>
        <v>1988</v>
      </c>
      <c r="S54" s="4">
        <f t="shared" si="14"/>
        <v>84581</v>
      </c>
      <c r="T54">
        <f t="shared" si="15"/>
        <v>0</v>
      </c>
      <c r="U54">
        <f t="shared" si="16"/>
        <v>43</v>
      </c>
      <c r="V54" s="1" t="str">
        <f t="shared" si="17"/>
        <v>S3</v>
      </c>
      <c r="W54" s="2">
        <f t="shared" si="18"/>
        <v>1967</v>
      </c>
      <c r="X54" s="2">
        <f t="shared" si="12"/>
        <v>0</v>
      </c>
      <c r="Y54" s="18">
        <f t="shared" si="19"/>
        <v>13.635505994149293</v>
      </c>
      <c r="Z54" s="18">
        <f t="shared" si="20"/>
        <v>0</v>
      </c>
      <c r="AA54" s="2">
        <f t="shared" si="13"/>
        <v>26821.04029049166</v>
      </c>
    </row>
    <row r="55" spans="1:27" ht="12.75">
      <c r="A55">
        <v>1989</v>
      </c>
      <c r="C55" s="37">
        <f t="shared" si="22"/>
        <v>912745</v>
      </c>
      <c r="D55" s="37">
        <v>0</v>
      </c>
      <c r="E55" s="37">
        <f>97897-39638+56407</f>
        <v>114666</v>
      </c>
      <c r="F55" s="37">
        <f>6148-1471+5974</f>
        <v>10651</v>
      </c>
      <c r="G55" s="37">
        <f t="shared" si="23"/>
        <v>1016760</v>
      </c>
      <c r="H55" s="28">
        <v>31.5</v>
      </c>
      <c r="I55" s="29">
        <v>0</v>
      </c>
      <c r="J55" s="29">
        <f t="shared" si="21"/>
        <v>0</v>
      </c>
      <c r="L55" s="38">
        <f t="shared" si="10"/>
        <v>114666</v>
      </c>
      <c r="R55" s="21">
        <f t="shared" si="11"/>
        <v>1989</v>
      </c>
      <c r="S55" s="4">
        <f t="shared" si="14"/>
        <v>114666</v>
      </c>
      <c r="T55">
        <f t="shared" si="15"/>
        <v>0</v>
      </c>
      <c r="U55">
        <f t="shared" si="16"/>
        <v>43</v>
      </c>
      <c r="V55" s="1" t="str">
        <f t="shared" si="17"/>
        <v>S3</v>
      </c>
      <c r="W55" s="2">
        <f t="shared" si="18"/>
        <v>2666.6511627906975</v>
      </c>
      <c r="X55" s="2">
        <f t="shared" si="12"/>
        <v>0</v>
      </c>
      <c r="Y55" s="18">
        <f t="shared" si="19"/>
        <v>14.260107335922953</v>
      </c>
      <c r="Z55" s="18">
        <f t="shared" si="20"/>
        <v>0</v>
      </c>
      <c r="AA55" s="2">
        <f t="shared" si="13"/>
        <v>38026.7318088591</v>
      </c>
    </row>
    <row r="56" spans="1:27" ht="12.75">
      <c r="A56">
        <v>1990</v>
      </c>
      <c r="C56" s="37">
        <f t="shared" si="22"/>
        <v>1016760</v>
      </c>
      <c r="D56" s="37">
        <v>0</v>
      </c>
      <c r="E56" s="37">
        <f>99627-56407+68882</f>
        <v>112102</v>
      </c>
      <c r="F56" s="37">
        <f>10605-5974+945</f>
        <v>5576</v>
      </c>
      <c r="G56" s="37">
        <f t="shared" si="23"/>
        <v>1123286</v>
      </c>
      <c r="H56" s="28">
        <v>30.5</v>
      </c>
      <c r="I56" s="29">
        <v>0</v>
      </c>
      <c r="J56" s="29">
        <f t="shared" si="21"/>
        <v>0</v>
      </c>
      <c r="L56" s="38">
        <f t="shared" si="10"/>
        <v>112102</v>
      </c>
      <c r="R56" s="21">
        <f t="shared" si="11"/>
        <v>1990</v>
      </c>
      <c r="S56" s="4">
        <f t="shared" si="14"/>
        <v>112102</v>
      </c>
      <c r="T56">
        <f t="shared" si="15"/>
        <v>0</v>
      </c>
      <c r="U56">
        <f t="shared" si="16"/>
        <v>43</v>
      </c>
      <c r="V56" s="1" t="str">
        <f t="shared" si="17"/>
        <v>S3</v>
      </c>
      <c r="W56" s="2">
        <f t="shared" si="18"/>
        <v>2607.0232558139537</v>
      </c>
      <c r="X56" s="2">
        <f t="shared" si="12"/>
        <v>0</v>
      </c>
      <c r="Y56" s="18">
        <f t="shared" si="19"/>
        <v>14.911173946985693</v>
      </c>
      <c r="Z56" s="18">
        <f t="shared" si="20"/>
        <v>0</v>
      </c>
      <c r="AA56" s="2">
        <f t="shared" si="13"/>
        <v>38873.77725127884</v>
      </c>
    </row>
    <row r="57" spans="1:27" ht="12.75">
      <c r="A57">
        <v>1991</v>
      </c>
      <c r="C57" s="37">
        <f t="shared" si="22"/>
        <v>1123286</v>
      </c>
      <c r="D57" s="37">
        <v>0</v>
      </c>
      <c r="E57" s="37">
        <f>93107-68882+39173</f>
        <v>63398</v>
      </c>
      <c r="F57" s="37">
        <f>1942-945+524</f>
        <v>1521</v>
      </c>
      <c r="G57" s="37">
        <f t="shared" si="23"/>
        <v>1185163</v>
      </c>
      <c r="H57" s="28">
        <v>29.5</v>
      </c>
      <c r="I57" s="29">
        <v>0</v>
      </c>
      <c r="J57" s="29">
        <f t="shared" si="21"/>
        <v>0</v>
      </c>
      <c r="L57" s="38">
        <f t="shared" si="10"/>
        <v>63398</v>
      </c>
      <c r="R57" s="21">
        <f t="shared" si="11"/>
        <v>1991</v>
      </c>
      <c r="S57" s="4">
        <f t="shared" si="14"/>
        <v>63398</v>
      </c>
      <c r="T57">
        <f t="shared" si="15"/>
        <v>0</v>
      </c>
      <c r="U57">
        <f t="shared" si="16"/>
        <v>43</v>
      </c>
      <c r="V57" s="1" t="str">
        <f t="shared" si="17"/>
        <v>S3</v>
      </c>
      <c r="W57" s="2">
        <f t="shared" si="18"/>
        <v>1474.3720930232557</v>
      </c>
      <c r="X57" s="2">
        <f t="shared" si="12"/>
        <v>0</v>
      </c>
      <c r="Y57" s="18">
        <f t="shared" si="19"/>
        <v>15.58901673905953</v>
      </c>
      <c r="Z57" s="18">
        <f t="shared" si="20"/>
        <v>0</v>
      </c>
      <c r="AA57" s="2">
        <f t="shared" si="13"/>
        <v>22984.011237741768</v>
      </c>
    </row>
    <row r="58" spans="1:27" ht="12.75">
      <c r="A58">
        <v>1992</v>
      </c>
      <c r="C58" s="37">
        <f t="shared" si="22"/>
        <v>1185163</v>
      </c>
      <c r="D58" s="37">
        <v>0</v>
      </c>
      <c r="E58" s="37">
        <f>105847-39173+28425</f>
        <v>95099</v>
      </c>
      <c r="F58" s="37">
        <f>2213-524+1473</f>
        <v>3162</v>
      </c>
      <c r="G58" s="37">
        <f t="shared" si="23"/>
        <v>1277100</v>
      </c>
      <c r="H58" s="28">
        <v>28.5</v>
      </c>
      <c r="I58" s="29">
        <v>0</v>
      </c>
      <c r="J58" s="29">
        <f t="shared" si="21"/>
        <v>0</v>
      </c>
      <c r="L58" s="38">
        <f t="shared" si="10"/>
        <v>95099</v>
      </c>
      <c r="R58" s="21">
        <f t="shared" si="11"/>
        <v>1992</v>
      </c>
      <c r="S58" s="4">
        <f t="shared" si="14"/>
        <v>95099</v>
      </c>
      <c r="T58">
        <f t="shared" si="15"/>
        <v>0</v>
      </c>
      <c r="U58">
        <f t="shared" si="16"/>
        <v>43</v>
      </c>
      <c r="V58" s="1" t="str">
        <f t="shared" si="17"/>
        <v>S3</v>
      </c>
      <c r="W58" s="2">
        <f t="shared" si="18"/>
        <v>2211.6046511627906</v>
      </c>
      <c r="X58" s="2">
        <f t="shared" si="12"/>
        <v>0</v>
      </c>
      <c r="Y58" s="18">
        <f t="shared" si="19"/>
        <v>16.293768139114547</v>
      </c>
      <c r="Z58" s="18">
        <f t="shared" si="20"/>
        <v>0</v>
      </c>
      <c r="AA58" s="2">
        <f t="shared" si="13"/>
        <v>36035.37340143382</v>
      </c>
    </row>
    <row r="59" spans="1:27" ht="12.75">
      <c r="A59">
        <v>1993</v>
      </c>
      <c r="C59" s="37">
        <f t="shared" si="22"/>
        <v>1277100</v>
      </c>
      <c r="D59" s="37">
        <v>0</v>
      </c>
      <c r="E59" s="37">
        <f>82823-28425+98414</f>
        <v>152812</v>
      </c>
      <c r="F59" s="37">
        <f>1599-1473+292</f>
        <v>418</v>
      </c>
      <c r="G59" s="37">
        <f t="shared" si="23"/>
        <v>1429494</v>
      </c>
      <c r="H59" s="28">
        <v>27.5</v>
      </c>
      <c r="I59" s="29"/>
      <c r="J59" s="29">
        <f t="shared" si="21"/>
        <v>0</v>
      </c>
      <c r="L59" s="38">
        <f t="shared" si="10"/>
        <v>152812</v>
      </c>
      <c r="R59" s="21">
        <f t="shared" si="11"/>
        <v>1993</v>
      </c>
      <c r="S59" s="4">
        <f t="shared" si="14"/>
        <v>152812</v>
      </c>
      <c r="T59">
        <f t="shared" si="15"/>
        <v>0</v>
      </c>
      <c r="U59">
        <f t="shared" si="16"/>
        <v>43</v>
      </c>
      <c r="V59" s="1" t="str">
        <f t="shared" si="17"/>
        <v>S3</v>
      </c>
      <c r="W59" s="2">
        <f t="shared" si="18"/>
        <v>3553.767441860465</v>
      </c>
      <c r="X59" s="2">
        <f t="shared" si="12"/>
        <v>0</v>
      </c>
      <c r="Y59" s="18">
        <f t="shared" si="19"/>
        <v>17.02536026258244</v>
      </c>
      <c r="Z59" s="18">
        <f t="shared" si="20"/>
        <v>0</v>
      </c>
      <c r="AA59" s="2">
        <f t="shared" si="13"/>
        <v>60504.17098711041</v>
      </c>
    </row>
    <row r="60" spans="1:27" ht="12.75">
      <c r="A60">
        <v>1994</v>
      </c>
      <c r="C60" s="37">
        <f t="shared" si="22"/>
        <v>1429494</v>
      </c>
      <c r="D60" s="37">
        <v>0</v>
      </c>
      <c r="E60" s="37">
        <f>137247-98414+76661</f>
        <v>115494</v>
      </c>
      <c r="F60" s="37">
        <f>514-292+1453</f>
        <v>1675</v>
      </c>
      <c r="G60" s="37">
        <f t="shared" si="23"/>
        <v>1543313</v>
      </c>
      <c r="H60" s="28">
        <v>26.5</v>
      </c>
      <c r="I60" s="29">
        <v>0</v>
      </c>
      <c r="J60" s="29">
        <f t="shared" si="21"/>
        <v>0</v>
      </c>
      <c r="L60" s="38">
        <f t="shared" si="10"/>
        <v>115494</v>
      </c>
      <c r="R60" s="21">
        <f t="shared" si="11"/>
        <v>1994</v>
      </c>
      <c r="S60" s="4">
        <f t="shared" si="14"/>
        <v>115494</v>
      </c>
      <c r="T60">
        <f t="shared" si="15"/>
        <v>0</v>
      </c>
      <c r="U60">
        <f t="shared" si="16"/>
        <v>43</v>
      </c>
      <c r="V60" s="1" t="str">
        <f t="shared" si="17"/>
        <v>S3</v>
      </c>
      <c r="W60" s="2">
        <f t="shared" si="18"/>
        <v>2685.906976744186</v>
      </c>
      <c r="X60" s="2">
        <f t="shared" si="12"/>
        <v>0</v>
      </c>
      <c r="Y60" s="18">
        <f t="shared" si="19"/>
        <v>17.783505972283567</v>
      </c>
      <c r="Z60" s="18">
        <f t="shared" si="20"/>
        <v>0</v>
      </c>
      <c r="AA60" s="2">
        <f t="shared" si="13"/>
        <v>47764.84276192833</v>
      </c>
    </row>
    <row r="61" spans="1:27" ht="12.75">
      <c r="A61">
        <v>1995</v>
      </c>
      <c r="C61" s="37">
        <f t="shared" si="22"/>
        <v>1543313</v>
      </c>
      <c r="D61" s="37">
        <v>0</v>
      </c>
      <c r="E61" s="37">
        <f>126873-76661+76398</f>
        <v>126610</v>
      </c>
      <c r="F61" s="37">
        <f>1493-1453+568</f>
        <v>608</v>
      </c>
      <c r="G61" s="37">
        <f t="shared" si="23"/>
        <v>1669315</v>
      </c>
      <c r="H61" s="28">
        <v>25.5</v>
      </c>
      <c r="I61" s="29"/>
      <c r="J61" s="29">
        <f t="shared" si="21"/>
        <v>0</v>
      </c>
      <c r="L61" s="38">
        <f t="shared" si="10"/>
        <v>126610</v>
      </c>
      <c r="R61" s="21">
        <f t="shared" si="11"/>
        <v>1995</v>
      </c>
      <c r="S61" s="4">
        <f t="shared" si="14"/>
        <v>126610</v>
      </c>
      <c r="T61">
        <f t="shared" si="15"/>
        <v>0</v>
      </c>
      <c r="U61">
        <f t="shared" si="16"/>
        <v>43</v>
      </c>
      <c r="V61" s="1" t="str">
        <f t="shared" si="17"/>
        <v>S3</v>
      </c>
      <c r="W61" s="2">
        <f t="shared" si="18"/>
        <v>2944.4186046511627</v>
      </c>
      <c r="X61" s="2">
        <f t="shared" si="12"/>
        <v>0</v>
      </c>
      <c r="Y61" s="18">
        <f t="shared" si="19"/>
        <v>18.567684280768983</v>
      </c>
      <c r="Z61" s="18">
        <f t="shared" si="20"/>
        <v>0</v>
      </c>
      <c r="AA61" s="2">
        <f t="shared" si="13"/>
        <v>54671.035041585135</v>
      </c>
    </row>
    <row r="62" spans="1:27" ht="12.75">
      <c r="A62">
        <v>1996</v>
      </c>
      <c r="C62" s="37">
        <f t="shared" si="22"/>
        <v>1669315</v>
      </c>
      <c r="D62" s="37">
        <v>0</v>
      </c>
      <c r="E62" s="37">
        <f>55449-76398+135526</f>
        <v>114577</v>
      </c>
      <c r="F62" s="37">
        <f>466-568+711</f>
        <v>609</v>
      </c>
      <c r="G62" s="37">
        <f t="shared" si="23"/>
        <v>1783283</v>
      </c>
      <c r="H62" s="28">
        <v>24.5</v>
      </c>
      <c r="I62" s="29">
        <v>0</v>
      </c>
      <c r="J62" s="29">
        <f t="shared" si="21"/>
        <v>0</v>
      </c>
      <c r="L62" s="38">
        <f t="shared" si="10"/>
        <v>114577</v>
      </c>
      <c r="R62" s="21">
        <f t="shared" si="11"/>
        <v>1996</v>
      </c>
      <c r="S62" s="4">
        <f t="shared" si="14"/>
        <v>114577</v>
      </c>
      <c r="T62">
        <f t="shared" si="15"/>
        <v>0</v>
      </c>
      <c r="U62">
        <f t="shared" si="16"/>
        <v>43</v>
      </c>
      <c r="V62" s="1" t="str">
        <f t="shared" si="17"/>
        <v>S3</v>
      </c>
      <c r="W62" s="2">
        <f t="shared" si="18"/>
        <v>2664.5813953488373</v>
      </c>
      <c r="X62" s="2">
        <f t="shared" si="12"/>
        <v>0</v>
      </c>
      <c r="Y62" s="18">
        <f t="shared" si="19"/>
        <v>19.377131610734285</v>
      </c>
      <c r="Z62" s="18">
        <f t="shared" si="20"/>
        <v>0</v>
      </c>
      <c r="AA62" s="2">
        <f t="shared" si="13"/>
        <v>51631.94438518842</v>
      </c>
    </row>
    <row r="63" spans="1:27" ht="12.75">
      <c r="A63">
        <v>1997</v>
      </c>
      <c r="C63" s="37">
        <f t="shared" si="22"/>
        <v>1783283</v>
      </c>
      <c r="D63" s="37">
        <v>0</v>
      </c>
      <c r="E63" s="37">
        <v>85933</v>
      </c>
      <c r="F63" s="37">
        <v>18843</v>
      </c>
      <c r="G63" s="37">
        <f t="shared" si="23"/>
        <v>1850373</v>
      </c>
      <c r="H63" s="28">
        <v>23.5</v>
      </c>
      <c r="I63" s="9">
        <v>0</v>
      </c>
      <c r="J63" s="29">
        <f t="shared" si="21"/>
        <v>0</v>
      </c>
      <c r="L63" s="38">
        <f t="shared" si="10"/>
        <v>85933</v>
      </c>
      <c r="R63" s="21">
        <f t="shared" si="11"/>
        <v>1997</v>
      </c>
      <c r="S63" s="4">
        <f t="shared" si="14"/>
        <v>85933</v>
      </c>
      <c r="T63">
        <f t="shared" si="15"/>
        <v>0</v>
      </c>
      <c r="U63">
        <f t="shared" si="16"/>
        <v>43</v>
      </c>
      <c r="V63" s="1" t="str">
        <f t="shared" si="17"/>
        <v>S3</v>
      </c>
      <c r="W63" s="2">
        <f t="shared" si="18"/>
        <v>1998.4418604651162</v>
      </c>
      <c r="X63" s="2">
        <f t="shared" si="12"/>
        <v>0</v>
      </c>
      <c r="Y63" s="18">
        <f t="shared" si="19"/>
        <v>20.21084036931857</v>
      </c>
      <c r="Z63" s="18">
        <f t="shared" si="20"/>
        <v>0</v>
      </c>
      <c r="AA63" s="2">
        <f t="shared" si="13"/>
        <v>40390.18942922448</v>
      </c>
    </row>
    <row r="64" spans="1:27" ht="12.75">
      <c r="A64">
        <v>1998</v>
      </c>
      <c r="C64" s="37">
        <f t="shared" si="22"/>
        <v>1850373</v>
      </c>
      <c r="D64" s="37">
        <v>295</v>
      </c>
      <c r="E64" s="37">
        <v>340732</v>
      </c>
      <c r="F64" s="37">
        <v>821</v>
      </c>
      <c r="G64" s="37">
        <f t="shared" si="23"/>
        <v>2190579</v>
      </c>
      <c r="H64" s="28">
        <v>22.5</v>
      </c>
      <c r="I64" s="5">
        <v>84</v>
      </c>
      <c r="J64" s="29">
        <f t="shared" si="21"/>
        <v>32</v>
      </c>
      <c r="L64" s="38">
        <f t="shared" si="10"/>
        <v>341027</v>
      </c>
      <c r="R64" s="21">
        <f t="shared" si="11"/>
        <v>1998</v>
      </c>
      <c r="S64" s="4">
        <f t="shared" si="14"/>
        <v>340732</v>
      </c>
      <c r="T64">
        <f t="shared" si="15"/>
        <v>295</v>
      </c>
      <c r="U64">
        <f t="shared" si="16"/>
        <v>43</v>
      </c>
      <c r="V64" s="1" t="str">
        <f t="shared" si="17"/>
        <v>S3</v>
      </c>
      <c r="W64" s="2">
        <f t="shared" si="18"/>
        <v>7924</v>
      </c>
      <c r="X64" s="2">
        <f t="shared" si="12"/>
        <v>6.8604651162790695</v>
      </c>
      <c r="Y64" s="18">
        <f t="shared" si="19"/>
        <v>21.067566089072557</v>
      </c>
      <c r="Z64" s="18">
        <f t="shared" si="20"/>
        <v>13.635505994149293</v>
      </c>
      <c r="AA64" s="2">
        <f t="shared" si="13"/>
        <v>167032.9396030266</v>
      </c>
    </row>
    <row r="65" spans="1:27" ht="12.75">
      <c r="A65">
        <v>1999</v>
      </c>
      <c r="C65" s="37">
        <f t="shared" si="22"/>
        <v>2190579</v>
      </c>
      <c r="D65" s="37">
        <v>0</v>
      </c>
      <c r="E65" s="37">
        <v>161756</v>
      </c>
      <c r="F65" s="37">
        <v>95069</v>
      </c>
      <c r="G65" s="37">
        <f t="shared" si="23"/>
        <v>2257266</v>
      </c>
      <c r="H65" s="28">
        <v>21.5</v>
      </c>
      <c r="I65" s="29">
        <v>0</v>
      </c>
      <c r="J65" s="29">
        <f t="shared" si="21"/>
        <v>0</v>
      </c>
      <c r="L65" s="38">
        <f t="shared" si="10"/>
        <v>161756</v>
      </c>
      <c r="R65" s="21">
        <f t="shared" si="11"/>
        <v>1999</v>
      </c>
      <c r="S65" s="4">
        <f t="shared" si="14"/>
        <v>161756</v>
      </c>
      <c r="T65">
        <f t="shared" si="15"/>
        <v>0</v>
      </c>
      <c r="U65">
        <f t="shared" si="16"/>
        <v>43</v>
      </c>
      <c r="V65" s="1" t="str">
        <f t="shared" si="17"/>
        <v>S3</v>
      </c>
      <c r="W65" s="2">
        <f t="shared" si="18"/>
        <v>3761.767441860465</v>
      </c>
      <c r="X65" s="2">
        <f t="shared" si="12"/>
        <v>0</v>
      </c>
      <c r="Y65" s="18">
        <f t="shared" si="19"/>
        <v>21.945844022973983</v>
      </c>
      <c r="Z65" s="18">
        <f t="shared" si="20"/>
        <v>0</v>
      </c>
      <c r="AA65" s="2">
        <f t="shared" si="13"/>
        <v>82555.16152977162</v>
      </c>
    </row>
    <row r="66" spans="1:27" ht="12.75">
      <c r="A66">
        <v>2000</v>
      </c>
      <c r="C66" s="37">
        <f t="shared" si="22"/>
        <v>2257266</v>
      </c>
      <c r="D66" s="37">
        <v>0</v>
      </c>
      <c r="E66" s="37">
        <v>136617</v>
      </c>
      <c r="F66" s="37">
        <v>7192</v>
      </c>
      <c r="G66" s="37">
        <f t="shared" si="23"/>
        <v>2386691</v>
      </c>
      <c r="H66" s="28">
        <v>20.5</v>
      </c>
      <c r="I66" s="9">
        <v>0</v>
      </c>
      <c r="J66" s="29">
        <f t="shared" si="21"/>
        <v>0</v>
      </c>
      <c r="L66" s="38">
        <f t="shared" si="10"/>
        <v>136617</v>
      </c>
      <c r="R66" s="21">
        <f t="shared" si="11"/>
        <v>2000</v>
      </c>
      <c r="S66" s="4">
        <f t="shared" si="14"/>
        <v>136617</v>
      </c>
      <c r="T66">
        <f t="shared" si="15"/>
        <v>0</v>
      </c>
      <c r="U66">
        <f t="shared" si="16"/>
        <v>43</v>
      </c>
      <c r="V66" s="1" t="str">
        <f t="shared" si="17"/>
        <v>S3</v>
      </c>
      <c r="W66" s="2">
        <f t="shared" si="18"/>
        <v>3177.139534883721</v>
      </c>
      <c r="X66" s="2">
        <f t="shared" si="12"/>
        <v>0</v>
      </c>
      <c r="Y66" s="18">
        <f t="shared" si="19"/>
        <v>22.84401555158856</v>
      </c>
      <c r="Z66" s="18">
        <f t="shared" si="20"/>
        <v>0</v>
      </c>
      <c r="AA66" s="2">
        <f t="shared" si="13"/>
        <v>72578.62494445057</v>
      </c>
    </row>
    <row r="67" spans="1:27" ht="12.75">
      <c r="A67">
        <v>2001</v>
      </c>
      <c r="C67" s="37">
        <f t="shared" si="22"/>
        <v>2386691</v>
      </c>
      <c r="D67" s="37">
        <v>0</v>
      </c>
      <c r="E67" s="37">
        <v>84144</v>
      </c>
      <c r="F67" s="37">
        <v>4732</v>
      </c>
      <c r="G67" s="37">
        <f t="shared" si="23"/>
        <v>2466103</v>
      </c>
      <c r="H67" s="28">
        <v>19.5</v>
      </c>
      <c r="I67" s="9">
        <v>0</v>
      </c>
      <c r="J67" s="29">
        <f t="shared" si="21"/>
        <v>0</v>
      </c>
      <c r="L67" s="38">
        <f t="shared" si="10"/>
        <v>84144</v>
      </c>
      <c r="R67" s="21">
        <f t="shared" si="11"/>
        <v>2001</v>
      </c>
      <c r="S67" s="4">
        <f t="shared" si="14"/>
        <v>84144</v>
      </c>
      <c r="T67">
        <f t="shared" si="15"/>
        <v>0</v>
      </c>
      <c r="U67">
        <f t="shared" si="16"/>
        <v>43</v>
      </c>
      <c r="V67" s="1" t="str">
        <f t="shared" si="17"/>
        <v>S3</v>
      </c>
      <c r="W67" s="2">
        <f t="shared" si="18"/>
        <v>1956.8372093023256</v>
      </c>
      <c r="X67" s="2">
        <f t="shared" si="12"/>
        <v>0</v>
      </c>
      <c r="Y67" s="18">
        <f>Prob_life($V$67,H67,$U$67)</f>
        <v>23.760264088166192</v>
      </c>
      <c r="Z67" s="18">
        <f t="shared" si="20"/>
        <v>0</v>
      </c>
      <c r="AA67" s="2">
        <f t="shared" si="13"/>
        <v>46494.9688705734</v>
      </c>
    </row>
    <row r="68" spans="1:27" ht="12.75">
      <c r="A68">
        <v>2002</v>
      </c>
      <c r="C68" s="37">
        <f t="shared" si="22"/>
        <v>2466103</v>
      </c>
      <c r="D68" s="37">
        <v>0</v>
      </c>
      <c r="E68" s="37">
        <v>114466.04</v>
      </c>
      <c r="F68" s="37">
        <v>10024</v>
      </c>
      <c r="G68" s="37">
        <f aca="true" t="shared" si="24" ref="G68:G75">C68+D68+E68-F68</f>
        <v>2570545.04</v>
      </c>
      <c r="H68" s="28">
        <v>18.5</v>
      </c>
      <c r="I68" s="29">
        <v>0</v>
      </c>
      <c r="J68" s="29">
        <f t="shared" si="21"/>
        <v>0</v>
      </c>
      <c r="L68" s="38">
        <f t="shared" si="10"/>
        <v>114466.04</v>
      </c>
      <c r="R68" s="21">
        <f t="shared" si="11"/>
        <v>2002</v>
      </c>
      <c r="S68" s="4">
        <f t="shared" si="14"/>
        <v>114466.04</v>
      </c>
      <c r="T68">
        <f t="shared" si="15"/>
        <v>0</v>
      </c>
      <c r="U68">
        <f t="shared" si="16"/>
        <v>43</v>
      </c>
      <c r="V68" s="1" t="str">
        <f t="shared" si="17"/>
        <v>S3</v>
      </c>
      <c r="W68" s="2">
        <f t="shared" si="18"/>
        <v>2662.000930232558</v>
      </c>
      <c r="X68" s="2">
        <f t="shared" si="12"/>
        <v>0</v>
      </c>
      <c r="Y68" s="18">
        <f aca="true" t="shared" si="25" ref="Y68:Y75">Prob_life(V68,H68,U68)</f>
        <v>24.692659398528914</v>
      </c>
      <c r="Z68" s="18">
        <f t="shared" si="20"/>
        <v>0</v>
      </c>
      <c r="AA68" s="2">
        <f t="shared" si="13"/>
        <v>65731.88228879968</v>
      </c>
    </row>
    <row r="69" spans="1:27" ht="12.75">
      <c r="A69">
        <v>2003</v>
      </c>
      <c r="C69" s="37">
        <f aca="true" t="shared" si="26" ref="C69:C75">G68</f>
        <v>2570545.04</v>
      </c>
      <c r="D69" s="37">
        <v>0</v>
      </c>
      <c r="E69" s="37">
        <v>108820</v>
      </c>
      <c r="F69" s="37">
        <v>52</v>
      </c>
      <c r="G69" s="37">
        <f t="shared" si="24"/>
        <v>2679313.04</v>
      </c>
      <c r="H69" s="28">
        <v>17.5</v>
      </c>
      <c r="I69" s="29"/>
      <c r="J69" s="29"/>
      <c r="L69" s="38">
        <f t="shared" si="10"/>
        <v>108820</v>
      </c>
      <c r="R69" s="21">
        <f aca="true" t="shared" si="27" ref="R69:R75">A69</f>
        <v>2003</v>
      </c>
      <c r="S69" s="4">
        <f aca="true" t="shared" si="28" ref="S69:S75">E69</f>
        <v>108820</v>
      </c>
      <c r="T69">
        <f aca="true" t="shared" si="29" ref="T69:T75">IF(D69&gt;0,IF(J69&gt;0,D69,0),0)</f>
        <v>0</v>
      </c>
      <c r="U69">
        <f t="shared" si="16"/>
        <v>43</v>
      </c>
      <c r="V69" s="1" t="str">
        <f t="shared" si="17"/>
        <v>S3</v>
      </c>
      <c r="W69" s="2">
        <f aca="true" t="shared" si="30" ref="W69:W75">S69/U69</f>
        <v>2530.6976744186045</v>
      </c>
      <c r="X69" s="2">
        <f aca="true" t="shared" si="31" ref="X69:X75">T69/U69</f>
        <v>0</v>
      </c>
      <c r="Y69" s="18">
        <f t="shared" si="25"/>
        <v>25.63920845824777</v>
      </c>
      <c r="Z69" s="18">
        <f aca="true" t="shared" si="32" ref="Z69:Z75">IF(J69&gt;0,Prob_life(V69,J69+0.5,U69),0)</f>
        <v>0</v>
      </c>
      <c r="AA69" s="2">
        <f aca="true" t="shared" si="33" ref="AA69:AA75">W69*Y69+X69*Z69</f>
        <v>64885.085219221444</v>
      </c>
    </row>
    <row r="70" spans="1:27" ht="12.75">
      <c r="A70">
        <v>2004</v>
      </c>
      <c r="C70" s="37">
        <f t="shared" si="26"/>
        <v>2679313.04</v>
      </c>
      <c r="D70" s="37">
        <v>0</v>
      </c>
      <c r="E70" s="37">
        <v>115491</v>
      </c>
      <c r="F70" s="37">
        <v>14468</v>
      </c>
      <c r="G70" s="37">
        <f t="shared" si="24"/>
        <v>2780336.04</v>
      </c>
      <c r="H70" s="28">
        <v>16.5</v>
      </c>
      <c r="I70" s="29"/>
      <c r="J70" s="29"/>
      <c r="L70" s="38">
        <f t="shared" si="10"/>
        <v>115491</v>
      </c>
      <c r="R70" s="21">
        <f t="shared" si="27"/>
        <v>2004</v>
      </c>
      <c r="S70" s="4">
        <f t="shared" si="28"/>
        <v>115491</v>
      </c>
      <c r="T70">
        <f t="shared" si="29"/>
        <v>0</v>
      </c>
      <c r="U70">
        <f t="shared" si="16"/>
        <v>43</v>
      </c>
      <c r="V70" s="1" t="str">
        <f t="shared" si="17"/>
        <v>S3</v>
      </c>
      <c r="W70" s="2">
        <f t="shared" si="30"/>
        <v>2685.8372093023254</v>
      </c>
      <c r="X70" s="2">
        <f t="shared" si="31"/>
        <v>0</v>
      </c>
      <c r="Y70" s="18">
        <f t="shared" si="25"/>
        <v>26.59791024002677</v>
      </c>
      <c r="Z70" s="18">
        <f t="shared" si="32"/>
        <v>0</v>
      </c>
      <c r="AA70" s="2">
        <f t="shared" si="33"/>
        <v>71437.65701234725</v>
      </c>
    </row>
    <row r="71" spans="1:27" ht="12.75">
      <c r="A71">
        <v>2005</v>
      </c>
      <c r="C71" s="37">
        <f t="shared" si="26"/>
        <v>2780336.04</v>
      </c>
      <c r="D71" s="37">
        <v>0</v>
      </c>
      <c r="E71" s="37">
        <v>142383.5</v>
      </c>
      <c r="F71" s="37">
        <v>5342.74</v>
      </c>
      <c r="G71" s="37">
        <f t="shared" si="24"/>
        <v>2917376.8</v>
      </c>
      <c r="H71" s="28">
        <v>15.5</v>
      </c>
      <c r="I71" s="29"/>
      <c r="J71" s="29"/>
      <c r="L71" s="38">
        <f aca="true" t="shared" si="34" ref="L71:L86">D71+E71</f>
        <v>142383.5</v>
      </c>
      <c r="R71" s="21">
        <f t="shared" si="27"/>
        <v>2005</v>
      </c>
      <c r="S71" s="4">
        <f t="shared" si="28"/>
        <v>142383.5</v>
      </c>
      <c r="T71">
        <f t="shared" si="29"/>
        <v>0</v>
      </c>
      <c r="U71">
        <f t="shared" si="16"/>
        <v>43</v>
      </c>
      <c r="V71" s="1" t="str">
        <f t="shared" si="17"/>
        <v>S3</v>
      </c>
      <c r="W71" s="2">
        <f t="shared" si="30"/>
        <v>3311.2441860465115</v>
      </c>
      <c r="X71" s="2">
        <f t="shared" si="31"/>
        <v>0</v>
      </c>
      <c r="Y71" s="18">
        <f t="shared" si="25"/>
        <v>27.566811257760847</v>
      </c>
      <c r="Z71" s="18">
        <f t="shared" si="32"/>
        <v>0</v>
      </c>
      <c r="AA71" s="2">
        <f t="shared" si="33"/>
        <v>91280.44350510213</v>
      </c>
    </row>
    <row r="72" spans="1:27" ht="12.75">
      <c r="A72">
        <v>2006</v>
      </c>
      <c r="C72" s="37">
        <f>G71</f>
        <v>2917376.8</v>
      </c>
      <c r="D72" s="37">
        <v>0</v>
      </c>
      <c r="E72" s="37">
        <v>181209.17</v>
      </c>
      <c r="F72" s="37">
        <v>5286.39</v>
      </c>
      <c r="G72" s="37">
        <f t="shared" si="24"/>
        <v>3093299.5799999996</v>
      </c>
      <c r="H72" s="28">
        <v>14.5</v>
      </c>
      <c r="I72" s="29"/>
      <c r="J72" s="29"/>
      <c r="L72" s="38">
        <f t="shared" si="34"/>
        <v>181209.17</v>
      </c>
      <c r="R72" s="21">
        <f t="shared" si="27"/>
        <v>2006</v>
      </c>
      <c r="S72" s="4">
        <f t="shared" si="28"/>
        <v>181209.17</v>
      </c>
      <c r="T72">
        <f t="shared" si="29"/>
        <v>0</v>
      </c>
      <c r="U72">
        <f t="shared" si="16"/>
        <v>43</v>
      </c>
      <c r="V72" s="1" t="str">
        <f t="shared" si="17"/>
        <v>S3</v>
      </c>
      <c r="W72" s="2">
        <f t="shared" si="30"/>
        <v>4214.166744186047</v>
      </c>
      <c r="X72" s="2">
        <f t="shared" si="31"/>
        <v>0</v>
      </c>
      <c r="Y72" s="18">
        <f t="shared" si="25"/>
        <v>28.544058382194383</v>
      </c>
      <c r="Z72" s="18">
        <f t="shared" si="32"/>
        <v>0</v>
      </c>
      <c r="AA72" s="2">
        <f t="shared" si="33"/>
        <v>120289.42157834856</v>
      </c>
    </row>
    <row r="73" spans="1:27" ht="12.75">
      <c r="A73">
        <v>2007</v>
      </c>
      <c r="C73" s="37">
        <f t="shared" si="26"/>
        <v>3093299.5799999996</v>
      </c>
      <c r="D73" s="37">
        <v>-41917.92</v>
      </c>
      <c r="E73" s="37">
        <v>223326.1</v>
      </c>
      <c r="F73" s="37">
        <v>9049.99</v>
      </c>
      <c r="G73" s="37">
        <f t="shared" si="24"/>
        <v>3265657.7699999996</v>
      </c>
      <c r="H73" s="28">
        <v>13.5</v>
      </c>
      <c r="I73" s="29"/>
      <c r="J73" s="29"/>
      <c r="L73" s="38">
        <f t="shared" si="34"/>
        <v>181408.18</v>
      </c>
      <c r="R73" s="21">
        <f t="shared" si="27"/>
        <v>2007</v>
      </c>
      <c r="S73" s="4">
        <f t="shared" si="28"/>
        <v>223326.1</v>
      </c>
      <c r="T73">
        <f t="shared" si="29"/>
        <v>0</v>
      </c>
      <c r="U73">
        <f t="shared" si="16"/>
        <v>43</v>
      </c>
      <c r="V73" s="1" t="str">
        <f t="shared" si="17"/>
        <v>S3</v>
      </c>
      <c r="W73" s="2">
        <f t="shared" si="30"/>
        <v>5193.63023255814</v>
      </c>
      <c r="X73" s="2">
        <f t="shared" si="31"/>
        <v>0</v>
      </c>
      <c r="Y73" s="18">
        <f t="shared" si="25"/>
        <v>29.527945455642726</v>
      </c>
      <c r="Z73" s="18">
        <f t="shared" si="32"/>
        <v>0</v>
      </c>
      <c r="AA73" s="2">
        <f t="shared" si="33"/>
        <v>153357.2302237538</v>
      </c>
    </row>
    <row r="74" spans="1:27" ht="12.75">
      <c r="A74">
        <v>2008</v>
      </c>
      <c r="C74" s="37">
        <f t="shared" si="26"/>
        <v>3265657.7699999996</v>
      </c>
      <c r="D74" s="37">
        <v>0</v>
      </c>
      <c r="E74" s="37">
        <v>161645.85</v>
      </c>
      <c r="F74" s="37">
        <v>25044.49</v>
      </c>
      <c r="G74" s="37">
        <f t="shared" si="24"/>
        <v>3402259.1299999994</v>
      </c>
      <c r="H74" s="28">
        <v>12.5</v>
      </c>
      <c r="I74" s="29"/>
      <c r="J74" s="29"/>
      <c r="L74" s="38">
        <f t="shared" si="34"/>
        <v>161645.85</v>
      </c>
      <c r="R74" s="21">
        <f t="shared" si="27"/>
        <v>2008</v>
      </c>
      <c r="S74" s="4">
        <f t="shared" si="28"/>
        <v>161645.85</v>
      </c>
      <c r="T74">
        <f t="shared" si="29"/>
        <v>0</v>
      </c>
      <c r="U74">
        <f t="shared" si="16"/>
        <v>43</v>
      </c>
      <c r="V74" s="1" t="str">
        <f t="shared" si="17"/>
        <v>S3</v>
      </c>
      <c r="W74" s="2">
        <f t="shared" si="30"/>
        <v>3759.2058139534884</v>
      </c>
      <c r="X74" s="2">
        <f t="shared" si="31"/>
        <v>0</v>
      </c>
      <c r="Y74" s="18">
        <f t="shared" si="25"/>
        <v>30.516950602260234</v>
      </c>
      <c r="Z74" s="18">
        <f t="shared" si="32"/>
        <v>0</v>
      </c>
      <c r="AA74" s="2">
        <f t="shared" si="33"/>
        <v>114719.49812814809</v>
      </c>
    </row>
    <row r="75" spans="1:27" ht="12.75">
      <c r="A75" s="29">
        <v>2009</v>
      </c>
      <c r="C75" s="39">
        <f t="shared" si="26"/>
        <v>3402259.1299999994</v>
      </c>
      <c r="D75" s="37">
        <v>0</v>
      </c>
      <c r="E75" s="37">
        <v>98026.69</v>
      </c>
      <c r="F75" s="37">
        <v>21735.83</v>
      </c>
      <c r="G75" s="37">
        <f t="shared" si="24"/>
        <v>3478549.9899999993</v>
      </c>
      <c r="H75" s="28">
        <v>11.5</v>
      </c>
      <c r="I75" s="29"/>
      <c r="J75" s="29"/>
      <c r="L75" s="38">
        <f t="shared" si="34"/>
        <v>98026.69</v>
      </c>
      <c r="R75" s="21">
        <f t="shared" si="27"/>
        <v>2009</v>
      </c>
      <c r="S75" s="4">
        <f t="shared" si="28"/>
        <v>98026.69</v>
      </c>
      <c r="T75">
        <f t="shared" si="29"/>
        <v>0</v>
      </c>
      <c r="U75">
        <f t="shared" si="16"/>
        <v>43</v>
      </c>
      <c r="V75" s="1" t="str">
        <f t="shared" si="17"/>
        <v>S3</v>
      </c>
      <c r="W75" s="2">
        <f t="shared" si="30"/>
        <v>2279.690465116279</v>
      </c>
      <c r="X75" s="2">
        <f t="shared" si="31"/>
        <v>0</v>
      </c>
      <c r="Y75" s="18">
        <f t="shared" si="25"/>
        <v>31.50976184249726</v>
      </c>
      <c r="Z75" s="18">
        <f t="shared" si="32"/>
        <v>0</v>
      </c>
      <c r="AA75" s="2">
        <f t="shared" si="33"/>
        <v>71832.50363042575</v>
      </c>
    </row>
    <row r="76" spans="1:27" ht="12.75">
      <c r="A76" s="29">
        <v>2010</v>
      </c>
      <c r="C76" s="37">
        <f aca="true" t="shared" si="35" ref="C76:C86">G75</f>
        <v>3478549.9899999993</v>
      </c>
      <c r="D76" s="37">
        <v>0</v>
      </c>
      <c r="E76" s="37">
        <v>93242.44</v>
      </c>
      <c r="F76" s="37">
        <v>29841.19</v>
      </c>
      <c r="G76" s="37">
        <f aca="true" t="shared" si="36" ref="G76:G86">C76+D76+E76-F76</f>
        <v>3541951.2399999993</v>
      </c>
      <c r="H76" s="28">
        <v>10.5</v>
      </c>
      <c r="I76" s="29"/>
      <c r="J76" s="29"/>
      <c r="L76" s="38">
        <f t="shared" si="34"/>
        <v>93242.44</v>
      </c>
      <c r="R76" s="21">
        <f aca="true" t="shared" si="37" ref="R76:R86">A76</f>
        <v>2010</v>
      </c>
      <c r="S76" s="4">
        <f aca="true" t="shared" si="38" ref="S76:S86">E76</f>
        <v>93242.44</v>
      </c>
      <c r="T76">
        <f aca="true" t="shared" si="39" ref="T76:T86">IF(D76&gt;0,IF(J76&gt;0,D76,0),0)</f>
        <v>0</v>
      </c>
      <c r="U76">
        <f t="shared" si="16"/>
        <v>43</v>
      </c>
      <c r="V76" s="1" t="str">
        <f t="shared" si="17"/>
        <v>S3</v>
      </c>
      <c r="W76" s="2">
        <f aca="true" t="shared" si="40" ref="W76:W86">S76/U76</f>
        <v>2168.4288372093024</v>
      </c>
      <c r="X76" s="2">
        <f aca="true" t="shared" si="41" ref="X76:X86">T76/U76</f>
        <v>0</v>
      </c>
      <c r="Y76" s="18">
        <f aca="true" t="shared" si="42" ref="Y76:Y86">Prob_life(V76,H76,U76)</f>
        <v>32.50528961491512</v>
      </c>
      <c r="Z76" s="18">
        <f aca="true" t="shared" si="43" ref="Z76:Z86">IF(J76&gt;0,Prob_life(V76,J76+0.5,U76),0)</f>
        <v>0</v>
      </c>
      <c r="AA76" s="2">
        <f aca="true" t="shared" si="44" ref="AA76:AA86">W76*Y76+X76*Z76</f>
        <v>70485.407362822</v>
      </c>
    </row>
    <row r="77" spans="1:27" ht="12.75">
      <c r="A77" s="29">
        <v>2011</v>
      </c>
      <c r="C77" s="37">
        <f t="shared" si="35"/>
        <v>3541951.2399999993</v>
      </c>
      <c r="D77" s="37">
        <v>0</v>
      </c>
      <c r="E77" s="37">
        <v>67442.7</v>
      </c>
      <c r="F77" s="37">
        <v>42986.23</v>
      </c>
      <c r="G77" s="37">
        <f t="shared" si="36"/>
        <v>3566407.7099999995</v>
      </c>
      <c r="H77" s="28">
        <v>9.5</v>
      </c>
      <c r="I77" s="29"/>
      <c r="J77" s="29"/>
      <c r="L77" s="38">
        <f t="shared" si="34"/>
        <v>67442.7</v>
      </c>
      <c r="R77" s="21">
        <f t="shared" si="37"/>
        <v>2011</v>
      </c>
      <c r="S77" s="4">
        <f t="shared" si="38"/>
        <v>67442.7</v>
      </c>
      <c r="T77">
        <f t="shared" si="39"/>
        <v>0</v>
      </c>
      <c r="U77">
        <f t="shared" si="16"/>
        <v>43</v>
      </c>
      <c r="V77" s="1" t="str">
        <f t="shared" si="17"/>
        <v>S3</v>
      </c>
      <c r="W77" s="2">
        <f t="shared" si="40"/>
        <v>1568.4348837209302</v>
      </c>
      <c r="X77" s="2">
        <f t="shared" si="41"/>
        <v>0</v>
      </c>
      <c r="Y77" s="18">
        <f t="shared" si="42"/>
        <v>33.50266598343167</v>
      </c>
      <c r="Z77" s="18">
        <f t="shared" si="43"/>
        <v>0</v>
      </c>
      <c r="AA77" s="2">
        <f t="shared" si="44"/>
        <v>52546.750026064816</v>
      </c>
    </row>
    <row r="78" spans="1:27" ht="12.75">
      <c r="A78" s="29">
        <v>2012</v>
      </c>
      <c r="C78" s="37">
        <f t="shared" si="35"/>
        <v>3566407.7099999995</v>
      </c>
      <c r="D78" s="37">
        <v>0</v>
      </c>
      <c r="E78" s="37">
        <v>121578.13</v>
      </c>
      <c r="F78" s="37">
        <v>37927.94</v>
      </c>
      <c r="G78" s="37">
        <f t="shared" si="36"/>
        <v>3650057.8999999994</v>
      </c>
      <c r="H78" s="28">
        <v>8.5</v>
      </c>
      <c r="I78" s="29"/>
      <c r="J78" s="29"/>
      <c r="L78" s="38">
        <f t="shared" si="34"/>
        <v>121578.13</v>
      </c>
      <c r="R78" s="21">
        <f t="shared" si="37"/>
        <v>2012</v>
      </c>
      <c r="S78" s="4">
        <f t="shared" si="38"/>
        <v>121578.13</v>
      </c>
      <c r="T78">
        <f t="shared" si="39"/>
        <v>0</v>
      </c>
      <c r="U78">
        <f t="shared" si="16"/>
        <v>43</v>
      </c>
      <c r="V78" s="1" t="str">
        <f t="shared" si="17"/>
        <v>S3</v>
      </c>
      <c r="W78" s="2">
        <f t="shared" si="40"/>
        <v>2827.398372093023</v>
      </c>
      <c r="X78" s="2">
        <f t="shared" si="41"/>
        <v>0</v>
      </c>
      <c r="Y78" s="18">
        <f t="shared" si="42"/>
        <v>34.50123153282822</v>
      </c>
      <c r="Z78" s="18">
        <f t="shared" si="43"/>
        <v>0</v>
      </c>
      <c r="AA78" s="2">
        <f t="shared" si="44"/>
        <v>97548.725871123</v>
      </c>
    </row>
    <row r="79" spans="1:27" ht="12.75">
      <c r="A79" s="29">
        <v>2013</v>
      </c>
      <c r="C79" s="37">
        <f t="shared" si="35"/>
        <v>3650057.8999999994</v>
      </c>
      <c r="D79" s="37">
        <v>0</v>
      </c>
      <c r="E79" s="37">
        <v>91755.58</v>
      </c>
      <c r="F79" s="37">
        <v>48415.89</v>
      </c>
      <c r="G79" s="37">
        <f t="shared" si="36"/>
        <v>3693397.5899999994</v>
      </c>
      <c r="H79" s="28">
        <v>7.5</v>
      </c>
      <c r="I79" s="29"/>
      <c r="J79" s="29"/>
      <c r="L79" s="38">
        <f t="shared" si="34"/>
        <v>91755.58</v>
      </c>
      <c r="R79" s="21">
        <f t="shared" si="37"/>
        <v>2013</v>
      </c>
      <c r="S79" s="4">
        <f t="shared" si="38"/>
        <v>91755.58</v>
      </c>
      <c r="T79">
        <f t="shared" si="39"/>
        <v>0</v>
      </c>
      <c r="U79">
        <f t="shared" si="16"/>
        <v>43</v>
      </c>
      <c r="V79" s="1" t="str">
        <f t="shared" si="17"/>
        <v>S3</v>
      </c>
      <c r="W79" s="2">
        <f t="shared" si="40"/>
        <v>2133.850697674419</v>
      </c>
      <c r="X79" s="2">
        <f t="shared" si="41"/>
        <v>0</v>
      </c>
      <c r="Y79" s="18">
        <f t="shared" si="42"/>
        <v>35.500512087330264</v>
      </c>
      <c r="Z79" s="18">
        <f t="shared" si="43"/>
        <v>0</v>
      </c>
      <c r="AA79" s="2">
        <f t="shared" si="44"/>
        <v>75752.79248534882</v>
      </c>
    </row>
    <row r="80" spans="1:27" ht="12.75">
      <c r="A80" s="29">
        <v>2014</v>
      </c>
      <c r="C80" s="37">
        <f t="shared" si="35"/>
        <v>3693397.5899999994</v>
      </c>
      <c r="D80" s="37">
        <v>0</v>
      </c>
      <c r="E80" s="37">
        <v>207774.3</v>
      </c>
      <c r="F80" s="37">
        <v>16493.47</v>
      </c>
      <c r="G80" s="37">
        <f t="shared" si="36"/>
        <v>3884678.419999999</v>
      </c>
      <c r="H80" s="28">
        <v>6.5</v>
      </c>
      <c r="I80" s="29"/>
      <c r="J80" s="29"/>
      <c r="L80" s="38">
        <f t="shared" si="34"/>
        <v>207774.3</v>
      </c>
      <c r="R80" s="21">
        <f t="shared" si="37"/>
        <v>2014</v>
      </c>
      <c r="S80" s="4">
        <f t="shared" si="38"/>
        <v>207774.3</v>
      </c>
      <c r="T80">
        <f t="shared" si="39"/>
        <v>0</v>
      </c>
      <c r="U80">
        <f t="shared" si="16"/>
        <v>43</v>
      </c>
      <c r="V80" s="1" t="str">
        <f t="shared" si="17"/>
        <v>S3</v>
      </c>
      <c r="W80" s="2">
        <f t="shared" si="40"/>
        <v>4831.960465116279</v>
      </c>
      <c r="X80" s="2">
        <f t="shared" si="41"/>
        <v>0</v>
      </c>
      <c r="Y80" s="18">
        <f t="shared" si="42"/>
        <v>36.500188288485624</v>
      </c>
      <c r="Z80" s="18">
        <f t="shared" si="43"/>
        <v>0</v>
      </c>
      <c r="AA80" s="2">
        <f t="shared" si="44"/>
        <v>176367.46677926276</v>
      </c>
    </row>
    <row r="81" spans="1:27" ht="12.75">
      <c r="A81" s="29">
        <v>2015</v>
      </c>
      <c r="C81" s="37">
        <f t="shared" si="35"/>
        <v>3884678.419999999</v>
      </c>
      <c r="D81" s="37">
        <v>0</v>
      </c>
      <c r="E81" s="37">
        <v>85351.52</v>
      </c>
      <c r="F81" s="37">
        <v>39381.06</v>
      </c>
      <c r="G81" s="37">
        <f t="shared" si="36"/>
        <v>3930648.879999999</v>
      </c>
      <c r="H81" s="28">
        <v>5.5</v>
      </c>
      <c r="I81" s="29"/>
      <c r="J81" s="29"/>
      <c r="L81" s="38">
        <f t="shared" si="34"/>
        <v>85351.52</v>
      </c>
      <c r="R81" s="21">
        <f t="shared" si="37"/>
        <v>2015</v>
      </c>
      <c r="S81" s="4">
        <f t="shared" si="38"/>
        <v>85351.52</v>
      </c>
      <c r="T81">
        <f t="shared" si="39"/>
        <v>0</v>
      </c>
      <c r="U81">
        <f t="shared" si="16"/>
        <v>43</v>
      </c>
      <c r="V81" s="1" t="str">
        <f t="shared" si="17"/>
        <v>S3</v>
      </c>
      <c r="W81" s="2">
        <f t="shared" si="40"/>
        <v>1984.919069767442</v>
      </c>
      <c r="X81" s="2">
        <f t="shared" si="41"/>
        <v>0</v>
      </c>
      <c r="Y81" s="18">
        <f t="shared" si="42"/>
        <v>37.50006162141222</v>
      </c>
      <c r="Z81" s="18">
        <f t="shared" si="43"/>
        <v>0</v>
      </c>
      <c r="AA81" s="2">
        <f t="shared" si="44"/>
        <v>74434.5874297953</v>
      </c>
    </row>
    <row r="82" spans="1:27" ht="12.75">
      <c r="A82" s="29">
        <v>2016</v>
      </c>
      <c r="C82" s="37">
        <f t="shared" si="35"/>
        <v>3930648.879999999</v>
      </c>
      <c r="D82" s="37">
        <v>0</v>
      </c>
      <c r="E82" s="37">
        <v>105110.53</v>
      </c>
      <c r="F82" s="37">
        <v>24045.39</v>
      </c>
      <c r="G82" s="37">
        <f t="shared" si="36"/>
        <v>4011714.0199999986</v>
      </c>
      <c r="H82" s="28">
        <v>4.5</v>
      </c>
      <c r="I82" s="29"/>
      <c r="J82" s="29"/>
      <c r="L82" s="38">
        <f t="shared" si="34"/>
        <v>105110.53</v>
      </c>
      <c r="R82" s="21">
        <f t="shared" si="37"/>
        <v>2016</v>
      </c>
      <c r="S82" s="4">
        <f t="shared" si="38"/>
        <v>105110.53</v>
      </c>
      <c r="T82">
        <f t="shared" si="39"/>
        <v>0</v>
      </c>
      <c r="U82">
        <f t="shared" si="16"/>
        <v>43</v>
      </c>
      <c r="V82" s="1" t="str">
        <f t="shared" si="17"/>
        <v>S3</v>
      </c>
      <c r="W82" s="2">
        <f t="shared" si="40"/>
        <v>2444.4309302325582</v>
      </c>
      <c r="X82" s="2">
        <f t="shared" si="41"/>
        <v>0</v>
      </c>
      <c r="Y82" s="18">
        <f t="shared" si="42"/>
        <v>38.50002059661587</v>
      </c>
      <c r="Z82" s="18">
        <f t="shared" si="43"/>
        <v>0</v>
      </c>
      <c r="AA82" s="2">
        <f t="shared" si="44"/>
        <v>94110.64116095837</v>
      </c>
    </row>
    <row r="83" spans="1:27" ht="12.75">
      <c r="A83" s="29">
        <v>2017</v>
      </c>
      <c r="C83" s="37">
        <f t="shared" si="35"/>
        <v>4011714.0199999986</v>
      </c>
      <c r="D83" s="37">
        <v>0</v>
      </c>
      <c r="E83" s="37">
        <v>147304.43</v>
      </c>
      <c r="F83" s="37">
        <v>31471.89</v>
      </c>
      <c r="G83" s="37">
        <f t="shared" si="36"/>
        <v>4127546.5599999987</v>
      </c>
      <c r="H83" s="28">
        <v>3.5</v>
      </c>
      <c r="I83" s="29"/>
      <c r="J83" s="29"/>
      <c r="L83" s="38">
        <f t="shared" si="34"/>
        <v>147304.43</v>
      </c>
      <c r="R83" s="21">
        <f t="shared" si="37"/>
        <v>2017</v>
      </c>
      <c r="S83" s="4">
        <f t="shared" si="38"/>
        <v>147304.43</v>
      </c>
      <c r="T83">
        <f t="shared" si="39"/>
        <v>0</v>
      </c>
      <c r="U83">
        <f t="shared" si="16"/>
        <v>43</v>
      </c>
      <c r="V83" s="1" t="str">
        <f t="shared" si="17"/>
        <v>S3</v>
      </c>
      <c r="W83" s="2">
        <f t="shared" si="40"/>
        <v>3425.684418604651</v>
      </c>
      <c r="X83" s="2">
        <f t="shared" si="41"/>
        <v>0</v>
      </c>
      <c r="Y83" s="18">
        <f t="shared" si="42"/>
        <v>39.50001043372155</v>
      </c>
      <c r="Z83" s="18">
        <f t="shared" si="43"/>
        <v>0</v>
      </c>
      <c r="AA83" s="2">
        <f t="shared" si="44"/>
        <v>135314.57027752107</v>
      </c>
    </row>
    <row r="84" spans="1:27" ht="12.75">
      <c r="A84" s="29">
        <v>2018</v>
      </c>
      <c r="C84" s="37">
        <f t="shared" si="35"/>
        <v>4127546.5599999987</v>
      </c>
      <c r="D84" s="37">
        <v>0</v>
      </c>
      <c r="E84" s="37">
        <v>98425.28</v>
      </c>
      <c r="F84" s="37">
        <v>25475.1</v>
      </c>
      <c r="G84" s="37">
        <f t="shared" si="36"/>
        <v>4200496.739999999</v>
      </c>
      <c r="H84" s="28">
        <v>2.5</v>
      </c>
      <c r="I84" s="29"/>
      <c r="J84" s="29"/>
      <c r="L84" s="38">
        <f t="shared" si="34"/>
        <v>98425.28</v>
      </c>
      <c r="R84" s="21">
        <f t="shared" si="37"/>
        <v>2018</v>
      </c>
      <c r="S84" s="4">
        <f t="shared" si="38"/>
        <v>98425.28</v>
      </c>
      <c r="T84">
        <f t="shared" si="39"/>
        <v>0</v>
      </c>
      <c r="U84">
        <f t="shared" si="16"/>
        <v>43</v>
      </c>
      <c r="V84" s="1" t="str">
        <f t="shared" si="17"/>
        <v>S3</v>
      </c>
      <c r="W84" s="2">
        <f t="shared" si="40"/>
        <v>2288.96</v>
      </c>
      <c r="X84" s="2">
        <f t="shared" si="41"/>
        <v>0</v>
      </c>
      <c r="Y84" s="18">
        <f t="shared" si="42"/>
        <v>40.50000876188264</v>
      </c>
      <c r="Z84" s="18">
        <f t="shared" si="43"/>
        <v>0</v>
      </c>
      <c r="AA84" s="2">
        <f t="shared" si="44"/>
        <v>92702.90005559889</v>
      </c>
    </row>
    <row r="85" spans="1:27" ht="12.75">
      <c r="A85" s="29">
        <v>2019</v>
      </c>
      <c r="C85" s="37">
        <f t="shared" si="35"/>
        <v>4200496.739999999</v>
      </c>
      <c r="D85" s="37">
        <v>0</v>
      </c>
      <c r="E85" s="37">
        <v>124266.38</v>
      </c>
      <c r="F85" s="37">
        <v>26172.17</v>
      </c>
      <c r="G85" s="37">
        <f t="shared" si="36"/>
        <v>4298590.949999999</v>
      </c>
      <c r="H85" s="28">
        <v>1.5</v>
      </c>
      <c r="I85" s="29"/>
      <c r="J85" s="29"/>
      <c r="L85" s="38">
        <f t="shared" si="34"/>
        <v>124266.38</v>
      </c>
      <c r="R85" s="21">
        <f t="shared" si="37"/>
        <v>2019</v>
      </c>
      <c r="S85" s="4">
        <f t="shared" si="38"/>
        <v>124266.38</v>
      </c>
      <c r="T85">
        <f t="shared" si="39"/>
        <v>0</v>
      </c>
      <c r="U85">
        <f t="shared" si="16"/>
        <v>43</v>
      </c>
      <c r="V85" s="1" t="str">
        <f t="shared" si="17"/>
        <v>S3</v>
      </c>
      <c r="W85" s="2">
        <f t="shared" si="40"/>
        <v>2889.9158139534884</v>
      </c>
      <c r="X85" s="2">
        <f t="shared" si="41"/>
        <v>0</v>
      </c>
      <c r="Y85" s="18">
        <f t="shared" si="42"/>
        <v>41.50000862484985</v>
      </c>
      <c r="Z85" s="18">
        <f t="shared" si="43"/>
        <v>0</v>
      </c>
      <c r="AA85" s="2">
        <f t="shared" si="44"/>
        <v>119931.53120415974</v>
      </c>
    </row>
    <row r="86" spans="1:27" ht="12.75">
      <c r="A86" s="29">
        <v>2020</v>
      </c>
      <c r="C86" s="37">
        <f t="shared" si="35"/>
        <v>4298590.949999999</v>
      </c>
      <c r="D86" s="37">
        <v>0</v>
      </c>
      <c r="E86" s="37">
        <v>174269.1</v>
      </c>
      <c r="F86" s="37">
        <v>16553.8</v>
      </c>
      <c r="G86" s="37">
        <f t="shared" si="36"/>
        <v>4456306.249999999</v>
      </c>
      <c r="H86" s="28">
        <v>0.5</v>
      </c>
      <c r="I86" s="29"/>
      <c r="J86" s="29"/>
      <c r="L86" s="38">
        <f t="shared" si="34"/>
        <v>174269.1</v>
      </c>
      <c r="R86" s="21">
        <f t="shared" si="37"/>
        <v>2020</v>
      </c>
      <c r="S86" s="4">
        <f t="shared" si="38"/>
        <v>174269.1</v>
      </c>
      <c r="T86">
        <f t="shared" si="39"/>
        <v>0</v>
      </c>
      <c r="U86">
        <f t="shared" si="16"/>
        <v>43</v>
      </c>
      <c r="V86" s="1" t="str">
        <f t="shared" si="17"/>
        <v>S3</v>
      </c>
      <c r="W86" s="2">
        <f t="shared" si="40"/>
        <v>4052.7697674418605</v>
      </c>
      <c r="X86" s="2">
        <f t="shared" si="41"/>
        <v>0</v>
      </c>
      <c r="Y86" s="18">
        <f t="shared" si="42"/>
        <v>42.50000862213267</v>
      </c>
      <c r="Z86" s="18">
        <f t="shared" si="43"/>
        <v>0</v>
      </c>
      <c r="AA86" s="2">
        <f t="shared" si="44"/>
        <v>172242.7500597977</v>
      </c>
    </row>
    <row r="87" spans="3:27" ht="12.75">
      <c r="C87" s="8"/>
      <c r="D87" s="8"/>
      <c r="E87" s="8"/>
      <c r="F87" s="8"/>
      <c r="G87" s="8"/>
      <c r="W87" s="2"/>
      <c r="X87" s="2"/>
      <c r="AA87" s="2"/>
    </row>
    <row r="88" spans="7:27" ht="12.75">
      <c r="G88" s="4">
        <f>SUM(G82:G87)/5</f>
        <v>4218930.903999999</v>
      </c>
      <c r="I88" s="8"/>
      <c r="S88" s="4">
        <f>SUM(S6:S87)</f>
        <v>5139597.739999999</v>
      </c>
      <c r="T88" s="4">
        <f>SUM(T6:T87)</f>
        <v>3758</v>
      </c>
      <c r="W88" s="2">
        <f>SUM(W6:W87)</f>
        <v>119525.52883720928</v>
      </c>
      <c r="X88" s="2">
        <f>SUM(X6:X87)</f>
        <v>87.39534883720931</v>
      </c>
      <c r="Y88" s="19">
        <f>AA88/W88</f>
        <v>24.21896680914832</v>
      </c>
      <c r="Z88" s="18"/>
      <c r="AA88" s="2">
        <f>SUM(AA6:AA87)</f>
        <v>2894784.815754272</v>
      </c>
    </row>
    <row r="90" spans="2:27" ht="12.75">
      <c r="B90" t="s">
        <v>7</v>
      </c>
      <c r="D90" s="4"/>
      <c r="G90" s="10">
        <f>C52</f>
        <v>682870</v>
      </c>
      <c r="W90" t="s">
        <v>35</v>
      </c>
      <c r="AA90" s="15">
        <f>AA88/(W88+X88)</f>
        <v>24.201271187482305</v>
      </c>
    </row>
    <row r="92" spans="2:7" ht="12.75">
      <c r="B92" t="s">
        <v>8</v>
      </c>
      <c r="D92" s="8"/>
      <c r="G92" s="7">
        <v>172832</v>
      </c>
    </row>
    <row r="93" spans="20:22" ht="12.75">
      <c r="T93" s="20" t="s">
        <v>26</v>
      </c>
      <c r="V93" s="32" t="s">
        <v>14</v>
      </c>
    </row>
    <row r="94" spans="2:22" ht="12.75">
      <c r="B94" t="s">
        <v>9</v>
      </c>
      <c r="G94">
        <v>0.03</v>
      </c>
      <c r="T94" s="20" t="s">
        <v>11</v>
      </c>
      <c r="V94">
        <v>43</v>
      </c>
    </row>
    <row r="96" spans="2:7" ht="12.75">
      <c r="B96" t="s">
        <v>10</v>
      </c>
      <c r="G96">
        <f>G92/G90/G94</f>
        <v>8.436549660501512</v>
      </c>
    </row>
    <row r="98" spans="3:11" ht="12.75">
      <c r="C98" s="24"/>
      <c r="D98" s="23"/>
      <c r="E98" s="23"/>
      <c r="F98" s="23"/>
      <c r="G98" s="23"/>
      <c r="H98" s="23"/>
      <c r="I98" s="23"/>
      <c r="J98" s="23"/>
      <c r="K98" s="23"/>
    </row>
    <row r="99" spans="3:11" ht="12.75">
      <c r="C99" s="24"/>
      <c r="D99" s="43"/>
      <c r="E99" s="23"/>
      <c r="F99" s="23"/>
      <c r="G99" s="23"/>
      <c r="H99" s="23"/>
      <c r="I99" s="23"/>
      <c r="J99" s="23"/>
      <c r="K99" s="16"/>
    </row>
    <row r="100" spans="3:11" ht="12.75">
      <c r="C100" s="24"/>
      <c r="D100" s="24"/>
      <c r="E100" s="24"/>
      <c r="F100" s="42"/>
      <c r="G100" s="42"/>
      <c r="H100" s="44"/>
      <c r="I100" s="44"/>
      <c r="J100" s="44"/>
      <c r="K100" s="24"/>
    </row>
    <row r="101" spans="3:11" ht="12.75">
      <c r="C101" s="24"/>
      <c r="D101" s="24"/>
      <c r="E101" s="24"/>
      <c r="F101" s="42"/>
      <c r="G101" s="42"/>
      <c r="H101" s="44"/>
      <c r="I101" s="44"/>
      <c r="J101" s="44"/>
      <c r="K101" s="24"/>
    </row>
    <row r="102" spans="3:11" ht="12.75">
      <c r="C102" s="24"/>
      <c r="D102" s="24"/>
      <c r="E102" s="24"/>
      <c r="F102" s="42"/>
      <c r="G102" s="42"/>
      <c r="H102" s="44"/>
      <c r="I102" s="44"/>
      <c r="J102" s="44"/>
      <c r="K102" s="24"/>
    </row>
    <row r="103" spans="3:11" ht="12.75">
      <c r="C103" s="24"/>
      <c r="D103" s="24"/>
      <c r="E103" s="24"/>
      <c r="F103" s="42"/>
      <c r="G103" s="42"/>
      <c r="H103" s="44"/>
      <c r="I103" s="44"/>
      <c r="J103" s="44"/>
      <c r="K103" s="24"/>
    </row>
    <row r="104" spans="3:11" ht="12.75">
      <c r="C104" s="24"/>
      <c r="D104" s="24"/>
      <c r="E104" s="24"/>
      <c r="F104" s="42"/>
      <c r="G104" s="42"/>
      <c r="H104" s="44"/>
      <c r="I104" s="44"/>
      <c r="J104" s="44"/>
      <c r="K104" s="24"/>
    </row>
    <row r="105" spans="3:11" ht="12.75">
      <c r="C105" s="24"/>
      <c r="D105" s="24"/>
      <c r="E105" s="24"/>
      <c r="F105" s="42"/>
      <c r="G105" s="42"/>
      <c r="H105" s="44"/>
      <c r="I105" s="44"/>
      <c r="J105" s="44"/>
      <c r="K105" s="24"/>
    </row>
    <row r="106" spans="3:11" ht="12.75">
      <c r="C106" s="24"/>
      <c r="D106" s="24"/>
      <c r="E106" s="24"/>
      <c r="F106" s="42"/>
      <c r="G106" s="42"/>
      <c r="H106" s="44"/>
      <c r="I106" s="44"/>
      <c r="J106" s="44"/>
      <c r="K106" s="24"/>
    </row>
    <row r="107" spans="3:11" ht="12.75">
      <c r="C107" s="24"/>
      <c r="D107" s="24"/>
      <c r="E107" s="24"/>
      <c r="F107" s="42"/>
      <c r="G107" s="42"/>
      <c r="H107" s="44"/>
      <c r="I107" s="44"/>
      <c r="J107" s="44"/>
      <c r="K107" s="24"/>
    </row>
    <row r="108" spans="3:11" ht="12.75">
      <c r="C108" s="24"/>
      <c r="D108" s="24"/>
      <c r="E108" s="24"/>
      <c r="F108" s="42"/>
      <c r="G108" s="42"/>
      <c r="H108" s="44"/>
      <c r="I108" s="44"/>
      <c r="J108" s="44"/>
      <c r="K108" s="24"/>
    </row>
    <row r="109" spans="3:11" ht="12.75">
      <c r="C109" s="24"/>
      <c r="D109" s="24"/>
      <c r="E109" s="24"/>
      <c r="F109" s="42"/>
      <c r="G109" s="42"/>
      <c r="H109" s="44"/>
      <c r="I109" s="44"/>
      <c r="J109" s="44"/>
      <c r="K109" s="24"/>
    </row>
    <row r="110" spans="3:11" ht="12.75">
      <c r="C110" s="24"/>
      <c r="D110" s="24"/>
      <c r="E110" s="24"/>
      <c r="F110" s="42"/>
      <c r="G110" s="42"/>
      <c r="H110" s="44"/>
      <c r="I110" s="44"/>
      <c r="J110" s="44"/>
      <c r="K110" s="24"/>
    </row>
    <row r="111" spans="3:11" ht="12.75">
      <c r="C111" s="24"/>
      <c r="D111" s="24"/>
      <c r="E111" s="24"/>
      <c r="F111" s="42"/>
      <c r="G111" s="42"/>
      <c r="H111" s="44"/>
      <c r="I111" s="44"/>
      <c r="J111" s="44"/>
      <c r="K111" s="24"/>
    </row>
    <row r="112" spans="3:11" ht="12.75">
      <c r="C112" s="24"/>
      <c r="D112" s="24"/>
      <c r="E112" s="24"/>
      <c r="F112" s="42"/>
      <c r="G112" s="42"/>
      <c r="H112" s="44"/>
      <c r="I112" s="44"/>
      <c r="J112" s="44"/>
      <c r="K112" s="24"/>
    </row>
    <row r="113" spans="3:11" ht="12.75">
      <c r="C113" s="24"/>
      <c r="D113" s="24"/>
      <c r="E113" s="24"/>
      <c r="F113" s="42"/>
      <c r="G113" s="42"/>
      <c r="H113" s="44"/>
      <c r="I113" s="44"/>
      <c r="J113" s="44"/>
      <c r="K113" s="24"/>
    </row>
    <row r="114" spans="3:11" ht="12.75">
      <c r="C114" s="24"/>
      <c r="D114" s="24"/>
      <c r="E114" s="24"/>
      <c r="F114" s="42"/>
      <c r="G114" s="42"/>
      <c r="H114" s="44"/>
      <c r="I114" s="44"/>
      <c r="J114" s="44"/>
      <c r="K114" s="24"/>
    </row>
    <row r="115" spans="3:11" ht="12.75">
      <c r="C115" s="24"/>
      <c r="D115" s="24"/>
      <c r="E115" s="24"/>
      <c r="F115" s="42"/>
      <c r="G115" s="42"/>
      <c r="H115" s="44"/>
      <c r="I115" s="44"/>
      <c r="J115" s="44"/>
      <c r="K115" s="24"/>
    </row>
    <row r="116" spans="3:11" ht="12.75">
      <c r="C116" s="24"/>
      <c r="D116" s="24"/>
      <c r="E116" s="24"/>
      <c r="F116" s="42"/>
      <c r="G116" s="42"/>
      <c r="H116" s="44"/>
      <c r="I116" s="44"/>
      <c r="J116" s="44"/>
      <c r="K116" s="24"/>
    </row>
    <row r="117" spans="3:11" ht="12.75">
      <c r="C117" s="24"/>
      <c r="D117" s="24"/>
      <c r="E117" s="24"/>
      <c r="F117" s="42"/>
      <c r="G117" s="42"/>
      <c r="H117" s="44"/>
      <c r="I117" s="44"/>
      <c r="J117" s="44"/>
      <c r="K117" s="24"/>
    </row>
    <row r="118" spans="3:11" ht="12.75">
      <c r="C118" s="24"/>
      <c r="D118" s="24"/>
      <c r="E118" s="24"/>
      <c r="F118" s="42"/>
      <c r="G118" s="42"/>
      <c r="H118" s="44"/>
      <c r="I118" s="44"/>
      <c r="J118" s="44"/>
      <c r="K118" s="24"/>
    </row>
    <row r="119" spans="3:11" ht="12.75">
      <c r="C119" s="24"/>
      <c r="D119" s="24"/>
      <c r="E119" s="24"/>
      <c r="F119" s="42"/>
      <c r="G119" s="42"/>
      <c r="H119" s="44"/>
      <c r="I119" s="44"/>
      <c r="J119" s="44"/>
      <c r="K119" s="24"/>
    </row>
    <row r="120" spans="3:11" ht="12.75">
      <c r="C120" s="24"/>
      <c r="D120" s="24"/>
      <c r="E120" s="24"/>
      <c r="F120" s="42"/>
      <c r="G120" s="42"/>
      <c r="H120" s="44"/>
      <c r="I120" s="44"/>
      <c r="J120" s="44"/>
      <c r="K120" s="24"/>
    </row>
    <row r="121" spans="3:11" ht="12.75">
      <c r="C121" s="24"/>
      <c r="D121" s="24"/>
      <c r="E121" s="24"/>
      <c r="F121" s="42"/>
      <c r="G121" s="42"/>
      <c r="H121" s="44"/>
      <c r="I121" s="44"/>
      <c r="J121" s="44"/>
      <c r="K121" s="24"/>
    </row>
    <row r="124" spans="4:5" ht="12.75">
      <c r="D124" s="33" t="s">
        <v>36</v>
      </c>
      <c r="E124" s="34">
        <v>40270</v>
      </c>
    </row>
  </sheetData>
  <sheetProtection/>
  <printOptions/>
  <pageMargins left="0.6" right="0.52" top="1.39" bottom="1" header="0.5" footer="0.5"/>
  <pageSetup horizontalDpi="600" verticalDpi="600" orientation="portrait" scale="80" r:id="rId1"/>
  <headerFooter alignWithMargins="0">
    <oddHeader>&amp;C&amp;"Arial,Bold"&amp;12Delta Natural Gas Company
Account Investment Summary
Account 383 -- House Regulators</oddHeader>
  </headerFooter>
  <rowBreaks count="1" manualBreakCount="1">
    <brk id="97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William Seelye</cp:lastModifiedBy>
  <cp:lastPrinted>2021-05-25T20:46:09Z</cp:lastPrinted>
  <dcterms:created xsi:type="dcterms:W3CDTF">2003-08-07T12:57:40Z</dcterms:created>
  <dcterms:modified xsi:type="dcterms:W3CDTF">2021-06-01T15:30:05Z</dcterms:modified>
  <cp:category/>
  <cp:version/>
  <cp:contentType/>
  <cp:contentStatus/>
</cp:coreProperties>
</file>